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Document Management Process\Publishing\Live documents\2016\1251_1300\1274_16\"/>
    </mc:Choice>
  </mc:AlternateContent>
  <bookViews>
    <workbookView xWindow="0" yWindow="0" windowWidth="14400" windowHeight="7155" tabRatio="926"/>
  </bookViews>
  <sheets>
    <sheet name="Instructions " sheetId="10" r:id="rId1"/>
    <sheet name="Target Setting Rules" sheetId="13" r:id="rId2"/>
    <sheet name="Facility Data" sheetId="15" r:id="rId3"/>
    <sheet name="Baseline Data" sheetId="1" r:id="rId4"/>
    <sheet name="Novem Product Fuel Data" sheetId="21" state="hidden" r:id="rId5"/>
    <sheet name="Novem Data" sheetId="20" state="hidden" r:id="rId6"/>
    <sheet name="Stringency Tests" sheetId="9" r:id="rId7"/>
    <sheet name="Target Calculations" sheetId="25" r:id="rId8"/>
    <sheet name="Open worksheet" sheetId="17" r:id="rId9"/>
    <sheet name="Fuel Conversion Factors" sheetId="19" r:id="rId10"/>
    <sheet name="Penalties" sheetId="8" r:id="rId11"/>
  </sheets>
  <externalReferences>
    <externalReference r:id="rId12"/>
    <externalReference r:id="rId13"/>
  </externalReferences>
  <definedNames>
    <definedName name="CEF_Coal" localSheetId="9">'Fuel Conversion Factors'!$F$8</definedName>
    <definedName name="CEF_Coal" localSheetId="5">'[1]Fuel Conversion Factors'!$G$8</definedName>
    <definedName name="CEF_Coal" localSheetId="4">'[2]Fuel Conversion Factors'!$G$8</definedName>
    <definedName name="CEF_Coke" localSheetId="9">'Fuel Conversion Factors'!$F$10</definedName>
    <definedName name="CEF_Coke" localSheetId="5">'[1]Fuel Conversion Factors'!$G$10</definedName>
    <definedName name="CEF_Coke" localSheetId="4">'[2]Fuel Conversion Factors'!$G$10</definedName>
    <definedName name="CEF_Electricity" localSheetId="9">'Fuel Conversion Factors'!$F$12</definedName>
    <definedName name="CEF_Electricity" localSheetId="5">'[1]Fuel Conversion Factors'!$G$12</definedName>
    <definedName name="CEF_Electricity" localSheetId="4">'[2]Fuel Conversion Factors'!$G$12</definedName>
    <definedName name="CEF_Ethane" localSheetId="9">'Fuel Conversion Factors'!$F$16</definedName>
    <definedName name="CEF_Ethane" localSheetId="5">'[1]Fuel Conversion Factors'!$G$16</definedName>
    <definedName name="CEF_Ethane" localSheetId="4">'[2]Fuel Conversion Factors'!$G$16</definedName>
    <definedName name="CEF_Fuel_oil" localSheetId="9">'Fuel Conversion Factors'!$F$20</definedName>
    <definedName name="CEF_Fuel_oil" localSheetId="5">'[1]Fuel Conversion Factors'!$G$20</definedName>
    <definedName name="CEF_Fuel_oil" localSheetId="4">'[2]Fuel Conversion Factors'!$G$20</definedName>
    <definedName name="CEF_Gas_oil" localSheetId="9">'Fuel Conversion Factors'!$F$19</definedName>
    <definedName name="CEF_Gas_oil" localSheetId="5">'[1]Fuel Conversion Factors'!$G$19</definedName>
    <definedName name="CEF_Gas_oil" localSheetId="4">'[2]Fuel Conversion Factors'!$G$19</definedName>
    <definedName name="CEF_Kerosene" localSheetId="9">'Fuel Conversion Factors'!$F$17</definedName>
    <definedName name="CEF_Kerosene" localSheetId="5">'[1]Fuel Conversion Factors'!$G$17</definedName>
    <definedName name="CEF_Kerosene" localSheetId="4">'[2]Fuel Conversion Factors'!$G$17</definedName>
    <definedName name="CEF_LPG" localSheetId="9">'Fuel Conversion Factors'!$F$15</definedName>
    <definedName name="CEF_LPG" localSheetId="5">'[1]Fuel Conversion Factors'!$G$15</definedName>
    <definedName name="CEF_LPG" localSheetId="4">'[2]Fuel Conversion Factors'!$G$15</definedName>
    <definedName name="CEF_Naptha" localSheetId="9">'Fuel Conversion Factors'!$F$21</definedName>
    <definedName name="CEF_Naptha" localSheetId="5">'[1]Fuel Conversion Factors'!$G$21</definedName>
    <definedName name="CEF_Naptha" localSheetId="4">'[2]Fuel Conversion Factors'!$G$21</definedName>
    <definedName name="CEF_Natural_Gas" localSheetId="9">'Fuel Conversion Factors'!$F$25</definedName>
    <definedName name="CEF_Natural_Gas" localSheetId="5">'[1]Fuel Conversion Factors'!$G$25</definedName>
    <definedName name="CEF_Natural_Gas" localSheetId="4">'[2]Fuel Conversion Factors'!$G$25</definedName>
    <definedName name="CEF_Other_fuel_01" localSheetId="5">'[1]Fuel Conversion Factors'!$G$33</definedName>
    <definedName name="CEF_Other_fuel_01" localSheetId="4">'[2]Fuel Conversion Factors'!$G$33</definedName>
    <definedName name="CEF_Other_fuel_02" localSheetId="5">'[1]Fuel Conversion Factors'!$G$34</definedName>
    <definedName name="CEF_Other_fuel_02" localSheetId="4">'[2]Fuel Conversion Factors'!$G$34</definedName>
    <definedName name="CEF_Other_fuel_03" localSheetId="5">'[1]Fuel Conversion Factors'!$G$35</definedName>
    <definedName name="CEF_Other_fuel_03" localSheetId="4">'[2]Fuel Conversion Factors'!$G$35</definedName>
    <definedName name="CEF_Other_fuel_04" localSheetId="5">'[1]Fuel Conversion Factors'!$G$36</definedName>
    <definedName name="CEF_Other_fuel_04" localSheetId="4">'[2]Fuel Conversion Factors'!$G$36</definedName>
    <definedName name="CEF_Other_fuel_05" localSheetId="5">'[1]Fuel Conversion Factors'!$G$37</definedName>
    <definedName name="CEF_Other_fuel_05" localSheetId="4">'[2]Fuel Conversion Factors'!$G$37</definedName>
    <definedName name="CEF_Other_fuel_06" localSheetId="5">'[1]Fuel Conversion Factors'!$G$38</definedName>
    <definedName name="CEF_Other_fuel_06" localSheetId="4">'[2]Fuel Conversion Factors'!$G$38</definedName>
    <definedName name="CEF_Other_fuel_07" localSheetId="5">'[1]Fuel Conversion Factors'!$G$39</definedName>
    <definedName name="CEF_Other_fuel_07" localSheetId="4">'[2]Fuel Conversion Factors'!$G$39</definedName>
    <definedName name="CEF_Other_fuel_08" localSheetId="5">'[1]Fuel Conversion Factors'!$G$40</definedName>
    <definedName name="CEF_Other_fuel_08" localSheetId="4">'[2]Fuel Conversion Factors'!$G$40</definedName>
    <definedName name="CEF_Other_fuel_09" localSheetId="5">'[1]Fuel Conversion Factors'!$G$41</definedName>
    <definedName name="CEF_Other_fuel_09" localSheetId="4">'[2]Fuel Conversion Factors'!$G$41</definedName>
    <definedName name="CEF_Other_fuel_10" localSheetId="5">'[1]Fuel Conversion Factors'!$G$42</definedName>
    <definedName name="CEF_Other_fuel_10" localSheetId="4">'[2]Fuel Conversion Factors'!$G$42</definedName>
    <definedName name="CEF_Petrol" localSheetId="9">'Fuel Conversion Factors'!$F$18</definedName>
    <definedName name="CEF_Petrol" localSheetId="5">'[1]Fuel Conversion Factors'!$G$18</definedName>
    <definedName name="CEF_Petrol" localSheetId="4">'[2]Fuel Conversion Factors'!$G$18</definedName>
    <definedName name="CEF_Petroleum_Coke" localSheetId="9">'Fuel Conversion Factors'!$F$22</definedName>
    <definedName name="CEF_Petroleum_Coke" localSheetId="5">'[1]Fuel Conversion Factors'!$G$22</definedName>
    <definedName name="CEF_Petroleum_Coke" localSheetId="4">'[2]Fuel Conversion Factors'!$G$22</definedName>
    <definedName name="CEF_Refinery_Gas" localSheetId="9">'Fuel Conversion Factors'!$F$30</definedName>
    <definedName name="CEF_Refinery_Gas" localSheetId="5">'[1]Fuel Conversion Factors'!$G$30</definedName>
    <definedName name="CEF_Refinery_Gas" localSheetId="4">'[2]Fuel Conversion Factors'!$G$30</definedName>
    <definedName name="_xlnm.Print_Area" localSheetId="3">'Baseline Data'!$A$1:$F$53</definedName>
    <definedName name="_xlnm.Print_Area" localSheetId="2">'Facility Data'!$A$1:$V$75</definedName>
    <definedName name="_xlnm.Print_Area" localSheetId="0">'Instructions '!$A$1:$A$59</definedName>
    <definedName name="_xlnm.Print_Area" localSheetId="4">'Novem Product Fuel Data'!$A$1:$V$47</definedName>
    <definedName name="_xlnm.Print_Area" localSheetId="6">'Stringency Tests'!$A$1:$V$74</definedName>
    <definedName name="_xlnm.Print_Area" localSheetId="7">'Target Calculations'!$A$1:$R$14</definedName>
    <definedName name="_xlnm.Print_Area" localSheetId="1">'Target Setting Rules'!$A$1:$O$26</definedName>
  </definedNames>
  <calcPr calcId="152511"/>
</workbook>
</file>

<file path=xl/calcChain.xml><?xml version="1.0" encoding="utf-8"?>
<calcChain xmlns="http://schemas.openxmlformats.org/spreadsheetml/2006/main">
  <c r="C20" i="25" l="1"/>
  <c r="B71" i="15"/>
  <c r="A72" i="15" s="1"/>
  <c r="A54" i="9"/>
  <c r="A11" i="25" s="1"/>
  <c r="A73" i="15" l="1"/>
  <c r="A9" i="25" s="1"/>
  <c r="A74" i="15"/>
  <c r="C69" i="9" l="1"/>
  <c r="C67" i="9"/>
  <c r="C65" i="9"/>
  <c r="C63" i="9"/>
  <c r="C68" i="9" l="1"/>
  <c r="C66" i="9"/>
  <c r="C64" i="9"/>
  <c r="C62" i="9"/>
  <c r="C61" i="9"/>
  <c r="A55" i="9"/>
  <c r="A12" i="25" s="1"/>
  <c r="A52" i="9"/>
  <c r="A62" i="15" l="1"/>
  <c r="A61" i="15"/>
  <c r="C32" i="13"/>
  <c r="E31" i="13"/>
  <c r="C31" i="13" l="1"/>
  <c r="C33" i="13" s="1"/>
  <c r="CN72" i="15" l="1"/>
  <c r="CN74" i="15" s="1"/>
  <c r="CB72" i="15"/>
  <c r="CB74" i="15" s="1"/>
  <c r="BP72" i="15"/>
  <c r="BP74" i="15" s="1"/>
  <c r="BD72" i="15"/>
  <c r="BD74" i="15" s="1"/>
  <c r="AR72" i="15"/>
  <c r="AR74" i="15" s="1"/>
  <c r="AF72" i="15"/>
  <c r="AF74" i="15" s="1"/>
  <c r="CK72" i="15"/>
  <c r="CK74" i="15" s="1"/>
  <c r="BY72" i="15"/>
  <c r="BY74" i="15" s="1"/>
  <c r="BM72" i="15"/>
  <c r="BM74" i="15" s="1"/>
  <c r="BA72" i="15"/>
  <c r="BA74" i="15" s="1"/>
  <c r="AO72" i="15"/>
  <c r="AO74" i="15" s="1"/>
  <c r="CH72" i="15"/>
  <c r="CH74" i="15" s="1"/>
  <c r="BV72" i="15"/>
  <c r="BV74" i="15" s="1"/>
  <c r="BJ72" i="15"/>
  <c r="BJ74" i="15" s="1"/>
  <c r="AX72" i="15"/>
  <c r="AX74" i="15" s="1"/>
  <c r="AL72" i="15"/>
  <c r="AL74" i="15" s="1"/>
  <c r="CQ72" i="15"/>
  <c r="CQ74" i="15" s="1"/>
  <c r="CE72" i="15"/>
  <c r="CE74" i="15" s="1"/>
  <c r="BS72" i="15"/>
  <c r="BS74" i="15" s="1"/>
  <c r="BG72" i="15"/>
  <c r="BG74" i="15" s="1"/>
  <c r="AU72" i="15"/>
  <c r="AU74" i="15" s="1"/>
  <c r="AI72" i="15"/>
  <c r="AI74" i="15" s="1"/>
  <c r="B26" i="9"/>
  <c r="B41" i="9"/>
  <c r="B30" i="9"/>
  <c r="A29" i="9"/>
  <c r="A28" i="9"/>
  <c r="A27" i="9"/>
  <c r="A37" i="9"/>
  <c r="A36" i="9"/>
  <c r="A35" i="9"/>
  <c r="A34" i="9"/>
  <c r="C33" i="9"/>
  <c r="B33" i="9"/>
  <c r="C24" i="9"/>
  <c r="A24" i="9"/>
  <c r="B31" i="9" l="1"/>
  <c r="B43" i="9"/>
  <c r="A41" i="9" l="1"/>
  <c r="A33" i="9"/>
  <c r="A26" i="9"/>
  <c r="A43" i="9"/>
  <c r="A42" i="9"/>
  <c r="A31" i="9"/>
  <c r="A30" i="9"/>
  <c r="A39" i="9"/>
  <c r="A38" i="9"/>
  <c r="E2" i="9" l="1"/>
  <c r="E3" i="9"/>
  <c r="C22" i="9"/>
  <c r="C25" i="9" s="1"/>
  <c r="D24" i="9" l="1"/>
  <c r="A21" i="25"/>
  <c r="A8" i="25"/>
  <c r="B7" i="25"/>
  <c r="A7" i="25"/>
  <c r="D3" i="25"/>
  <c r="D2" i="25"/>
  <c r="S10" i="20" l="1"/>
  <c r="P10" i="20"/>
  <c r="M10" i="20"/>
  <c r="J10" i="20"/>
  <c r="E30" i="20"/>
  <c r="E29" i="20"/>
  <c r="E28" i="20"/>
  <c r="E27" i="20"/>
  <c r="E26" i="20"/>
  <c r="E25" i="20"/>
  <c r="E24" i="20"/>
  <c r="E23" i="20"/>
  <c r="E22" i="20"/>
  <c r="E21" i="20"/>
  <c r="E20" i="20"/>
  <c r="E19" i="20"/>
  <c r="E18" i="20"/>
  <c r="E17" i="20"/>
  <c r="E16" i="20"/>
  <c r="E15" i="20"/>
  <c r="E14" i="20"/>
  <c r="E13" i="20"/>
  <c r="I13" i="20" s="1"/>
  <c r="E12" i="20"/>
  <c r="E11" i="20"/>
  <c r="I11" i="20" s="1"/>
  <c r="C42" i="13" l="1"/>
  <c r="C40" i="13"/>
  <c r="C38" i="13"/>
  <c r="C36" i="13"/>
  <c r="C35" i="13" l="1"/>
  <c r="C34" i="13"/>
  <c r="E10" i="20"/>
  <c r="A30" i="20"/>
  <c r="A29" i="20"/>
  <c r="A28" i="20"/>
  <c r="A27" i="20"/>
  <c r="A26" i="20"/>
  <c r="A25" i="20"/>
  <c r="A24" i="20"/>
  <c r="A23" i="20"/>
  <c r="A22" i="20"/>
  <c r="A21" i="20"/>
  <c r="A20" i="20"/>
  <c r="A19" i="20"/>
  <c r="A18" i="20"/>
  <c r="A17" i="20"/>
  <c r="A16" i="20"/>
  <c r="A15" i="20"/>
  <c r="A14" i="20"/>
  <c r="A13" i="20"/>
  <c r="A12" i="20"/>
  <c r="A11" i="20"/>
  <c r="B34" i="21"/>
  <c r="B35" i="21"/>
  <c r="B36" i="21"/>
  <c r="B37" i="21"/>
  <c r="B38" i="21"/>
  <c r="B39" i="21"/>
  <c r="B40" i="21"/>
  <c r="B41" i="21"/>
  <c r="B42" i="21"/>
  <c r="B43" i="21"/>
  <c r="B44" i="21"/>
  <c r="A35" i="21"/>
  <c r="A36" i="21"/>
  <c r="A37" i="21"/>
  <c r="A38" i="21"/>
  <c r="A39" i="21"/>
  <c r="A40" i="21"/>
  <c r="A41" i="21"/>
  <c r="A42" i="21"/>
  <c r="A43" i="21"/>
  <c r="A44" i="21"/>
  <c r="A34" i="21"/>
  <c r="D23" i="21"/>
  <c r="D24" i="21"/>
  <c r="D25" i="21"/>
  <c r="D26" i="21"/>
  <c r="D27" i="21"/>
  <c r="D28" i="21"/>
  <c r="D29" i="21"/>
  <c r="D30" i="21"/>
  <c r="D31" i="21"/>
  <c r="D32" i="21"/>
  <c r="D33" i="21"/>
  <c r="D34" i="21"/>
  <c r="D35" i="21"/>
  <c r="D36" i="21"/>
  <c r="D37" i="21"/>
  <c r="D38" i="21"/>
  <c r="D39" i="21"/>
  <c r="D40" i="21"/>
  <c r="D41" i="21"/>
  <c r="D42" i="21"/>
  <c r="D43" i="21"/>
  <c r="D44" i="21"/>
  <c r="D22" i="21"/>
  <c r="C22" i="21"/>
  <c r="C23" i="21"/>
  <c r="C24" i="21"/>
  <c r="C25" i="21"/>
  <c r="C26" i="21"/>
  <c r="C27" i="21"/>
  <c r="C28" i="21"/>
  <c r="C29" i="21"/>
  <c r="C30" i="21"/>
  <c r="C31" i="21"/>
  <c r="C32" i="21"/>
  <c r="C33" i="21"/>
  <c r="C34" i="21"/>
  <c r="C35" i="21"/>
  <c r="C36" i="21"/>
  <c r="C37" i="21"/>
  <c r="C38" i="21"/>
  <c r="C39" i="21"/>
  <c r="C40" i="21"/>
  <c r="C41" i="21"/>
  <c r="C42" i="21"/>
  <c r="C43" i="21"/>
  <c r="C44" i="21"/>
  <c r="C21" i="21"/>
  <c r="BM21" i="21"/>
  <c r="BM22" i="21"/>
  <c r="BM23" i="21"/>
  <c r="BM24" i="21"/>
  <c r="BM25" i="21"/>
  <c r="BM26" i="21"/>
  <c r="BM27" i="21"/>
  <c r="BM28" i="21"/>
  <c r="BM29" i="21"/>
  <c r="BM30" i="21"/>
  <c r="BM31" i="21"/>
  <c r="BM32" i="21"/>
  <c r="BM33" i="21"/>
  <c r="BM34" i="21"/>
  <c r="BM35" i="21"/>
  <c r="BM36" i="21"/>
  <c r="BM37" i="21"/>
  <c r="BM38" i="21"/>
  <c r="BM39" i="21"/>
  <c r="BM40" i="21"/>
  <c r="BM41" i="21"/>
  <c r="BM42" i="21"/>
  <c r="BM43" i="21"/>
  <c r="BM44" i="21"/>
  <c r="BJ44" i="21"/>
  <c r="BG44" i="21"/>
  <c r="BD44" i="21"/>
  <c r="BA44" i="21"/>
  <c r="AX44" i="21"/>
  <c r="AU44" i="21"/>
  <c r="AR44" i="21"/>
  <c r="AO44" i="21"/>
  <c r="AL44" i="21"/>
  <c r="AI44" i="21"/>
  <c r="AF44" i="21"/>
  <c r="AC44" i="21"/>
  <c r="Z44" i="21"/>
  <c r="W44" i="21"/>
  <c r="T44" i="21"/>
  <c r="Q44" i="21"/>
  <c r="N44" i="21"/>
  <c r="K44" i="21"/>
  <c r="H44" i="21"/>
  <c r="BJ43" i="21"/>
  <c r="BG43" i="21"/>
  <c r="BD43" i="21"/>
  <c r="BA43" i="21"/>
  <c r="AX43" i="21"/>
  <c r="AU43" i="21"/>
  <c r="AR43" i="21"/>
  <c r="AO43" i="21"/>
  <c r="AL43" i="21"/>
  <c r="AI43" i="21"/>
  <c r="AF43" i="21"/>
  <c r="AC43" i="21"/>
  <c r="Z43" i="21"/>
  <c r="W43" i="21"/>
  <c r="T43" i="21"/>
  <c r="Q43" i="21"/>
  <c r="N43" i="21"/>
  <c r="K43" i="21"/>
  <c r="H43" i="21"/>
  <c r="BJ42" i="21"/>
  <c r="BG42" i="21"/>
  <c r="BD42" i="21"/>
  <c r="BA42" i="21"/>
  <c r="AX42" i="21"/>
  <c r="AU42" i="21"/>
  <c r="AR42" i="21"/>
  <c r="AO42" i="21"/>
  <c r="AL42" i="21"/>
  <c r="AI42" i="21"/>
  <c r="AF42" i="21"/>
  <c r="AC42" i="21"/>
  <c r="Z42" i="21"/>
  <c r="W42" i="21"/>
  <c r="T42" i="21"/>
  <c r="Q42" i="21"/>
  <c r="N42" i="21"/>
  <c r="K42" i="21"/>
  <c r="H42" i="21"/>
  <c r="BJ41" i="21"/>
  <c r="BG41" i="21"/>
  <c r="BD41" i="21"/>
  <c r="BA41" i="21"/>
  <c r="AX41" i="21"/>
  <c r="AU41" i="21"/>
  <c r="AR41" i="21"/>
  <c r="AO41" i="21"/>
  <c r="AL41" i="21"/>
  <c r="AI41" i="21"/>
  <c r="AF41" i="21"/>
  <c r="AC41" i="21"/>
  <c r="Z41" i="21"/>
  <c r="W41" i="21"/>
  <c r="T41" i="21"/>
  <c r="Q41" i="21"/>
  <c r="N41" i="21"/>
  <c r="K41" i="21"/>
  <c r="H41" i="21"/>
  <c r="BJ40" i="21"/>
  <c r="BG40" i="21"/>
  <c r="BD40" i="21"/>
  <c r="BA40" i="21"/>
  <c r="AX40" i="21"/>
  <c r="AU40" i="21"/>
  <c r="AR40" i="21"/>
  <c r="AO40" i="21"/>
  <c r="AL40" i="21"/>
  <c r="AI40" i="21"/>
  <c r="AF40" i="21"/>
  <c r="AC40" i="21"/>
  <c r="Z40" i="21"/>
  <c r="W40" i="21"/>
  <c r="T40" i="21"/>
  <c r="Q40" i="21"/>
  <c r="N40" i="21"/>
  <c r="K40" i="21"/>
  <c r="H40" i="21"/>
  <c r="BJ39" i="21"/>
  <c r="BG39" i="21"/>
  <c r="BD39" i="21"/>
  <c r="BA39" i="21"/>
  <c r="AX39" i="21"/>
  <c r="AU39" i="21"/>
  <c r="AR39" i="21"/>
  <c r="AO39" i="21"/>
  <c r="AL39" i="21"/>
  <c r="AI39" i="21"/>
  <c r="AF39" i="21"/>
  <c r="AC39" i="21"/>
  <c r="Z39" i="21"/>
  <c r="W39" i="21"/>
  <c r="T39" i="21"/>
  <c r="Q39" i="21"/>
  <c r="N39" i="21"/>
  <c r="K39" i="21"/>
  <c r="H39" i="21"/>
  <c r="BJ38" i="21"/>
  <c r="BG38" i="21"/>
  <c r="BD38" i="21"/>
  <c r="BA38" i="21"/>
  <c r="AX38" i="21"/>
  <c r="AU38" i="21"/>
  <c r="AR38" i="21"/>
  <c r="AO38" i="21"/>
  <c r="AL38" i="21"/>
  <c r="AI38" i="21"/>
  <c r="AF38" i="21"/>
  <c r="AC38" i="21"/>
  <c r="Z38" i="21"/>
  <c r="W38" i="21"/>
  <c r="T38" i="21"/>
  <c r="Q38" i="21"/>
  <c r="N38" i="21"/>
  <c r="K38" i="21"/>
  <c r="H38" i="21"/>
  <c r="BJ37" i="21"/>
  <c r="BG37" i="21"/>
  <c r="BD37" i="21"/>
  <c r="BA37" i="21"/>
  <c r="AX37" i="21"/>
  <c r="AU37" i="21"/>
  <c r="AR37" i="21"/>
  <c r="AO37" i="21"/>
  <c r="AL37" i="21"/>
  <c r="AI37" i="21"/>
  <c r="AF37" i="21"/>
  <c r="AC37" i="21"/>
  <c r="Z37" i="21"/>
  <c r="W37" i="21"/>
  <c r="T37" i="21"/>
  <c r="Q37" i="21"/>
  <c r="N37" i="21"/>
  <c r="K37" i="21"/>
  <c r="H37" i="21"/>
  <c r="BJ36" i="21"/>
  <c r="BG36" i="21"/>
  <c r="BD36" i="21"/>
  <c r="BA36" i="21"/>
  <c r="AX36" i="21"/>
  <c r="AU36" i="21"/>
  <c r="AR36" i="21"/>
  <c r="AO36" i="21"/>
  <c r="AL36" i="21"/>
  <c r="AI36" i="21"/>
  <c r="AF36" i="21"/>
  <c r="AC36" i="21"/>
  <c r="Z36" i="21"/>
  <c r="W36" i="21"/>
  <c r="T36" i="21"/>
  <c r="Q36" i="21"/>
  <c r="N36" i="21"/>
  <c r="K36" i="21"/>
  <c r="H36" i="21"/>
  <c r="BJ35" i="21"/>
  <c r="BG35" i="21"/>
  <c r="BD35" i="21"/>
  <c r="BA35" i="21"/>
  <c r="AX35" i="21"/>
  <c r="AU35" i="21"/>
  <c r="AR35" i="21"/>
  <c r="AO35" i="21"/>
  <c r="AL35" i="21"/>
  <c r="AI35" i="21"/>
  <c r="AF35" i="21"/>
  <c r="AC35" i="21"/>
  <c r="Z35" i="21"/>
  <c r="W35" i="21"/>
  <c r="T35" i="21"/>
  <c r="Q35" i="21"/>
  <c r="N35" i="21"/>
  <c r="K35" i="21"/>
  <c r="H35" i="21"/>
  <c r="BJ34" i="21"/>
  <c r="BG34" i="21"/>
  <c r="BD34" i="21"/>
  <c r="BA34" i="21"/>
  <c r="AX34" i="21"/>
  <c r="AU34" i="21"/>
  <c r="AR34" i="21"/>
  <c r="AO34" i="21"/>
  <c r="AL34" i="21"/>
  <c r="AI34" i="21"/>
  <c r="AF34" i="21"/>
  <c r="AC34" i="21"/>
  <c r="Z34" i="21"/>
  <c r="W34" i="21"/>
  <c r="T34" i="21"/>
  <c r="Q34" i="21"/>
  <c r="N34" i="21"/>
  <c r="K34" i="21"/>
  <c r="H34" i="21"/>
  <c r="BJ33" i="21"/>
  <c r="BG33" i="21"/>
  <c r="BD33" i="21"/>
  <c r="BA33" i="21"/>
  <c r="AX33" i="21"/>
  <c r="AU33" i="21"/>
  <c r="AR33" i="21"/>
  <c r="AO33" i="21"/>
  <c r="AL33" i="21"/>
  <c r="AI33" i="21"/>
  <c r="AF33" i="21"/>
  <c r="AC33" i="21"/>
  <c r="Z33" i="21"/>
  <c r="W33" i="21"/>
  <c r="T33" i="21"/>
  <c r="Q33" i="21"/>
  <c r="N33" i="21"/>
  <c r="K33" i="21"/>
  <c r="H33" i="21"/>
  <c r="BJ32" i="21"/>
  <c r="BG32" i="21"/>
  <c r="BD32" i="21"/>
  <c r="BA32" i="21"/>
  <c r="AX32" i="21"/>
  <c r="AU32" i="21"/>
  <c r="AR32" i="21"/>
  <c r="AO32" i="21"/>
  <c r="AL32" i="21"/>
  <c r="AI32" i="21"/>
  <c r="AF32" i="21"/>
  <c r="AC32" i="21"/>
  <c r="Z32" i="21"/>
  <c r="W32" i="21"/>
  <c r="T32" i="21"/>
  <c r="Q32" i="21"/>
  <c r="N32" i="21"/>
  <c r="K32" i="21"/>
  <c r="H32" i="21"/>
  <c r="BJ31" i="21"/>
  <c r="BG31" i="21"/>
  <c r="BD31" i="21"/>
  <c r="BA31" i="21"/>
  <c r="AX31" i="21"/>
  <c r="AU31" i="21"/>
  <c r="AR31" i="21"/>
  <c r="AO31" i="21"/>
  <c r="AL31" i="21"/>
  <c r="AI31" i="21"/>
  <c r="AF31" i="21"/>
  <c r="AC31" i="21"/>
  <c r="Z31" i="21"/>
  <c r="W31" i="21"/>
  <c r="T31" i="21"/>
  <c r="Q31" i="21"/>
  <c r="N31" i="21"/>
  <c r="K31" i="21"/>
  <c r="H31" i="21"/>
  <c r="BJ30" i="21"/>
  <c r="BG30" i="21"/>
  <c r="BD30" i="21"/>
  <c r="BA30" i="21"/>
  <c r="AX30" i="21"/>
  <c r="AU30" i="21"/>
  <c r="AR30" i="21"/>
  <c r="AO30" i="21"/>
  <c r="AL30" i="21"/>
  <c r="AI30" i="21"/>
  <c r="AF30" i="21"/>
  <c r="AC30" i="21"/>
  <c r="Z30" i="21"/>
  <c r="W30" i="21"/>
  <c r="T30" i="21"/>
  <c r="Q30" i="21"/>
  <c r="N30" i="21"/>
  <c r="K30" i="21"/>
  <c r="H30" i="21"/>
  <c r="BJ29" i="21"/>
  <c r="BG29" i="21"/>
  <c r="BD29" i="21"/>
  <c r="BA29" i="21"/>
  <c r="AX29" i="21"/>
  <c r="AU29" i="21"/>
  <c r="AR29" i="21"/>
  <c r="AO29" i="21"/>
  <c r="AL29" i="21"/>
  <c r="AI29" i="21"/>
  <c r="AF29" i="21"/>
  <c r="AC29" i="21"/>
  <c r="Z29" i="21"/>
  <c r="W29" i="21"/>
  <c r="T29" i="21"/>
  <c r="Q29" i="21"/>
  <c r="N29" i="21"/>
  <c r="K29" i="21"/>
  <c r="H29" i="21"/>
  <c r="BJ28" i="21"/>
  <c r="BG28" i="21"/>
  <c r="BD28" i="21"/>
  <c r="BA28" i="21"/>
  <c r="AX28" i="21"/>
  <c r="AU28" i="21"/>
  <c r="AR28" i="21"/>
  <c r="AO28" i="21"/>
  <c r="AL28" i="21"/>
  <c r="AI28" i="21"/>
  <c r="AF28" i="21"/>
  <c r="AC28" i="21"/>
  <c r="Z28" i="21"/>
  <c r="W28" i="21"/>
  <c r="T28" i="21"/>
  <c r="Q28" i="21"/>
  <c r="N28" i="21"/>
  <c r="K28" i="21"/>
  <c r="H28" i="21"/>
  <c r="BJ27" i="21"/>
  <c r="BG27" i="21"/>
  <c r="BD27" i="21"/>
  <c r="BA27" i="21"/>
  <c r="AX27" i="21"/>
  <c r="AU27" i="21"/>
  <c r="AR27" i="21"/>
  <c r="AO27" i="21"/>
  <c r="AL27" i="21"/>
  <c r="AI27" i="21"/>
  <c r="AF27" i="21"/>
  <c r="AC27" i="21"/>
  <c r="Z27" i="21"/>
  <c r="W27" i="21"/>
  <c r="T27" i="21"/>
  <c r="Q27" i="21"/>
  <c r="N27" i="21"/>
  <c r="K27" i="21"/>
  <c r="H27" i="21"/>
  <c r="BJ26" i="21"/>
  <c r="BG26" i="21"/>
  <c r="BD26" i="21"/>
  <c r="BA26" i="21"/>
  <c r="AX26" i="21"/>
  <c r="AU26" i="21"/>
  <c r="AR26" i="21"/>
  <c r="AO26" i="21"/>
  <c r="AL26" i="21"/>
  <c r="AI26" i="21"/>
  <c r="AF26" i="21"/>
  <c r="AC26" i="21"/>
  <c r="Z26" i="21"/>
  <c r="W26" i="21"/>
  <c r="T26" i="21"/>
  <c r="Q26" i="21"/>
  <c r="N26" i="21"/>
  <c r="K26" i="21"/>
  <c r="H26" i="21"/>
  <c r="BJ25" i="21"/>
  <c r="BG25" i="21"/>
  <c r="BD25" i="21"/>
  <c r="BA25" i="21"/>
  <c r="AX25" i="21"/>
  <c r="AU25" i="21"/>
  <c r="AR25" i="21"/>
  <c r="AO25" i="21"/>
  <c r="AL25" i="21"/>
  <c r="AI25" i="21"/>
  <c r="AF25" i="21"/>
  <c r="AC25" i="21"/>
  <c r="Z25" i="21"/>
  <c r="W25" i="21"/>
  <c r="T25" i="21"/>
  <c r="Q25" i="21"/>
  <c r="N25" i="21"/>
  <c r="K25" i="21"/>
  <c r="H25" i="21"/>
  <c r="BJ24" i="21"/>
  <c r="BG24" i="21"/>
  <c r="BD24" i="21"/>
  <c r="BA24" i="21"/>
  <c r="AX24" i="21"/>
  <c r="AU24" i="21"/>
  <c r="AR24" i="21"/>
  <c r="AO24" i="21"/>
  <c r="AL24" i="21"/>
  <c r="AI24" i="21"/>
  <c r="AF24" i="21"/>
  <c r="AC24" i="21"/>
  <c r="Z24" i="21"/>
  <c r="W24" i="21"/>
  <c r="T24" i="21"/>
  <c r="Q24" i="21"/>
  <c r="N24" i="21"/>
  <c r="K24" i="21"/>
  <c r="H24" i="21"/>
  <c r="BJ23" i="21"/>
  <c r="BG23" i="21"/>
  <c r="BD23" i="21"/>
  <c r="BA23" i="21"/>
  <c r="AX23" i="21"/>
  <c r="AU23" i="21"/>
  <c r="AR23" i="21"/>
  <c r="AO23" i="21"/>
  <c r="AL23" i="21"/>
  <c r="AI23" i="21"/>
  <c r="AF23" i="21"/>
  <c r="AC23" i="21"/>
  <c r="Z23" i="21"/>
  <c r="W23" i="21"/>
  <c r="T23" i="21"/>
  <c r="Q23" i="21"/>
  <c r="N23" i="21"/>
  <c r="K23" i="21"/>
  <c r="H23" i="21"/>
  <c r="BJ22" i="21"/>
  <c r="BG22" i="21"/>
  <c r="BD22" i="21"/>
  <c r="BA22" i="21"/>
  <c r="AX22" i="21"/>
  <c r="AU22" i="21"/>
  <c r="AR22" i="21"/>
  <c r="AO22" i="21"/>
  <c r="AL22" i="21"/>
  <c r="AI22" i="21"/>
  <c r="AF22" i="21"/>
  <c r="AC22" i="21"/>
  <c r="Z22" i="21"/>
  <c r="W22" i="21"/>
  <c r="T22" i="21"/>
  <c r="Q22" i="21"/>
  <c r="N22" i="21"/>
  <c r="K22" i="21"/>
  <c r="H22" i="21"/>
  <c r="BJ21" i="21"/>
  <c r="BG21" i="21"/>
  <c r="BD21" i="21"/>
  <c r="BA21" i="21"/>
  <c r="AX21" i="21"/>
  <c r="AU21" i="21"/>
  <c r="AR21" i="21"/>
  <c r="AO21" i="21"/>
  <c r="AL21" i="21"/>
  <c r="AI21" i="21"/>
  <c r="AF21" i="21"/>
  <c r="AC21" i="21"/>
  <c r="Z21" i="21"/>
  <c r="W21" i="21"/>
  <c r="T21" i="21"/>
  <c r="Q21" i="21"/>
  <c r="N21" i="21"/>
  <c r="K21" i="21"/>
  <c r="H21" i="21"/>
  <c r="D3" i="21"/>
  <c r="D2" i="21"/>
  <c r="W45" i="21" l="1"/>
  <c r="AI45" i="21"/>
  <c r="AU45" i="21"/>
  <c r="BG45" i="21"/>
  <c r="E24" i="21"/>
  <c r="E28" i="21"/>
  <c r="E32" i="21"/>
  <c r="E36" i="21"/>
  <c r="E40" i="21"/>
  <c r="E44" i="21"/>
  <c r="N46" i="21"/>
  <c r="Z46" i="21"/>
  <c r="AL46" i="21"/>
  <c r="AX46" i="21"/>
  <c r="BJ46" i="21"/>
  <c r="E23" i="21"/>
  <c r="E27" i="21"/>
  <c r="E31" i="21"/>
  <c r="E35" i="21"/>
  <c r="E39" i="21"/>
  <c r="E43" i="21"/>
  <c r="Q45" i="21"/>
  <c r="AC45" i="21"/>
  <c r="AO45" i="21"/>
  <c r="BA45" i="21"/>
  <c r="E26" i="21"/>
  <c r="E30" i="21"/>
  <c r="E34" i="21"/>
  <c r="E38" i="21"/>
  <c r="E42" i="21"/>
  <c r="BM45" i="21"/>
  <c r="H46" i="21"/>
  <c r="T46" i="21"/>
  <c r="AF45" i="21"/>
  <c r="AR46" i="21"/>
  <c r="BD45" i="21"/>
  <c r="E22" i="21"/>
  <c r="E25" i="21"/>
  <c r="E29" i="21"/>
  <c r="E33" i="21"/>
  <c r="E37" i="21"/>
  <c r="E41" i="21"/>
  <c r="Z45" i="21"/>
  <c r="AF46" i="21"/>
  <c r="AX45" i="21"/>
  <c r="BD46" i="21"/>
  <c r="T45" i="21"/>
  <c r="AR45" i="21"/>
  <c r="N45" i="21"/>
  <c r="AL45" i="21"/>
  <c r="BJ45" i="21"/>
  <c r="BM46" i="21"/>
  <c r="K45" i="21"/>
  <c r="E21" i="21"/>
  <c r="H45" i="21"/>
  <c r="K46" i="21"/>
  <c r="Q46" i="21"/>
  <c r="W46" i="21"/>
  <c r="AC46" i="21"/>
  <c r="AI46" i="21"/>
  <c r="AO46" i="21"/>
  <c r="AU46" i="21"/>
  <c r="BA46" i="21"/>
  <c r="BG46" i="21"/>
  <c r="D31" i="20"/>
  <c r="E33" i="20"/>
  <c r="E45" i="21" l="1"/>
  <c r="E46" i="21"/>
  <c r="H10" i="20" l="1"/>
  <c r="G23" i="20" l="1"/>
  <c r="G24" i="20"/>
  <c r="G25" i="20"/>
  <c r="G26" i="20"/>
  <c r="G27" i="20"/>
  <c r="G28" i="20"/>
  <c r="G29" i="20"/>
  <c r="G30" i="20"/>
  <c r="R23" i="20"/>
  <c r="R24" i="20"/>
  <c r="R25" i="20"/>
  <c r="R26" i="20"/>
  <c r="R27" i="20"/>
  <c r="R28" i="20"/>
  <c r="R29" i="20"/>
  <c r="R30" i="20"/>
  <c r="O23" i="20"/>
  <c r="O24" i="20"/>
  <c r="O25" i="20"/>
  <c r="O26" i="20"/>
  <c r="O27" i="20"/>
  <c r="O28" i="20"/>
  <c r="O29" i="20"/>
  <c r="O30" i="20"/>
  <c r="L23" i="20"/>
  <c r="L24" i="20"/>
  <c r="L25" i="20"/>
  <c r="L26" i="20"/>
  <c r="L27" i="20"/>
  <c r="L28" i="20"/>
  <c r="L29" i="20"/>
  <c r="L30" i="20"/>
  <c r="I23" i="20"/>
  <c r="I24" i="20"/>
  <c r="I25" i="20"/>
  <c r="I26" i="20"/>
  <c r="I27" i="20"/>
  <c r="I28" i="20"/>
  <c r="I29" i="20"/>
  <c r="I30" i="20"/>
  <c r="G10" i="20"/>
  <c r="J23" i="20" l="1"/>
  <c r="K23" i="20"/>
  <c r="N27" i="20"/>
  <c r="M27" i="20"/>
  <c r="N23" i="20"/>
  <c r="M23" i="20"/>
  <c r="P27" i="20"/>
  <c r="Q27" i="20"/>
  <c r="P23" i="20"/>
  <c r="Q23" i="20"/>
  <c r="T27" i="20"/>
  <c r="S27" i="20"/>
  <c r="T23" i="20"/>
  <c r="S23" i="20"/>
  <c r="K30" i="20"/>
  <c r="J30" i="20"/>
  <c r="K26" i="20"/>
  <c r="J26" i="20"/>
  <c r="M30" i="20"/>
  <c r="N30" i="20"/>
  <c r="N26" i="20"/>
  <c r="M26" i="20"/>
  <c r="P30" i="20"/>
  <c r="Q30" i="20"/>
  <c r="P26" i="20"/>
  <c r="Q26" i="20"/>
  <c r="T30" i="20"/>
  <c r="S30" i="20"/>
  <c r="T26" i="20"/>
  <c r="S26" i="20"/>
  <c r="J27" i="20"/>
  <c r="K27" i="20"/>
  <c r="K29" i="20"/>
  <c r="J29" i="20"/>
  <c r="K25" i="20"/>
  <c r="J25" i="20"/>
  <c r="M29" i="20"/>
  <c r="N29" i="20"/>
  <c r="M25" i="20"/>
  <c r="N25" i="20"/>
  <c r="Q29" i="20"/>
  <c r="P29" i="20"/>
  <c r="Q25" i="20"/>
  <c r="P25" i="20"/>
  <c r="S29" i="20"/>
  <c r="T29" i="20"/>
  <c r="S25" i="20"/>
  <c r="T25" i="20"/>
  <c r="K28" i="20"/>
  <c r="J28" i="20"/>
  <c r="K24" i="20"/>
  <c r="J24" i="20"/>
  <c r="N28" i="20"/>
  <c r="M28" i="20"/>
  <c r="N24" i="20"/>
  <c r="M24" i="20"/>
  <c r="P28" i="20"/>
  <c r="Q28" i="20"/>
  <c r="Q24" i="20"/>
  <c r="P24" i="20"/>
  <c r="S28" i="20"/>
  <c r="T28" i="20"/>
  <c r="S24" i="20"/>
  <c r="T24" i="20"/>
  <c r="A34" i="20" l="1"/>
  <c r="A33" i="20"/>
  <c r="F10" i="20"/>
  <c r="C11" i="13" l="1"/>
  <c r="F30" i="20" l="1"/>
  <c r="H30" i="20" s="1"/>
  <c r="F29" i="20"/>
  <c r="H29" i="20" s="1"/>
  <c r="F28" i="20"/>
  <c r="H28" i="20" s="1"/>
  <c r="F27" i="20"/>
  <c r="H27" i="20" s="1"/>
  <c r="F26" i="20"/>
  <c r="H26" i="20" s="1"/>
  <c r="F25" i="20"/>
  <c r="H25" i="20" s="1"/>
  <c r="F24" i="20"/>
  <c r="H24" i="20" s="1"/>
  <c r="F23" i="20"/>
  <c r="H23" i="20" s="1"/>
  <c r="F22" i="20"/>
  <c r="H22" i="20" s="1"/>
  <c r="G22" i="20" s="1"/>
  <c r="F21" i="20"/>
  <c r="H21" i="20" s="1"/>
  <c r="G21" i="20" s="1"/>
  <c r="F20" i="20"/>
  <c r="H20" i="20" s="1"/>
  <c r="G20" i="20" s="1"/>
  <c r="F19" i="20"/>
  <c r="H19" i="20" s="1"/>
  <c r="G19" i="20" s="1"/>
  <c r="F18" i="20"/>
  <c r="F17" i="20"/>
  <c r="F16" i="20"/>
  <c r="F15" i="20"/>
  <c r="F14" i="20"/>
  <c r="F13" i="20"/>
  <c r="F12" i="20"/>
  <c r="F11" i="20"/>
  <c r="H11" i="20" s="1"/>
  <c r="G11" i="20" s="1"/>
  <c r="F30" i="13" l="1"/>
  <c r="F31" i="13" l="1"/>
  <c r="F32" i="13"/>
  <c r="G30" i="13"/>
  <c r="H30" i="13" l="1"/>
  <c r="G31" i="13"/>
  <c r="G32" i="13"/>
  <c r="A51" i="9"/>
  <c r="A15" i="13"/>
  <c r="A14" i="13"/>
  <c r="A13" i="13"/>
  <c r="A12" i="13"/>
  <c r="I30" i="13" l="1"/>
  <c r="H33" i="13"/>
  <c r="H31" i="13"/>
  <c r="H32" i="13"/>
  <c r="K11" i="20"/>
  <c r="J11" i="20"/>
  <c r="L21" i="20"/>
  <c r="L19" i="20"/>
  <c r="L20" i="20"/>
  <c r="L11" i="20"/>
  <c r="L22" i="20"/>
  <c r="C41" i="13"/>
  <c r="C39" i="13"/>
  <c r="C37" i="13"/>
  <c r="J30" i="13" l="1"/>
  <c r="J44" i="13" s="1"/>
  <c r="J45" i="13" s="1"/>
  <c r="I33" i="13"/>
  <c r="I34" i="13"/>
  <c r="I31" i="13"/>
  <c r="I32" i="13"/>
  <c r="M22" i="20"/>
  <c r="N22" i="20"/>
  <c r="M21" i="20"/>
  <c r="N21" i="20"/>
  <c r="N19" i="20"/>
  <c r="M19" i="20"/>
  <c r="N20" i="20"/>
  <c r="M20" i="20"/>
  <c r="N11" i="20"/>
  <c r="M11" i="20"/>
  <c r="H17" i="20"/>
  <c r="G17" i="20" s="1"/>
  <c r="H18" i="20"/>
  <c r="G18" i="20" s="1"/>
  <c r="I19" i="20"/>
  <c r="I22" i="20"/>
  <c r="I21" i="20"/>
  <c r="I20" i="20"/>
  <c r="R21" i="20"/>
  <c r="R19" i="20"/>
  <c r="R20" i="20"/>
  <c r="R11" i="20"/>
  <c r="R22" i="20"/>
  <c r="H16" i="20"/>
  <c r="G16" i="20" s="1"/>
  <c r="H15" i="20"/>
  <c r="G15" i="20" s="1"/>
  <c r="O22" i="20"/>
  <c r="O20" i="20"/>
  <c r="O19" i="20"/>
  <c r="O11" i="20"/>
  <c r="O21" i="20"/>
  <c r="J33" i="13" l="1"/>
  <c r="J38" i="13"/>
  <c r="J42" i="13"/>
  <c r="J34" i="13"/>
  <c r="J39" i="13"/>
  <c r="J36" i="13"/>
  <c r="J35" i="13"/>
  <c r="J37" i="13"/>
  <c r="J31" i="13"/>
  <c r="J40" i="13"/>
  <c r="J32" i="13"/>
  <c r="J41" i="13"/>
  <c r="K30" i="13"/>
  <c r="I44" i="13"/>
  <c r="I45" i="13" s="1"/>
  <c r="P22" i="20"/>
  <c r="Q22" i="20"/>
  <c r="K20" i="20"/>
  <c r="J20" i="20"/>
  <c r="S20" i="20"/>
  <c r="T20" i="20"/>
  <c r="K21" i="20"/>
  <c r="J21" i="20"/>
  <c r="P19" i="20"/>
  <c r="Q19" i="20"/>
  <c r="T19" i="20"/>
  <c r="S19" i="20"/>
  <c r="K22" i="20"/>
  <c r="J22" i="20"/>
  <c r="Q21" i="20"/>
  <c r="P21" i="20"/>
  <c r="P20" i="20"/>
  <c r="Q20" i="20"/>
  <c r="T22" i="20"/>
  <c r="S22" i="20"/>
  <c r="S21" i="20"/>
  <c r="T21" i="20"/>
  <c r="J19" i="20"/>
  <c r="K19" i="20"/>
  <c r="T11" i="20"/>
  <c r="S11" i="20"/>
  <c r="Q11" i="20"/>
  <c r="P11" i="20"/>
  <c r="H44" i="13"/>
  <c r="H13" i="20"/>
  <c r="G13" i="20" s="1"/>
  <c r="H14" i="20"/>
  <c r="G14" i="20" s="1"/>
  <c r="H12" i="20"/>
  <c r="G12" i="20" s="1"/>
  <c r="H45" i="13" l="1"/>
  <c r="H41" i="13" s="1"/>
  <c r="G44" i="13"/>
  <c r="K33" i="13"/>
  <c r="K34" i="13"/>
  <c r="K36" i="13"/>
  <c r="K31" i="13"/>
  <c r="K32" i="13"/>
  <c r="K35" i="13"/>
  <c r="L30" i="13"/>
  <c r="K44" i="13"/>
  <c r="K45" i="13" s="1"/>
  <c r="K39" i="13" s="1"/>
  <c r="I37" i="13"/>
  <c r="I35" i="13"/>
  <c r="I39" i="13"/>
  <c r="I42" i="13"/>
  <c r="I40" i="13"/>
  <c r="I41" i="13"/>
  <c r="I36" i="13"/>
  <c r="I38" i="13"/>
  <c r="L14" i="20"/>
  <c r="L13" i="20"/>
  <c r="L18" i="20"/>
  <c r="L17" i="20"/>
  <c r="O13" i="20"/>
  <c r="O14" i="20"/>
  <c r="O18" i="20"/>
  <c r="O17" i="20"/>
  <c r="R18" i="20"/>
  <c r="R17" i="20"/>
  <c r="I15" i="20"/>
  <c r="I18" i="20"/>
  <c r="I17" i="20"/>
  <c r="O15" i="20"/>
  <c r="O16" i="20"/>
  <c r="L15" i="20"/>
  <c r="L16" i="20"/>
  <c r="R16" i="20"/>
  <c r="R15" i="20"/>
  <c r="I12" i="20"/>
  <c r="I16" i="20"/>
  <c r="O12" i="20"/>
  <c r="L12" i="20"/>
  <c r="E60" i="15"/>
  <c r="B22" i="1" s="1"/>
  <c r="C22" i="1" s="1"/>
  <c r="E59" i="15"/>
  <c r="B21" i="1" s="1"/>
  <c r="C21" i="1" s="1"/>
  <c r="B59" i="15"/>
  <c r="B60" i="15"/>
  <c r="H36" i="13" l="1"/>
  <c r="H37" i="13"/>
  <c r="H35" i="13"/>
  <c r="H38" i="13"/>
  <c r="H34" i="13"/>
  <c r="H42" i="13"/>
  <c r="H39" i="13"/>
  <c r="H40" i="13"/>
  <c r="F44" i="13"/>
  <c r="G45" i="13"/>
  <c r="K40" i="13"/>
  <c r="K42" i="13"/>
  <c r="K37" i="13"/>
  <c r="K41" i="13"/>
  <c r="K38" i="13"/>
  <c r="M30" i="13"/>
  <c r="L33" i="13"/>
  <c r="L34" i="13"/>
  <c r="L36" i="13"/>
  <c r="L35" i="13"/>
  <c r="L37" i="13"/>
  <c r="L31" i="13"/>
  <c r="L32" i="13"/>
  <c r="L44" i="13"/>
  <c r="L45" i="13" s="1"/>
  <c r="L38" i="13" s="1"/>
  <c r="K16" i="20"/>
  <c r="J16" i="20"/>
  <c r="N16" i="20"/>
  <c r="M16" i="20"/>
  <c r="K17" i="20"/>
  <c r="J17" i="20"/>
  <c r="S17" i="20"/>
  <c r="T17" i="20"/>
  <c r="N18" i="20"/>
  <c r="M18" i="20"/>
  <c r="J12" i="20"/>
  <c r="K12" i="20"/>
  <c r="N15" i="20"/>
  <c r="M15" i="20"/>
  <c r="K18" i="20"/>
  <c r="J18" i="20"/>
  <c r="T18" i="20"/>
  <c r="S18" i="20"/>
  <c r="P14" i="20"/>
  <c r="Q14" i="20"/>
  <c r="M13" i="20"/>
  <c r="N13" i="20"/>
  <c r="P12" i="20"/>
  <c r="Q12" i="20"/>
  <c r="T15" i="20"/>
  <c r="S15" i="20"/>
  <c r="Q16" i="20"/>
  <c r="P16" i="20"/>
  <c r="J15" i="20"/>
  <c r="K15" i="20"/>
  <c r="Q17" i="20"/>
  <c r="P17" i="20"/>
  <c r="Q13" i="20"/>
  <c r="P13" i="20"/>
  <c r="M14" i="20"/>
  <c r="N14" i="20"/>
  <c r="N12" i="20"/>
  <c r="M12" i="20"/>
  <c r="S16" i="20"/>
  <c r="T16" i="20"/>
  <c r="P15" i="20"/>
  <c r="Q15" i="20"/>
  <c r="P18" i="20"/>
  <c r="Q18" i="20"/>
  <c r="M17" i="20"/>
  <c r="N17" i="20"/>
  <c r="R14" i="20"/>
  <c r="R13" i="20"/>
  <c r="R12" i="20"/>
  <c r="I14" i="20"/>
  <c r="F8" i="19"/>
  <c r="F12" i="19"/>
  <c r="F15" i="19"/>
  <c r="F18" i="19"/>
  <c r="F19" i="19"/>
  <c r="F20" i="19"/>
  <c r="F21" i="19"/>
  <c r="F22" i="19"/>
  <c r="D25" i="19"/>
  <c r="F25" i="19"/>
  <c r="D26" i="19"/>
  <c r="D27" i="19"/>
  <c r="D28" i="19"/>
  <c r="D29" i="19"/>
  <c r="D30" i="19"/>
  <c r="F30" i="19"/>
  <c r="B38" i="19"/>
  <c r="B39" i="19"/>
  <c r="D8" i="19" s="1"/>
  <c r="A25" i="1"/>
  <c r="A26" i="1"/>
  <c r="A27" i="1"/>
  <c r="A28" i="1"/>
  <c r="A29" i="1"/>
  <c r="A30" i="1"/>
  <c r="A31" i="1"/>
  <c r="A32" i="1"/>
  <c r="A33" i="1"/>
  <c r="A34" i="1"/>
  <c r="A35" i="1"/>
  <c r="A36" i="1"/>
  <c r="A37" i="1"/>
  <c r="A38" i="1"/>
  <c r="A39" i="1"/>
  <c r="A40" i="1"/>
  <c r="A41" i="1"/>
  <c r="A42" i="1"/>
  <c r="A43" i="1"/>
  <c r="A44" i="1"/>
  <c r="A45" i="1"/>
  <c r="A46" i="1"/>
  <c r="A47" i="1"/>
  <c r="A48" i="1"/>
  <c r="C25" i="1"/>
  <c r="G33" i="13" l="1"/>
  <c r="G41" i="13"/>
  <c r="G35" i="13"/>
  <c r="G37" i="13"/>
  <c r="G36" i="13"/>
  <c r="G34" i="13"/>
  <c r="G39" i="13"/>
  <c r="G42" i="13"/>
  <c r="G40" i="13"/>
  <c r="G38" i="13"/>
  <c r="E44" i="13"/>
  <c r="F45" i="13"/>
  <c r="L39" i="13"/>
  <c r="L41" i="13"/>
  <c r="M33" i="13"/>
  <c r="M38" i="13"/>
  <c r="M34" i="13"/>
  <c r="M36" i="13"/>
  <c r="M31" i="13"/>
  <c r="M32" i="13"/>
  <c r="M35" i="13"/>
  <c r="M37" i="13"/>
  <c r="N30" i="13"/>
  <c r="M44" i="13"/>
  <c r="M45" i="13" s="1"/>
  <c r="M42" i="13" s="1"/>
  <c r="L42" i="13"/>
  <c r="L40" i="13"/>
  <c r="D19" i="19"/>
  <c r="D16" i="19"/>
  <c r="K13" i="20"/>
  <c r="J13" i="20"/>
  <c r="S13" i="20"/>
  <c r="T13" i="20"/>
  <c r="K14" i="20"/>
  <c r="J14" i="20"/>
  <c r="T14" i="20"/>
  <c r="S14" i="20"/>
  <c r="S12" i="20"/>
  <c r="T12" i="20"/>
  <c r="M33" i="20"/>
  <c r="L35" i="20" s="1"/>
  <c r="P33" i="20"/>
  <c r="O35" i="20" s="1"/>
  <c r="D17" i="19"/>
  <c r="D10" i="19"/>
  <c r="D20" i="19"/>
  <c r="D18" i="19"/>
  <c r="D15" i="19"/>
  <c r="F33" i="13" l="1"/>
  <c r="F37" i="13"/>
  <c r="F41" i="13"/>
  <c r="F34" i="13"/>
  <c r="F38" i="13"/>
  <c r="F42" i="13"/>
  <c r="F35" i="13"/>
  <c r="F39" i="13"/>
  <c r="F36" i="13"/>
  <c r="F40" i="13"/>
  <c r="D44" i="13"/>
  <c r="D45" i="13" s="1"/>
  <c r="D31" i="13" s="1"/>
  <c r="E45" i="13"/>
  <c r="M41" i="13"/>
  <c r="N44" i="13"/>
  <c r="N45" i="13" s="1"/>
  <c r="N42" i="13" s="1"/>
  <c r="N33" i="13"/>
  <c r="N38" i="13"/>
  <c r="N34" i="13"/>
  <c r="N39" i="13"/>
  <c r="N36" i="13"/>
  <c r="N35" i="13"/>
  <c r="N37" i="13"/>
  <c r="N31" i="13"/>
  <c r="N32" i="13"/>
  <c r="O30" i="13"/>
  <c r="M39" i="13"/>
  <c r="M40" i="13"/>
  <c r="S33" i="20"/>
  <c r="R35" i="20" s="1"/>
  <c r="J33" i="20"/>
  <c r="I35" i="20" s="1"/>
  <c r="E63" i="15"/>
  <c r="E62" i="15"/>
  <c r="B8" i="25" s="1"/>
  <c r="E33" i="13" l="1"/>
  <c r="E38" i="13"/>
  <c r="E32" i="13"/>
  <c r="E37" i="13"/>
  <c r="E42" i="13"/>
  <c r="E36" i="13"/>
  <c r="E41" i="13"/>
  <c r="E35" i="13"/>
  <c r="E40" i="13"/>
  <c r="E34" i="13"/>
  <c r="E39" i="13"/>
  <c r="D35" i="13"/>
  <c r="D33" i="13"/>
  <c r="D38" i="13"/>
  <c r="D37" i="13"/>
  <c r="D39" i="13"/>
  <c r="D41" i="13"/>
  <c r="D34" i="13"/>
  <c r="D40" i="13"/>
  <c r="D36" i="13"/>
  <c r="D42" i="13"/>
  <c r="D32" i="13"/>
  <c r="N40" i="13"/>
  <c r="N41" i="13"/>
  <c r="O44" i="13"/>
  <c r="O45" i="13" s="1"/>
  <c r="O42" i="13" s="1"/>
  <c r="O33" i="13"/>
  <c r="O38" i="13"/>
  <c r="O34" i="13"/>
  <c r="O39" i="13"/>
  <c r="O36" i="13"/>
  <c r="O31" i="13"/>
  <c r="O40" i="13"/>
  <c r="O32" i="13"/>
  <c r="O35" i="13"/>
  <c r="O37" i="13"/>
  <c r="P30" i="13"/>
  <c r="B13" i="1"/>
  <c r="B51" i="9"/>
  <c r="B14" i="1"/>
  <c r="D44" i="15"/>
  <c r="C48" i="1" s="1"/>
  <c r="C44" i="15"/>
  <c r="B48" i="1" s="1"/>
  <c r="D43" i="15"/>
  <c r="C47" i="1" s="1"/>
  <c r="C43" i="15"/>
  <c r="B47" i="1" s="1"/>
  <c r="D42" i="15"/>
  <c r="C46" i="1" s="1"/>
  <c r="C42" i="15"/>
  <c r="B46" i="1" s="1"/>
  <c r="D41" i="15"/>
  <c r="C45" i="1" s="1"/>
  <c r="C41" i="15"/>
  <c r="B45" i="1" s="1"/>
  <c r="D40" i="15"/>
  <c r="C44" i="1" s="1"/>
  <c r="C40" i="15"/>
  <c r="B44" i="1" s="1"/>
  <c r="D39" i="15"/>
  <c r="C43" i="1" s="1"/>
  <c r="C39" i="15"/>
  <c r="B43" i="1" s="1"/>
  <c r="D38" i="15"/>
  <c r="C42" i="1" s="1"/>
  <c r="C38" i="15"/>
  <c r="B42" i="1" s="1"/>
  <c r="D37" i="15"/>
  <c r="C41" i="1" s="1"/>
  <c r="C37" i="15"/>
  <c r="B41" i="1" s="1"/>
  <c r="D36" i="15"/>
  <c r="C40" i="1" s="1"/>
  <c r="C36" i="15"/>
  <c r="B40" i="1" s="1"/>
  <c r="D35" i="15"/>
  <c r="C39" i="1" s="1"/>
  <c r="C35" i="15"/>
  <c r="B39" i="1" s="1"/>
  <c r="D34" i="15"/>
  <c r="C38" i="1" s="1"/>
  <c r="C34" i="15"/>
  <c r="B38" i="1" s="1"/>
  <c r="D33" i="15"/>
  <c r="C37" i="1" s="1"/>
  <c r="C33" i="15"/>
  <c r="B37" i="1" s="1"/>
  <c r="D32" i="15"/>
  <c r="C36" i="1" s="1"/>
  <c r="C32" i="15"/>
  <c r="B36" i="1" s="1"/>
  <c r="D31" i="15"/>
  <c r="C35" i="1" s="1"/>
  <c r="C31" i="15"/>
  <c r="B35" i="1" s="1"/>
  <c r="D30" i="15"/>
  <c r="C34" i="1" s="1"/>
  <c r="C30" i="15"/>
  <c r="B34" i="1" s="1"/>
  <c r="D29" i="15"/>
  <c r="C33" i="1" s="1"/>
  <c r="C29" i="15"/>
  <c r="B33" i="1" s="1"/>
  <c r="D28" i="15"/>
  <c r="C32" i="1" s="1"/>
  <c r="C28" i="15"/>
  <c r="B32" i="1" s="1"/>
  <c r="D27" i="15"/>
  <c r="C31" i="1" s="1"/>
  <c r="C27" i="15"/>
  <c r="B31" i="1" s="1"/>
  <c r="D26" i="15"/>
  <c r="C30" i="1" s="1"/>
  <c r="C26" i="15"/>
  <c r="B30" i="1" s="1"/>
  <c r="D25" i="15"/>
  <c r="C29" i="1" s="1"/>
  <c r="C25" i="15"/>
  <c r="B29" i="1" s="1"/>
  <c r="D24" i="15"/>
  <c r="C28" i="1" s="1"/>
  <c r="C24" i="15"/>
  <c r="B28" i="1" s="1"/>
  <c r="D23" i="15"/>
  <c r="C27" i="1" s="1"/>
  <c r="C23" i="15"/>
  <c r="B27" i="1" s="1"/>
  <c r="D22" i="15"/>
  <c r="C26" i="1" s="1"/>
  <c r="C22" i="15"/>
  <c r="B26" i="1" s="1"/>
  <c r="C21" i="15"/>
  <c r="B25" i="1" s="1"/>
  <c r="CQ44" i="15"/>
  <c r="CN44" i="15"/>
  <c r="CK44" i="15"/>
  <c r="CH44" i="15"/>
  <c r="CE44" i="15"/>
  <c r="CB44" i="15"/>
  <c r="BY44" i="15"/>
  <c r="BV44" i="15"/>
  <c r="BS44" i="15"/>
  <c r="BP44" i="15"/>
  <c r="BM44" i="15"/>
  <c r="BJ44" i="15"/>
  <c r="BG44" i="15"/>
  <c r="BD44" i="15"/>
  <c r="BA44" i="15"/>
  <c r="AX44" i="15"/>
  <c r="AU44" i="15"/>
  <c r="AR44" i="15"/>
  <c r="AO44" i="15"/>
  <c r="AL44" i="15"/>
  <c r="AI44" i="15"/>
  <c r="AF44" i="15"/>
  <c r="AC44" i="15"/>
  <c r="Z44" i="15"/>
  <c r="CQ43" i="15"/>
  <c r="CN43" i="15"/>
  <c r="CK43" i="15"/>
  <c r="CH43" i="15"/>
  <c r="CE43" i="15"/>
  <c r="CB43" i="15"/>
  <c r="BY43" i="15"/>
  <c r="BV43" i="15"/>
  <c r="BS43" i="15"/>
  <c r="BP43" i="15"/>
  <c r="BM43" i="15"/>
  <c r="BJ43" i="15"/>
  <c r="BG43" i="15"/>
  <c r="BD43" i="15"/>
  <c r="BA43" i="15"/>
  <c r="AX43" i="15"/>
  <c r="AU43" i="15"/>
  <c r="AR43" i="15"/>
  <c r="AO43" i="15"/>
  <c r="AL43" i="15"/>
  <c r="AI43" i="15"/>
  <c r="AF43" i="15"/>
  <c r="AC43" i="15"/>
  <c r="Z43" i="15"/>
  <c r="CQ42" i="15"/>
  <c r="CN42" i="15"/>
  <c r="CK42" i="15"/>
  <c r="CH42" i="15"/>
  <c r="CE42" i="15"/>
  <c r="CB42" i="15"/>
  <c r="BY42" i="15"/>
  <c r="BV42" i="15"/>
  <c r="BS42" i="15"/>
  <c r="BP42" i="15"/>
  <c r="BM42" i="15"/>
  <c r="BJ42" i="15"/>
  <c r="BG42" i="15"/>
  <c r="BD42" i="15"/>
  <c r="BA42" i="15"/>
  <c r="AX42" i="15"/>
  <c r="AU42" i="15"/>
  <c r="AR42" i="15"/>
  <c r="AO42" i="15"/>
  <c r="AL42" i="15"/>
  <c r="AI42" i="15"/>
  <c r="AF42" i="15"/>
  <c r="AC42" i="15"/>
  <c r="Z42" i="15"/>
  <c r="CQ41" i="15"/>
  <c r="CN41" i="15"/>
  <c r="CK41" i="15"/>
  <c r="CH41" i="15"/>
  <c r="CE41" i="15"/>
  <c r="CB41" i="15"/>
  <c r="BY41" i="15"/>
  <c r="BV41" i="15"/>
  <c r="BS41" i="15"/>
  <c r="BP41" i="15"/>
  <c r="BM41" i="15"/>
  <c r="BJ41" i="15"/>
  <c r="BG41" i="15"/>
  <c r="BD41" i="15"/>
  <c r="BA41" i="15"/>
  <c r="AX41" i="15"/>
  <c r="AU41" i="15"/>
  <c r="AR41" i="15"/>
  <c r="AO41" i="15"/>
  <c r="AL41" i="15"/>
  <c r="AI41" i="15"/>
  <c r="AF41" i="15"/>
  <c r="AC41" i="15"/>
  <c r="Z41" i="15"/>
  <c r="CQ40" i="15"/>
  <c r="CN40" i="15"/>
  <c r="CK40" i="15"/>
  <c r="CH40" i="15"/>
  <c r="CE40" i="15"/>
  <c r="CB40" i="15"/>
  <c r="BY40" i="15"/>
  <c r="BV40" i="15"/>
  <c r="BS40" i="15"/>
  <c r="BP40" i="15"/>
  <c r="BM40" i="15"/>
  <c r="BJ40" i="15"/>
  <c r="BG40" i="15"/>
  <c r="BD40" i="15"/>
  <c r="BA40" i="15"/>
  <c r="AX40" i="15"/>
  <c r="AU40" i="15"/>
  <c r="AR40" i="15"/>
  <c r="AO40" i="15"/>
  <c r="AL40" i="15"/>
  <c r="AI40" i="15"/>
  <c r="AF40" i="15"/>
  <c r="AC40" i="15"/>
  <c r="Z40" i="15"/>
  <c r="CQ39" i="15"/>
  <c r="CN39" i="15"/>
  <c r="CK39" i="15"/>
  <c r="CH39" i="15"/>
  <c r="CE39" i="15"/>
  <c r="CB39" i="15"/>
  <c r="BY39" i="15"/>
  <c r="BV39" i="15"/>
  <c r="BS39" i="15"/>
  <c r="BP39" i="15"/>
  <c r="BM39" i="15"/>
  <c r="BJ39" i="15"/>
  <c r="BG39" i="15"/>
  <c r="BD39" i="15"/>
  <c r="BA39" i="15"/>
  <c r="AX39" i="15"/>
  <c r="AU39" i="15"/>
  <c r="AR39" i="15"/>
  <c r="AO39" i="15"/>
  <c r="AL39" i="15"/>
  <c r="AI39" i="15"/>
  <c r="AF39" i="15"/>
  <c r="AC39" i="15"/>
  <c r="Z39" i="15"/>
  <c r="CQ38" i="15"/>
  <c r="CN38" i="15"/>
  <c r="CK38" i="15"/>
  <c r="CH38" i="15"/>
  <c r="CE38" i="15"/>
  <c r="CB38" i="15"/>
  <c r="BY38" i="15"/>
  <c r="BV38" i="15"/>
  <c r="BS38" i="15"/>
  <c r="BP38" i="15"/>
  <c r="BM38" i="15"/>
  <c r="BJ38" i="15"/>
  <c r="BG38" i="15"/>
  <c r="BD38" i="15"/>
  <c r="BA38" i="15"/>
  <c r="AX38" i="15"/>
  <c r="AU38" i="15"/>
  <c r="AR38" i="15"/>
  <c r="AO38" i="15"/>
  <c r="AL38" i="15"/>
  <c r="AI38" i="15"/>
  <c r="AF38" i="15"/>
  <c r="AC38" i="15"/>
  <c r="Z38" i="15"/>
  <c r="CQ37" i="15"/>
  <c r="CN37" i="15"/>
  <c r="CK37" i="15"/>
  <c r="CH37" i="15"/>
  <c r="CE37" i="15"/>
  <c r="CB37" i="15"/>
  <c r="BY37" i="15"/>
  <c r="BV37" i="15"/>
  <c r="BS37" i="15"/>
  <c r="BP37" i="15"/>
  <c r="BM37" i="15"/>
  <c r="BJ37" i="15"/>
  <c r="BG37" i="15"/>
  <c r="BD37" i="15"/>
  <c r="BA37" i="15"/>
  <c r="AX37" i="15"/>
  <c r="AU37" i="15"/>
  <c r="AR37" i="15"/>
  <c r="AO37" i="15"/>
  <c r="AL37" i="15"/>
  <c r="AI37" i="15"/>
  <c r="AF37" i="15"/>
  <c r="AC37" i="15"/>
  <c r="Z37" i="15"/>
  <c r="CQ36" i="15"/>
  <c r="CN36" i="15"/>
  <c r="CK36" i="15"/>
  <c r="CH36" i="15"/>
  <c r="CE36" i="15"/>
  <c r="CB36" i="15"/>
  <c r="BY36" i="15"/>
  <c r="BV36" i="15"/>
  <c r="BS36" i="15"/>
  <c r="BP36" i="15"/>
  <c r="BM36" i="15"/>
  <c r="BJ36" i="15"/>
  <c r="BG36" i="15"/>
  <c r="BD36" i="15"/>
  <c r="BA36" i="15"/>
  <c r="AX36" i="15"/>
  <c r="AU36" i="15"/>
  <c r="AR36" i="15"/>
  <c r="AO36" i="15"/>
  <c r="AL36" i="15"/>
  <c r="AI36" i="15"/>
  <c r="AF36" i="15"/>
  <c r="AC36" i="15"/>
  <c r="Z36" i="15"/>
  <c r="CQ35" i="15"/>
  <c r="CN35" i="15"/>
  <c r="CK35" i="15"/>
  <c r="CH35" i="15"/>
  <c r="CE35" i="15"/>
  <c r="CB35" i="15"/>
  <c r="BY35" i="15"/>
  <c r="BV35" i="15"/>
  <c r="BS35" i="15"/>
  <c r="BP35" i="15"/>
  <c r="BM35" i="15"/>
  <c r="BJ35" i="15"/>
  <c r="BG35" i="15"/>
  <c r="BD35" i="15"/>
  <c r="BA35" i="15"/>
  <c r="AX35" i="15"/>
  <c r="AU35" i="15"/>
  <c r="AR35" i="15"/>
  <c r="AO35" i="15"/>
  <c r="AL35" i="15"/>
  <c r="AI35" i="15"/>
  <c r="AF35" i="15"/>
  <c r="AC35" i="15"/>
  <c r="Z35" i="15"/>
  <c r="CQ34" i="15"/>
  <c r="CN34" i="15"/>
  <c r="CK34" i="15"/>
  <c r="CH34" i="15"/>
  <c r="CE34" i="15"/>
  <c r="CB34" i="15"/>
  <c r="BY34" i="15"/>
  <c r="BV34" i="15"/>
  <c r="BS34" i="15"/>
  <c r="BP34" i="15"/>
  <c r="BM34" i="15"/>
  <c r="BJ34" i="15"/>
  <c r="BG34" i="15"/>
  <c r="BD34" i="15"/>
  <c r="BA34" i="15"/>
  <c r="AX34" i="15"/>
  <c r="AU34" i="15"/>
  <c r="AR34" i="15"/>
  <c r="AO34" i="15"/>
  <c r="AL34" i="15"/>
  <c r="AI34" i="15"/>
  <c r="AF34" i="15"/>
  <c r="AC34" i="15"/>
  <c r="Z34" i="15"/>
  <c r="CQ33" i="15"/>
  <c r="CN33" i="15"/>
  <c r="CK33" i="15"/>
  <c r="CH33" i="15"/>
  <c r="CE33" i="15"/>
  <c r="CB33" i="15"/>
  <c r="BY33" i="15"/>
  <c r="BV33" i="15"/>
  <c r="BS33" i="15"/>
  <c r="BP33" i="15"/>
  <c r="BM33" i="15"/>
  <c r="BJ33" i="15"/>
  <c r="BG33" i="15"/>
  <c r="BD33" i="15"/>
  <c r="BA33" i="15"/>
  <c r="AX33" i="15"/>
  <c r="AU33" i="15"/>
  <c r="AR33" i="15"/>
  <c r="AO33" i="15"/>
  <c r="AL33" i="15"/>
  <c r="AI33" i="15"/>
  <c r="AF33" i="15"/>
  <c r="AC33" i="15"/>
  <c r="Z33" i="15"/>
  <c r="CQ32" i="15"/>
  <c r="CN32" i="15"/>
  <c r="CK32" i="15"/>
  <c r="CH32" i="15"/>
  <c r="CE32" i="15"/>
  <c r="CB32" i="15"/>
  <c r="BY32" i="15"/>
  <c r="BV32" i="15"/>
  <c r="BS32" i="15"/>
  <c r="BP32" i="15"/>
  <c r="BM32" i="15"/>
  <c r="BJ32" i="15"/>
  <c r="BG32" i="15"/>
  <c r="BD32" i="15"/>
  <c r="BA32" i="15"/>
  <c r="AX32" i="15"/>
  <c r="AU32" i="15"/>
  <c r="AR32" i="15"/>
  <c r="AO32" i="15"/>
  <c r="AL32" i="15"/>
  <c r="AI32" i="15"/>
  <c r="AF32" i="15"/>
  <c r="AC32" i="15"/>
  <c r="Z32" i="15"/>
  <c r="CQ31" i="15"/>
  <c r="CN31" i="15"/>
  <c r="CK31" i="15"/>
  <c r="CH31" i="15"/>
  <c r="CE31" i="15"/>
  <c r="CB31" i="15"/>
  <c r="BY31" i="15"/>
  <c r="BV31" i="15"/>
  <c r="BS31" i="15"/>
  <c r="BP31" i="15"/>
  <c r="BM31" i="15"/>
  <c r="BJ31" i="15"/>
  <c r="BG31" i="15"/>
  <c r="BD31" i="15"/>
  <c r="BA31" i="15"/>
  <c r="AX31" i="15"/>
  <c r="AU31" i="15"/>
  <c r="AR31" i="15"/>
  <c r="AO31" i="15"/>
  <c r="AL31" i="15"/>
  <c r="AI31" i="15"/>
  <c r="AF31" i="15"/>
  <c r="AC31" i="15"/>
  <c r="Z31" i="15"/>
  <c r="CQ30" i="15"/>
  <c r="CN30" i="15"/>
  <c r="CK30" i="15"/>
  <c r="CH30" i="15"/>
  <c r="CE30" i="15"/>
  <c r="CB30" i="15"/>
  <c r="BY30" i="15"/>
  <c r="BV30" i="15"/>
  <c r="BS30" i="15"/>
  <c r="BP30" i="15"/>
  <c r="BM30" i="15"/>
  <c r="BJ30" i="15"/>
  <c r="BG30" i="15"/>
  <c r="BD30" i="15"/>
  <c r="BA30" i="15"/>
  <c r="AX30" i="15"/>
  <c r="AU30" i="15"/>
  <c r="AR30" i="15"/>
  <c r="AO30" i="15"/>
  <c r="AL30" i="15"/>
  <c r="AI30" i="15"/>
  <c r="AF30" i="15"/>
  <c r="AC30" i="15"/>
  <c r="Z30" i="15"/>
  <c r="CQ29" i="15"/>
  <c r="CN29" i="15"/>
  <c r="CK29" i="15"/>
  <c r="CH29" i="15"/>
  <c r="CE29" i="15"/>
  <c r="CB29" i="15"/>
  <c r="BY29" i="15"/>
  <c r="BV29" i="15"/>
  <c r="BS29" i="15"/>
  <c r="BP29" i="15"/>
  <c r="BM29" i="15"/>
  <c r="BJ29" i="15"/>
  <c r="BG29" i="15"/>
  <c r="BD29" i="15"/>
  <c r="BA29" i="15"/>
  <c r="AX29" i="15"/>
  <c r="AU29" i="15"/>
  <c r="AR29" i="15"/>
  <c r="AO29" i="15"/>
  <c r="AL29" i="15"/>
  <c r="AI29" i="15"/>
  <c r="AF29" i="15"/>
  <c r="AC29" i="15"/>
  <c r="Z29" i="15"/>
  <c r="CQ28" i="15"/>
  <c r="CN28" i="15"/>
  <c r="CK28" i="15"/>
  <c r="CH28" i="15"/>
  <c r="CE28" i="15"/>
  <c r="CB28" i="15"/>
  <c r="BY28" i="15"/>
  <c r="BV28" i="15"/>
  <c r="BS28" i="15"/>
  <c r="BP28" i="15"/>
  <c r="BM28" i="15"/>
  <c r="BJ28" i="15"/>
  <c r="BG28" i="15"/>
  <c r="BD28" i="15"/>
  <c r="BA28" i="15"/>
  <c r="AX28" i="15"/>
  <c r="AU28" i="15"/>
  <c r="AR28" i="15"/>
  <c r="AO28" i="15"/>
  <c r="AL28" i="15"/>
  <c r="AI28" i="15"/>
  <c r="AF28" i="15"/>
  <c r="AC28" i="15"/>
  <c r="Z28" i="15"/>
  <c r="CQ27" i="15"/>
  <c r="CN27" i="15"/>
  <c r="CK27" i="15"/>
  <c r="CH27" i="15"/>
  <c r="CE27" i="15"/>
  <c r="CB27" i="15"/>
  <c r="BY27" i="15"/>
  <c r="BV27" i="15"/>
  <c r="BS27" i="15"/>
  <c r="BP27" i="15"/>
  <c r="BM27" i="15"/>
  <c r="BJ27" i="15"/>
  <c r="BG27" i="15"/>
  <c r="BD27" i="15"/>
  <c r="BA27" i="15"/>
  <c r="AX27" i="15"/>
  <c r="AU27" i="15"/>
  <c r="AR27" i="15"/>
  <c r="AO27" i="15"/>
  <c r="AL27" i="15"/>
  <c r="AI27" i="15"/>
  <c r="AF27" i="15"/>
  <c r="AC27" i="15"/>
  <c r="Z27" i="15"/>
  <c r="CQ26" i="15"/>
  <c r="CN26" i="15"/>
  <c r="CK26" i="15"/>
  <c r="CH26" i="15"/>
  <c r="CE26" i="15"/>
  <c r="CB26" i="15"/>
  <c r="BY26" i="15"/>
  <c r="BV26" i="15"/>
  <c r="BS26" i="15"/>
  <c r="BP26" i="15"/>
  <c r="BM26" i="15"/>
  <c r="BJ26" i="15"/>
  <c r="BG26" i="15"/>
  <c r="BD26" i="15"/>
  <c r="BA26" i="15"/>
  <c r="AX26" i="15"/>
  <c r="AU26" i="15"/>
  <c r="AR26" i="15"/>
  <c r="AO26" i="15"/>
  <c r="AL26" i="15"/>
  <c r="AI26" i="15"/>
  <c r="AF26" i="15"/>
  <c r="AC26" i="15"/>
  <c r="Z26" i="15"/>
  <c r="CQ25" i="15"/>
  <c r="CN25" i="15"/>
  <c r="CK25" i="15"/>
  <c r="CH25" i="15"/>
  <c r="CE25" i="15"/>
  <c r="CB25" i="15"/>
  <c r="BY25" i="15"/>
  <c r="BV25" i="15"/>
  <c r="BS25" i="15"/>
  <c r="BP25" i="15"/>
  <c r="BM25" i="15"/>
  <c r="BJ25" i="15"/>
  <c r="BG25" i="15"/>
  <c r="BD25" i="15"/>
  <c r="BA25" i="15"/>
  <c r="AX25" i="15"/>
  <c r="AU25" i="15"/>
  <c r="AR25" i="15"/>
  <c r="AO25" i="15"/>
  <c r="AL25" i="15"/>
  <c r="AI25" i="15"/>
  <c r="AF25" i="15"/>
  <c r="AC25" i="15"/>
  <c r="Z25" i="15"/>
  <c r="CQ24" i="15"/>
  <c r="CN24" i="15"/>
  <c r="CK24" i="15"/>
  <c r="CH24" i="15"/>
  <c r="CE24" i="15"/>
  <c r="CB24" i="15"/>
  <c r="BY24" i="15"/>
  <c r="BV24" i="15"/>
  <c r="BS24" i="15"/>
  <c r="BP24" i="15"/>
  <c r="BM24" i="15"/>
  <c r="BJ24" i="15"/>
  <c r="BG24" i="15"/>
  <c r="BD24" i="15"/>
  <c r="BA24" i="15"/>
  <c r="AX24" i="15"/>
  <c r="AU24" i="15"/>
  <c r="AR24" i="15"/>
  <c r="AO24" i="15"/>
  <c r="AL24" i="15"/>
  <c r="AI24" i="15"/>
  <c r="AF24" i="15"/>
  <c r="AC24" i="15"/>
  <c r="Z24" i="15"/>
  <c r="CQ23" i="15"/>
  <c r="CN23" i="15"/>
  <c r="CK23" i="15"/>
  <c r="CH23" i="15"/>
  <c r="CE23" i="15"/>
  <c r="CB23" i="15"/>
  <c r="BY23" i="15"/>
  <c r="BV23" i="15"/>
  <c r="BS23" i="15"/>
  <c r="BP23" i="15"/>
  <c r="BM23" i="15"/>
  <c r="BJ23" i="15"/>
  <c r="BG23" i="15"/>
  <c r="BD23" i="15"/>
  <c r="BA23" i="15"/>
  <c r="AX23" i="15"/>
  <c r="AU23" i="15"/>
  <c r="AR23" i="15"/>
  <c r="AO23" i="15"/>
  <c r="AL23" i="15"/>
  <c r="AI23" i="15"/>
  <c r="AF23" i="15"/>
  <c r="AC23" i="15"/>
  <c r="Z23" i="15"/>
  <c r="CQ22" i="15"/>
  <c r="CN22" i="15"/>
  <c r="CK22" i="15"/>
  <c r="CH22" i="15"/>
  <c r="CE22" i="15"/>
  <c r="CB22" i="15"/>
  <c r="BY22" i="15"/>
  <c r="BV22" i="15"/>
  <c r="BS22" i="15"/>
  <c r="BP22" i="15"/>
  <c r="BM22" i="15"/>
  <c r="BJ22" i="15"/>
  <c r="BG22" i="15"/>
  <c r="BD22" i="15"/>
  <c r="BA22" i="15"/>
  <c r="AX22" i="15"/>
  <c r="AU22" i="15"/>
  <c r="AR22" i="15"/>
  <c r="AO22" i="15"/>
  <c r="AL22" i="15"/>
  <c r="AI22" i="15"/>
  <c r="AF22" i="15"/>
  <c r="AC22" i="15"/>
  <c r="Z22" i="15"/>
  <c r="CQ21" i="15"/>
  <c r="CQ68" i="15" s="1"/>
  <c r="CQ69" i="15" s="1"/>
  <c r="CN21" i="15"/>
  <c r="CN68" i="15" s="1"/>
  <c r="CN69" i="15" s="1"/>
  <c r="CK21" i="15"/>
  <c r="CK68" i="15" s="1"/>
  <c r="CK69" i="15" s="1"/>
  <c r="CH21" i="15"/>
  <c r="CH68" i="15" s="1"/>
  <c r="CH69" i="15" s="1"/>
  <c r="CE21" i="15"/>
  <c r="CE68" i="15" s="1"/>
  <c r="CE69" i="15" s="1"/>
  <c r="CB21" i="15"/>
  <c r="CB68" i="15" s="1"/>
  <c r="CB69" i="15" s="1"/>
  <c r="BY21" i="15"/>
  <c r="BY68" i="15" s="1"/>
  <c r="BY69" i="15" s="1"/>
  <c r="BV21" i="15"/>
  <c r="BV68" i="15" s="1"/>
  <c r="BV69" i="15" s="1"/>
  <c r="BS21" i="15"/>
  <c r="BS68" i="15" s="1"/>
  <c r="BS69" i="15" s="1"/>
  <c r="BP21" i="15"/>
  <c r="BP68" i="15" s="1"/>
  <c r="BP69" i="15" s="1"/>
  <c r="BM21" i="15"/>
  <c r="BM68" i="15" s="1"/>
  <c r="BM69" i="15" s="1"/>
  <c r="BJ21" i="15"/>
  <c r="BJ68" i="15" s="1"/>
  <c r="BJ69" i="15" s="1"/>
  <c r="BG21" i="15"/>
  <c r="BG68" i="15" s="1"/>
  <c r="BG69" i="15" s="1"/>
  <c r="BD21" i="15"/>
  <c r="BD68" i="15" s="1"/>
  <c r="BD69" i="15" s="1"/>
  <c r="BA21" i="15"/>
  <c r="BA68" i="15" s="1"/>
  <c r="BA69" i="15" s="1"/>
  <c r="AX21" i="15"/>
  <c r="AX68" i="15" s="1"/>
  <c r="AX69" i="15" s="1"/>
  <c r="AU21" i="15"/>
  <c r="AU68" i="15" s="1"/>
  <c r="AU69" i="15" s="1"/>
  <c r="AR21" i="15"/>
  <c r="AR68" i="15" s="1"/>
  <c r="AR69" i="15" s="1"/>
  <c r="AO21" i="15"/>
  <c r="AO68" i="15" s="1"/>
  <c r="AO69" i="15" s="1"/>
  <c r="AL21" i="15"/>
  <c r="AL68" i="15" s="1"/>
  <c r="AL69" i="15" s="1"/>
  <c r="AI21" i="15"/>
  <c r="AI68" i="15" s="1"/>
  <c r="AI69" i="15" s="1"/>
  <c r="AF21" i="15"/>
  <c r="AF68" i="15" s="1"/>
  <c r="AF69" i="15" s="1"/>
  <c r="AC21" i="15"/>
  <c r="AC68" i="15" s="1"/>
  <c r="Z21" i="15"/>
  <c r="Z68" i="15" s="1"/>
  <c r="B18" i="1" l="1"/>
  <c r="C18" i="1" s="1"/>
  <c r="I63" i="9"/>
  <c r="I67" i="9"/>
  <c r="I64" i="9"/>
  <c r="I68" i="9"/>
  <c r="I61" i="9"/>
  <c r="I65" i="9"/>
  <c r="I69" i="9"/>
  <c r="I62" i="9"/>
  <c r="I66" i="9"/>
  <c r="I60" i="9"/>
  <c r="AC69" i="15"/>
  <c r="AC72" i="15"/>
  <c r="Z69" i="15"/>
  <c r="Z72" i="15"/>
  <c r="BS70" i="15"/>
  <c r="BJ70" i="15"/>
  <c r="BY70" i="15"/>
  <c r="O41" i="13"/>
  <c r="E19" i="25"/>
  <c r="E16" i="25"/>
  <c r="E17" i="25"/>
  <c r="E18" i="25"/>
  <c r="P33" i="13"/>
  <c r="P38" i="13"/>
  <c r="P34" i="13"/>
  <c r="P39" i="13"/>
  <c r="P36" i="13"/>
  <c r="P35" i="13"/>
  <c r="P37" i="13"/>
  <c r="P31" i="13"/>
  <c r="P40" i="13"/>
  <c r="P32" i="13"/>
  <c r="P41" i="13"/>
  <c r="P44" i="13"/>
  <c r="P45" i="13" s="1"/>
  <c r="P42" i="13" s="1"/>
  <c r="AI64" i="15"/>
  <c r="AI65" i="15" s="1"/>
  <c r="AI70" i="15" s="1"/>
  <c r="AI57" i="15"/>
  <c r="AI56" i="15"/>
  <c r="AI55" i="15"/>
  <c r="AI54" i="15"/>
  <c r="Z64" i="15"/>
  <c r="Z65" i="15" s="1"/>
  <c r="Z57" i="15"/>
  <c r="Z56" i="15"/>
  <c r="Z55" i="15"/>
  <c r="Z54" i="15"/>
  <c r="BJ64" i="15"/>
  <c r="BJ65" i="15" s="1"/>
  <c r="BJ57" i="15"/>
  <c r="BJ56" i="15"/>
  <c r="BJ55" i="15"/>
  <c r="BJ54" i="15"/>
  <c r="AO64" i="15"/>
  <c r="AO65" i="15" s="1"/>
  <c r="AO70" i="15" s="1"/>
  <c r="AO57" i="15"/>
  <c r="AO56" i="15"/>
  <c r="AO55" i="15"/>
  <c r="AO54" i="15"/>
  <c r="BM64" i="15"/>
  <c r="BM65" i="15" s="1"/>
  <c r="BM70" i="15" s="1"/>
  <c r="BM57" i="15"/>
  <c r="BM56" i="15"/>
  <c r="BM55" i="15"/>
  <c r="BM54" i="15"/>
  <c r="CK64" i="15"/>
  <c r="CK65" i="15" s="1"/>
  <c r="CK70" i="15" s="1"/>
  <c r="CK57" i="15"/>
  <c r="CK56" i="15"/>
  <c r="CK55" i="15"/>
  <c r="CK54" i="15"/>
  <c r="AF64" i="15"/>
  <c r="AF65" i="15" s="1"/>
  <c r="AF70" i="15" s="1"/>
  <c r="AF57" i="15"/>
  <c r="AF56" i="15"/>
  <c r="AF55" i="15"/>
  <c r="AF54" i="15"/>
  <c r="AR64" i="15"/>
  <c r="AR65" i="15" s="1"/>
  <c r="AR70" i="15" s="1"/>
  <c r="AR57" i="15"/>
  <c r="AR56" i="15"/>
  <c r="AR55" i="15"/>
  <c r="AR54" i="15"/>
  <c r="BD64" i="15"/>
  <c r="BD65" i="15" s="1"/>
  <c r="BD70" i="15" s="1"/>
  <c r="BD57" i="15"/>
  <c r="BD56" i="15"/>
  <c r="BD55" i="15"/>
  <c r="BD54" i="15"/>
  <c r="BP64" i="15"/>
  <c r="BP57" i="15"/>
  <c r="BP56" i="15"/>
  <c r="BP55" i="15"/>
  <c r="BP54" i="15"/>
  <c r="CB64" i="15"/>
  <c r="CB65" i="15" s="1"/>
  <c r="CB70" i="15" s="1"/>
  <c r="CB57" i="15"/>
  <c r="CB56" i="15"/>
  <c r="CB55" i="15"/>
  <c r="CB54" i="15"/>
  <c r="CN64" i="15"/>
  <c r="CN65" i="15" s="1"/>
  <c r="CN70" i="15" s="1"/>
  <c r="CN57" i="15"/>
  <c r="CN56" i="15"/>
  <c r="CN55" i="15"/>
  <c r="CN54" i="15"/>
  <c r="BG64" i="15"/>
  <c r="BG65" i="15" s="1"/>
  <c r="BG70" i="15" s="1"/>
  <c r="BG57" i="15"/>
  <c r="BG56" i="15"/>
  <c r="BG55" i="15"/>
  <c r="BG54" i="15"/>
  <c r="CE64" i="15"/>
  <c r="CE65" i="15" s="1"/>
  <c r="CE70" i="15" s="1"/>
  <c r="CE57" i="15"/>
  <c r="CE56" i="15"/>
  <c r="CE55" i="15"/>
  <c r="CE54" i="15"/>
  <c r="CQ64" i="15"/>
  <c r="CQ57" i="15"/>
  <c r="CQ56" i="15"/>
  <c r="CQ55" i="15"/>
  <c r="CQ54" i="15"/>
  <c r="BS64" i="15"/>
  <c r="BS65" i="15" s="1"/>
  <c r="BS57" i="15"/>
  <c r="BS56" i="15"/>
  <c r="BS55" i="15"/>
  <c r="BS54" i="15"/>
  <c r="AX64" i="15"/>
  <c r="AX65" i="15" s="1"/>
  <c r="AX70" i="15" s="1"/>
  <c r="AX57" i="15"/>
  <c r="AX56" i="15"/>
  <c r="AX55" i="15"/>
  <c r="AX54" i="15"/>
  <c r="BV64" i="15"/>
  <c r="BV65" i="15" s="1"/>
  <c r="BV70" i="15" s="1"/>
  <c r="BV57" i="15"/>
  <c r="BV56" i="15"/>
  <c r="BV55" i="15"/>
  <c r="BV54" i="15"/>
  <c r="CH64" i="15"/>
  <c r="CH65" i="15" s="1"/>
  <c r="CH70" i="15" s="1"/>
  <c r="CH57" i="15"/>
  <c r="CH56" i="15"/>
  <c r="CH55" i="15"/>
  <c r="CH54" i="15"/>
  <c r="AU64" i="15"/>
  <c r="AU65" i="15" s="1"/>
  <c r="AU70" i="15" s="1"/>
  <c r="AU57" i="15"/>
  <c r="AU56" i="15"/>
  <c r="AU55" i="15"/>
  <c r="AU54" i="15"/>
  <c r="AL64" i="15"/>
  <c r="AL65" i="15" s="1"/>
  <c r="AL70" i="15" s="1"/>
  <c r="AL57" i="15"/>
  <c r="AL56" i="15"/>
  <c r="AL55" i="15"/>
  <c r="AL54" i="15"/>
  <c r="AC64" i="15"/>
  <c r="AC65" i="15" s="1"/>
  <c r="AC57" i="15"/>
  <c r="AC56" i="15"/>
  <c r="AC55" i="15"/>
  <c r="AC54" i="15"/>
  <c r="BA64" i="15"/>
  <c r="BA65" i="15" s="1"/>
  <c r="BA70" i="15" s="1"/>
  <c r="BA57" i="15"/>
  <c r="BA56" i="15"/>
  <c r="BA55" i="15"/>
  <c r="BA54" i="15"/>
  <c r="BY64" i="15"/>
  <c r="BY65" i="15" s="1"/>
  <c r="BY57" i="15"/>
  <c r="BY56" i="15"/>
  <c r="BY55" i="15"/>
  <c r="BY54" i="15"/>
  <c r="D32" i="20"/>
  <c r="BP65" i="15"/>
  <c r="BP70" i="15" s="1"/>
  <c r="CQ65" i="15"/>
  <c r="CQ70" i="15" s="1"/>
  <c r="AX53" i="15"/>
  <c r="AX52" i="15"/>
  <c r="AX51" i="15"/>
  <c r="AX50" i="15"/>
  <c r="AI53" i="15"/>
  <c r="AI51" i="15"/>
  <c r="AI52" i="15"/>
  <c r="AI50" i="15"/>
  <c r="AU53" i="15"/>
  <c r="AU51" i="15"/>
  <c r="AU52" i="15"/>
  <c r="AU50" i="15"/>
  <c r="BG53" i="15"/>
  <c r="BG51" i="15"/>
  <c r="BG52" i="15"/>
  <c r="BG50" i="15"/>
  <c r="BS53" i="15"/>
  <c r="BS52" i="15"/>
  <c r="BS51" i="15"/>
  <c r="BS50" i="15"/>
  <c r="CE53" i="15"/>
  <c r="CE52" i="15"/>
  <c r="CE51" i="15"/>
  <c r="CE50" i="15"/>
  <c r="CQ53" i="15"/>
  <c r="CQ52" i="15"/>
  <c r="CQ51" i="15"/>
  <c r="CQ50" i="15"/>
  <c r="AL53" i="15"/>
  <c r="AL52" i="15"/>
  <c r="AL51" i="15"/>
  <c r="AL50" i="15"/>
  <c r="AO53" i="15"/>
  <c r="AO51" i="15"/>
  <c r="AO50" i="15"/>
  <c r="AO52" i="15"/>
  <c r="Z53" i="15"/>
  <c r="Z52" i="15"/>
  <c r="Z51" i="15"/>
  <c r="Z50" i="15"/>
  <c r="BJ53" i="15"/>
  <c r="BJ52" i="15"/>
  <c r="BJ51" i="15"/>
  <c r="BJ50" i="15"/>
  <c r="BV53" i="15"/>
  <c r="BV52" i="15"/>
  <c r="BV51" i="15"/>
  <c r="BV50" i="15"/>
  <c r="CH53" i="15"/>
  <c r="CH52" i="15"/>
  <c r="CH51" i="15"/>
  <c r="CH50" i="15"/>
  <c r="AC53" i="15"/>
  <c r="AC51" i="15"/>
  <c r="AC50" i="15"/>
  <c r="AC52" i="15"/>
  <c r="BA53" i="15"/>
  <c r="BA51" i="15"/>
  <c r="BA50" i="15"/>
  <c r="BA52" i="15"/>
  <c r="BM53" i="15"/>
  <c r="BM52" i="15"/>
  <c r="BM51" i="15"/>
  <c r="BM50" i="15"/>
  <c r="BY53" i="15"/>
  <c r="BY52" i="15"/>
  <c r="BY51" i="15"/>
  <c r="BY50" i="15"/>
  <c r="CK53" i="15"/>
  <c r="CK52" i="15"/>
  <c r="CK51" i="15"/>
  <c r="CK50" i="15"/>
  <c r="AF53" i="15"/>
  <c r="AF52" i="15"/>
  <c r="AF51" i="15"/>
  <c r="AF50" i="15"/>
  <c r="AR53" i="15"/>
  <c r="AR52" i="15"/>
  <c r="AR51" i="15"/>
  <c r="AR50" i="15"/>
  <c r="BD53" i="15"/>
  <c r="BD52" i="15"/>
  <c r="BD51" i="15"/>
  <c r="BD50" i="15"/>
  <c r="BP53" i="15"/>
  <c r="BP52" i="15"/>
  <c r="BP51" i="15"/>
  <c r="BP50" i="15"/>
  <c r="CB53" i="15"/>
  <c r="CB52" i="15"/>
  <c r="CB51" i="15"/>
  <c r="CB50" i="15"/>
  <c r="CN53" i="15"/>
  <c r="CN52" i="15"/>
  <c r="CN51" i="15"/>
  <c r="CN50" i="15"/>
  <c r="Z74" i="15" l="1"/>
  <c r="AC70" i="15"/>
  <c r="AC74" i="15"/>
  <c r="Z70" i="15"/>
  <c r="H4" i="13"/>
  <c r="D3" i="15"/>
  <c r="D3" i="1"/>
  <c r="C59" i="15" l="1"/>
  <c r="C60" i="15"/>
  <c r="H3" i="13" l="1"/>
  <c r="D2" i="15"/>
  <c r="D2" i="1"/>
  <c r="B16" i="1" l="1"/>
  <c r="B19" i="1" s="1"/>
  <c r="B56" i="9" s="1"/>
  <c r="B13" i="25" s="1"/>
  <c r="W44" i="15" l="1"/>
  <c r="T44" i="15"/>
  <c r="Q44" i="15"/>
  <c r="N44" i="15"/>
  <c r="K44" i="15"/>
  <c r="H44" i="15"/>
  <c r="W43" i="15"/>
  <c r="T43" i="15"/>
  <c r="Q43" i="15"/>
  <c r="N43" i="15"/>
  <c r="K43" i="15"/>
  <c r="H43" i="15"/>
  <c r="W42" i="15"/>
  <c r="T42" i="15"/>
  <c r="Q42" i="15"/>
  <c r="N42" i="15"/>
  <c r="K42" i="15"/>
  <c r="H42" i="15"/>
  <c r="W41" i="15"/>
  <c r="T41" i="15"/>
  <c r="Q41" i="15"/>
  <c r="N41" i="15"/>
  <c r="K41" i="15"/>
  <c r="H41" i="15"/>
  <c r="W40" i="15"/>
  <c r="T40" i="15"/>
  <c r="Q40" i="15"/>
  <c r="N40" i="15"/>
  <c r="K40" i="15"/>
  <c r="H40" i="15"/>
  <c r="W39" i="15"/>
  <c r="T39" i="15"/>
  <c r="Q39" i="15"/>
  <c r="N39" i="15"/>
  <c r="K39" i="15"/>
  <c r="H39" i="15"/>
  <c r="W38" i="15"/>
  <c r="T38" i="15"/>
  <c r="Q38" i="15"/>
  <c r="N38" i="15"/>
  <c r="K38" i="15"/>
  <c r="H38" i="15"/>
  <c r="W37" i="15"/>
  <c r="T37" i="15"/>
  <c r="Q37" i="15"/>
  <c r="N37" i="15"/>
  <c r="K37" i="15"/>
  <c r="H37" i="15"/>
  <c r="W36" i="15"/>
  <c r="T36" i="15"/>
  <c r="Q36" i="15"/>
  <c r="N36" i="15"/>
  <c r="K36" i="15"/>
  <c r="H36" i="15"/>
  <c r="W35" i="15"/>
  <c r="T35" i="15"/>
  <c r="Q35" i="15"/>
  <c r="N35" i="15"/>
  <c r="K35" i="15"/>
  <c r="H35" i="15"/>
  <c r="W34" i="15"/>
  <c r="T34" i="15"/>
  <c r="Q34" i="15"/>
  <c r="N34" i="15"/>
  <c r="K34" i="15"/>
  <c r="H34" i="15"/>
  <c r="W33" i="15"/>
  <c r="T33" i="15"/>
  <c r="Q33" i="15"/>
  <c r="N33" i="15"/>
  <c r="K33" i="15"/>
  <c r="H33" i="15"/>
  <c r="W32" i="15"/>
  <c r="T32" i="15"/>
  <c r="Q32" i="15"/>
  <c r="N32" i="15"/>
  <c r="K32" i="15"/>
  <c r="H32" i="15"/>
  <c r="W31" i="15"/>
  <c r="T31" i="15"/>
  <c r="Q31" i="15"/>
  <c r="N31" i="15"/>
  <c r="K31" i="15"/>
  <c r="H31" i="15"/>
  <c r="W30" i="15"/>
  <c r="T30" i="15"/>
  <c r="Q30" i="15"/>
  <c r="N30" i="15"/>
  <c r="K30" i="15"/>
  <c r="H30" i="15"/>
  <c r="W29" i="15"/>
  <c r="T29" i="15"/>
  <c r="Q29" i="15"/>
  <c r="N29" i="15"/>
  <c r="K29" i="15"/>
  <c r="H29" i="15"/>
  <c r="W28" i="15"/>
  <c r="T28" i="15"/>
  <c r="Q28" i="15"/>
  <c r="N28" i="15"/>
  <c r="K28" i="15"/>
  <c r="H28" i="15"/>
  <c r="W27" i="15"/>
  <c r="T27" i="15"/>
  <c r="Q27" i="15"/>
  <c r="N27" i="15"/>
  <c r="K27" i="15"/>
  <c r="H27" i="15"/>
  <c r="W26" i="15"/>
  <c r="T26" i="15"/>
  <c r="Q26" i="15"/>
  <c r="N26" i="15"/>
  <c r="K26" i="15"/>
  <c r="H26" i="15"/>
  <c r="W25" i="15"/>
  <c r="T25" i="15"/>
  <c r="Q25" i="15"/>
  <c r="N25" i="15"/>
  <c r="K25" i="15"/>
  <c r="H25" i="15"/>
  <c r="W24" i="15"/>
  <c r="T24" i="15"/>
  <c r="Q24" i="15"/>
  <c r="N24" i="15"/>
  <c r="K24" i="15"/>
  <c r="H24" i="15"/>
  <c r="W23" i="15"/>
  <c r="T23" i="15"/>
  <c r="Q23" i="15"/>
  <c r="N23" i="15"/>
  <c r="K23" i="15"/>
  <c r="H23" i="15"/>
  <c r="W22" i="15"/>
  <c r="T22" i="15"/>
  <c r="Q22" i="15"/>
  <c r="N22" i="15"/>
  <c r="K22" i="15"/>
  <c r="H22" i="15"/>
  <c r="W21" i="15"/>
  <c r="T21" i="15"/>
  <c r="Q21" i="15"/>
  <c r="N21" i="15"/>
  <c r="K21" i="15"/>
  <c r="H21" i="15"/>
  <c r="W68" i="15" l="1"/>
  <c r="W69" i="15" s="1"/>
  <c r="H68" i="15"/>
  <c r="H72" i="15" s="1"/>
  <c r="K68" i="15"/>
  <c r="Q68" i="15"/>
  <c r="T68" i="15"/>
  <c r="N68" i="15"/>
  <c r="W64" i="15"/>
  <c r="W65" i="15" s="1"/>
  <c r="W56" i="15"/>
  <c r="W55" i="15"/>
  <c r="W54" i="15"/>
  <c r="W57" i="15"/>
  <c r="Q64" i="15"/>
  <c r="Q65" i="15" s="1"/>
  <c r="Q57" i="15"/>
  <c r="Q56" i="15"/>
  <c r="Q55" i="15"/>
  <c r="Q54" i="15"/>
  <c r="K64" i="15"/>
  <c r="K57" i="15"/>
  <c r="K56" i="15"/>
  <c r="K55" i="15"/>
  <c r="K54" i="15"/>
  <c r="H64" i="15"/>
  <c r="H65" i="15" s="1"/>
  <c r="H55" i="15"/>
  <c r="H56" i="15"/>
  <c r="H57" i="15"/>
  <c r="H54" i="15"/>
  <c r="N64" i="15"/>
  <c r="N65" i="15" s="1"/>
  <c r="N57" i="15"/>
  <c r="N56" i="15"/>
  <c r="N55" i="15"/>
  <c r="N54" i="15"/>
  <c r="T64" i="15"/>
  <c r="T65" i="15" s="1"/>
  <c r="T57" i="15"/>
  <c r="T56" i="15"/>
  <c r="T55" i="15"/>
  <c r="T54" i="15"/>
  <c r="K65" i="15"/>
  <c r="K53" i="15"/>
  <c r="K51" i="15"/>
  <c r="K52" i="15"/>
  <c r="K50" i="15"/>
  <c r="W53" i="15"/>
  <c r="W51" i="15"/>
  <c r="W52" i="15"/>
  <c r="W50" i="15"/>
  <c r="N53" i="15"/>
  <c r="N52" i="15"/>
  <c r="N51" i="15"/>
  <c r="N50" i="15"/>
  <c r="Q53" i="15"/>
  <c r="Q51" i="15"/>
  <c r="Q50" i="15"/>
  <c r="Q52" i="15"/>
  <c r="H53" i="15"/>
  <c r="H51" i="15"/>
  <c r="H50" i="15"/>
  <c r="H52" i="15"/>
  <c r="T53" i="15"/>
  <c r="T52" i="15"/>
  <c r="T51" i="15"/>
  <c r="T50" i="15"/>
  <c r="E21" i="15"/>
  <c r="D25" i="1" s="1"/>
  <c r="E22" i="15"/>
  <c r="D26" i="1" s="1"/>
  <c r="H26" i="1" s="1"/>
  <c r="E23" i="15"/>
  <c r="D27" i="1" s="1"/>
  <c r="H27" i="1" s="1"/>
  <c r="E24" i="15"/>
  <c r="D28" i="1" s="1"/>
  <c r="H28" i="1" s="1"/>
  <c r="E25" i="15"/>
  <c r="D29" i="1" s="1"/>
  <c r="H29" i="1" s="1"/>
  <c r="E26" i="15"/>
  <c r="D30" i="1" s="1"/>
  <c r="H30" i="1" s="1"/>
  <c r="E27" i="15"/>
  <c r="D31" i="1" s="1"/>
  <c r="H31" i="1" s="1"/>
  <c r="E28" i="15"/>
  <c r="D32" i="1" s="1"/>
  <c r="H32" i="1" s="1"/>
  <c r="E29" i="15"/>
  <c r="D33" i="1" s="1"/>
  <c r="H33" i="1" s="1"/>
  <c r="E30" i="15"/>
  <c r="D34" i="1" s="1"/>
  <c r="H34" i="1" s="1"/>
  <c r="E31" i="15"/>
  <c r="D35" i="1" s="1"/>
  <c r="H35" i="1" s="1"/>
  <c r="E32" i="15"/>
  <c r="D36" i="1" s="1"/>
  <c r="H36" i="1" s="1"/>
  <c r="E33" i="15"/>
  <c r="D37" i="1" s="1"/>
  <c r="H37" i="1" s="1"/>
  <c r="E34" i="15"/>
  <c r="D38" i="1" s="1"/>
  <c r="H38" i="1" s="1"/>
  <c r="E35" i="15"/>
  <c r="D39" i="1" s="1"/>
  <c r="H39" i="1" s="1"/>
  <c r="E36" i="15"/>
  <c r="D40" i="1" s="1"/>
  <c r="H40" i="1" s="1"/>
  <c r="E37" i="15"/>
  <c r="D41" i="1" s="1"/>
  <c r="H41" i="1" s="1"/>
  <c r="E38" i="15"/>
  <c r="D42" i="1" s="1"/>
  <c r="H42" i="1" s="1"/>
  <c r="E39" i="15"/>
  <c r="D43" i="1" s="1"/>
  <c r="H43" i="1" s="1"/>
  <c r="E40" i="15"/>
  <c r="D44" i="1" s="1"/>
  <c r="H44" i="1" s="1"/>
  <c r="E41" i="15"/>
  <c r="D45" i="1" s="1"/>
  <c r="H45" i="1" s="1"/>
  <c r="E42" i="15"/>
  <c r="D46" i="1" s="1"/>
  <c r="H46" i="1" s="1"/>
  <c r="E44" i="15"/>
  <c r="D48" i="1" s="1"/>
  <c r="H48" i="1" s="1"/>
  <c r="E43" i="15"/>
  <c r="D47" i="1" s="1"/>
  <c r="H47" i="1" s="1"/>
  <c r="W72" i="15" l="1"/>
  <c r="W70" i="15"/>
  <c r="H69" i="15"/>
  <c r="H70" i="15" s="1"/>
  <c r="H74" i="15"/>
  <c r="W74" i="15"/>
  <c r="T69" i="15"/>
  <c r="T70" i="15" s="1"/>
  <c r="T72" i="15"/>
  <c r="T74" i="15" s="1"/>
  <c r="N69" i="15"/>
  <c r="N70" i="15" s="1"/>
  <c r="N72" i="15"/>
  <c r="N74" i="15" s="1"/>
  <c r="E68" i="15"/>
  <c r="K69" i="15"/>
  <c r="K70" i="15" s="1"/>
  <c r="K72" i="15"/>
  <c r="K74" i="15" s="1"/>
  <c r="Q69" i="15"/>
  <c r="Q70" i="15" s="1"/>
  <c r="Q72" i="15"/>
  <c r="E54" i="15"/>
  <c r="E56" i="15"/>
  <c r="E57" i="15"/>
  <c r="E55" i="15"/>
  <c r="H25" i="1"/>
  <c r="B20" i="1"/>
  <c r="E50" i="15"/>
  <c r="E52" i="15"/>
  <c r="E51" i="15"/>
  <c r="E53" i="15"/>
  <c r="E65" i="15"/>
  <c r="E69" i="15" l="1"/>
  <c r="Q74" i="15"/>
  <c r="E72" i="15"/>
  <c r="B53" i="9"/>
  <c r="B10" i="25"/>
  <c r="E49" i="15"/>
  <c r="E47" i="15"/>
  <c r="E48" i="15"/>
  <c r="C42" i="9" s="1"/>
  <c r="E46" i="15"/>
  <c r="D19" i="8"/>
  <c r="E74" i="15" l="1"/>
  <c r="B55" i="9" s="1"/>
  <c r="E73" i="15"/>
  <c r="E70" i="15"/>
  <c r="B54" i="9" s="1"/>
  <c r="B27" i="9"/>
  <c r="I36" i="20"/>
  <c r="O36" i="20"/>
  <c r="L36" i="20"/>
  <c r="R36" i="20"/>
  <c r="A74" i="9"/>
  <c r="B50" i="9"/>
  <c r="F59" i="9" s="1"/>
  <c r="B12" i="25" l="1"/>
  <c r="D60" i="9"/>
  <c r="E60" i="9" s="1"/>
  <c r="B11" i="25"/>
  <c r="D65" i="9"/>
  <c r="E65" i="9" s="1"/>
  <c r="D67" i="9"/>
  <c r="E67" i="9" s="1"/>
  <c r="D69" i="9"/>
  <c r="E69" i="9" s="1"/>
  <c r="D63" i="9"/>
  <c r="E63" i="9" s="1"/>
  <c r="D68" i="9"/>
  <c r="E68" i="9" s="1"/>
  <c r="D64" i="9"/>
  <c r="E64" i="9" s="1"/>
  <c r="D62" i="9"/>
  <c r="E62" i="9" s="1"/>
  <c r="D66" i="9"/>
  <c r="E66" i="9" s="1"/>
  <c r="D61" i="9"/>
  <c r="E61" i="9" s="1"/>
  <c r="B52" i="9"/>
  <c r="B9" i="25"/>
  <c r="B71" i="9"/>
  <c r="J62" i="9"/>
  <c r="J61" i="9"/>
  <c r="J64" i="9"/>
  <c r="J60" i="9"/>
  <c r="J67" i="9"/>
  <c r="F18" i="25" s="1"/>
  <c r="J68" i="9"/>
  <c r="J66" i="9"/>
  <c r="J65" i="9"/>
  <c r="F17" i="25" s="1"/>
  <c r="J69" i="9"/>
  <c r="F19" i="25" s="1"/>
  <c r="J63" i="9"/>
  <c r="F16" i="25" s="1"/>
  <c r="A50" i="9"/>
  <c r="B18" i="8" l="1"/>
  <c r="B17" i="8"/>
  <c r="B16" i="8"/>
  <c r="B15" i="8"/>
  <c r="B14" i="8"/>
  <c r="B13" i="8"/>
  <c r="B32" i="8" l="1"/>
  <c r="C16" i="8" s="1"/>
  <c r="B31" i="8"/>
  <c r="C17" i="8" s="1"/>
  <c r="B29" i="8"/>
  <c r="B28" i="8"/>
  <c r="B27" i="8"/>
  <c r="C15" i="8" l="1"/>
  <c r="D15" i="8" s="1"/>
  <c r="C18" i="8"/>
  <c r="D18" i="8" s="1"/>
  <c r="D17" i="8"/>
  <c r="C14" i="8"/>
  <c r="D14" i="8" s="1"/>
  <c r="C13" i="8"/>
  <c r="D16" i="8"/>
  <c r="D13" i="8" l="1"/>
  <c r="D21" i="8" s="1"/>
  <c r="D23" i="8" s="1"/>
  <c r="C20" i="8"/>
  <c r="H49" i="1"/>
  <c r="E34" i="20" l="1"/>
  <c r="D22" i="8"/>
  <c r="B74" i="9" l="1"/>
  <c r="B21" i="25"/>
  <c r="S34" i="20"/>
  <c r="J34" i="20"/>
  <c r="P34" i="20"/>
  <c r="M34" i="20"/>
  <c r="C30" i="9" l="1"/>
  <c r="C71" i="9" l="1"/>
  <c r="C72" i="9" s="1"/>
  <c r="F61" i="9" l="1"/>
  <c r="G61" i="9" s="1"/>
  <c r="H61" i="9" s="1"/>
  <c r="F62" i="9"/>
  <c r="G62" i="9" s="1"/>
  <c r="H62" i="9" s="1"/>
  <c r="F60" i="9"/>
  <c r="G60" i="9" s="1"/>
  <c r="H60" i="9" s="1"/>
  <c r="F65" i="9"/>
  <c r="F69" i="9"/>
  <c r="G69" i="9" s="1"/>
  <c r="H69" i="9" s="1"/>
  <c r="F66" i="9"/>
  <c r="G66" i="9" s="1"/>
  <c r="H66" i="9" s="1"/>
  <c r="F63" i="9"/>
  <c r="F67" i="9"/>
  <c r="G67" i="9" s="1"/>
  <c r="F64" i="9"/>
  <c r="G64" i="9" s="1"/>
  <c r="H64" i="9" s="1"/>
  <c r="F68" i="9"/>
  <c r="G68" i="9" s="1"/>
  <c r="H68" i="9" s="1"/>
  <c r="D18" i="25" l="1"/>
  <c r="B37" i="9"/>
  <c r="H67" i="9"/>
  <c r="C17" i="25"/>
  <c r="G65" i="9"/>
  <c r="C16" i="25"/>
  <c r="G63" i="9"/>
  <c r="C18" i="25"/>
  <c r="C37" i="9"/>
  <c r="B38" i="9" l="1"/>
  <c r="C38" i="9" s="1"/>
  <c r="D17" i="25"/>
  <c r="H65" i="9"/>
  <c r="H63" i="9"/>
  <c r="D16" i="25"/>
  <c r="B39" i="9" l="1"/>
  <c r="D19" i="25" s="1"/>
  <c r="C19" i="25" l="1"/>
</calcChain>
</file>

<file path=xl/comments1.xml><?xml version="1.0" encoding="utf-8"?>
<comments xmlns="http://schemas.openxmlformats.org/spreadsheetml/2006/main">
  <authors>
    <author>David Vaughan</author>
  </authors>
  <commentList>
    <comment ref="F19" authorId="0" shapeId="0">
      <text>
        <r>
          <rPr>
            <b/>
            <sz val="12"/>
            <color indexed="81"/>
            <rFont val="Tahoma"/>
            <family val="2"/>
          </rPr>
          <t>Data for Facilities may be grouped together for facilities that share the same % Targets or data for individual facilities may be input, which ever is most convenient. However a separate Facility group must be used for each different Base Year or data accuracy.
Facilities joining may have a different Base Year and should then be in a new group. Facility exits should be accounted for by removing their energy and production.</t>
        </r>
      </text>
    </comment>
    <comment ref="H19" authorId="0" shapeId="0">
      <text>
        <r>
          <rPr>
            <b/>
            <sz val="12"/>
            <color indexed="81"/>
            <rFont val="Tahoma"/>
            <family val="2"/>
          </rPr>
          <t>It is recommended that notes are included here summarising the facility group or individual facility circumstance or changes made from previous data (eg removal of data for a facility exit).</t>
        </r>
        <r>
          <rPr>
            <sz val="12"/>
            <color indexed="81"/>
            <rFont val="Tahoma"/>
            <family val="2"/>
          </rPr>
          <t xml:space="preserve">
</t>
        </r>
      </text>
    </comment>
    <comment ref="A20" authorId="0" shapeId="0">
      <text>
        <r>
          <rPr>
            <b/>
            <sz val="9"/>
            <color indexed="81"/>
            <rFont val="Tahoma"/>
            <family val="2"/>
          </rPr>
          <t>Fuel split data must always be provided in kWh units</t>
        </r>
        <r>
          <rPr>
            <sz val="9"/>
            <color indexed="81"/>
            <rFont val="Tahoma"/>
            <family val="2"/>
          </rPr>
          <t xml:space="preserve">
</t>
        </r>
      </text>
    </comment>
    <comment ref="A34" authorId="0" shapeId="0">
      <text>
        <r>
          <rPr>
            <b/>
            <sz val="10"/>
            <color indexed="81"/>
            <rFont val="Tahoma"/>
            <family val="2"/>
          </rPr>
          <t>The names of any other fuels should be provided, they may include renewable fuels used</t>
        </r>
        <r>
          <rPr>
            <sz val="10"/>
            <color indexed="81"/>
            <rFont val="Tahoma"/>
            <family val="2"/>
          </rPr>
          <t xml:space="preserve">
</t>
        </r>
      </text>
    </comment>
    <comment ref="B34" authorId="0" shapeId="0">
      <text>
        <r>
          <rPr>
            <b/>
            <sz val="10"/>
            <color indexed="81"/>
            <rFont val="Tahoma"/>
            <family val="2"/>
          </rPr>
          <t>The agreed Carbon Emission Factor for any other fuels should be provided</t>
        </r>
      </text>
    </comment>
    <comment ref="H59" authorId="0" shapeId="0">
      <text>
        <r>
          <rPr>
            <sz val="9"/>
            <color indexed="81"/>
            <rFont val="Tahoma"/>
            <family val="2"/>
          </rPr>
          <t>Select number of decimal places if relative target type, not applicable for absolute or Novem target types</t>
        </r>
      </text>
    </comment>
    <comment ref="K59" authorId="0" shapeId="0">
      <text>
        <r>
          <rPr>
            <sz val="9"/>
            <color indexed="81"/>
            <rFont val="Tahoma"/>
            <family val="2"/>
          </rPr>
          <t>Select number of decimal places if relative target type, not applicable for absolute or Novem target types</t>
        </r>
      </text>
    </comment>
    <comment ref="N59" authorId="0" shapeId="0">
      <text>
        <r>
          <rPr>
            <sz val="9"/>
            <color indexed="81"/>
            <rFont val="Tahoma"/>
            <family val="2"/>
          </rPr>
          <t>Select number of decimal places if relative target type, not applicable for absolute or Novem target types</t>
        </r>
      </text>
    </comment>
    <comment ref="Q59" authorId="0" shapeId="0">
      <text>
        <r>
          <rPr>
            <sz val="9"/>
            <color indexed="81"/>
            <rFont val="Tahoma"/>
            <family val="2"/>
          </rPr>
          <t>Select number of decimal places if relative target type, not applicable for absolute or Novem target types</t>
        </r>
      </text>
    </comment>
    <comment ref="T59" authorId="0" shapeId="0">
      <text>
        <r>
          <rPr>
            <sz val="9"/>
            <color indexed="81"/>
            <rFont val="Tahoma"/>
            <family val="2"/>
          </rPr>
          <t>Select number of decimal places if relative target type, not applicable for absolute or Novem target types</t>
        </r>
      </text>
    </comment>
    <comment ref="W59" authorId="0" shapeId="0">
      <text>
        <r>
          <rPr>
            <sz val="9"/>
            <color indexed="81"/>
            <rFont val="Tahoma"/>
            <family val="2"/>
          </rPr>
          <t>Select number of decimal places if relative target type, not applicable for absolute or Novem target types</t>
        </r>
      </text>
    </comment>
    <comment ref="Z59" authorId="0" shapeId="0">
      <text>
        <r>
          <rPr>
            <sz val="9"/>
            <color indexed="81"/>
            <rFont val="Tahoma"/>
            <family val="2"/>
          </rPr>
          <t>Select number of decimal places if relative target type, not applicable for absolute or Novem target types</t>
        </r>
      </text>
    </comment>
  </commentList>
</comments>
</file>

<file path=xl/comments2.xml><?xml version="1.0" encoding="utf-8"?>
<comments xmlns="http://schemas.openxmlformats.org/spreadsheetml/2006/main">
  <authors>
    <author>Vaughan, David</author>
    <author>David Vaughan</author>
  </authors>
  <commentList>
    <comment ref="B10" authorId="0" shapeId="0">
      <text>
        <r>
          <rPr>
            <b/>
            <sz val="9"/>
            <color indexed="81"/>
            <rFont val="Tahoma"/>
            <family val="2"/>
          </rPr>
          <t xml:space="preserve">Where facilities have different base years the overall TU base year is that for the facilities which cover the largest proportion of the TU energy. 
</t>
        </r>
      </text>
    </comment>
    <comment ref="B13" authorId="1" shapeId="0">
      <text>
        <r>
          <rPr>
            <b/>
            <sz val="8"/>
            <color indexed="81"/>
            <rFont val="Tahoma"/>
            <family val="2"/>
          </rPr>
          <t>Should be adjusted throughput if SRM has already been applied</t>
        </r>
        <r>
          <rPr>
            <sz val="8"/>
            <color indexed="81"/>
            <rFont val="Tahoma"/>
            <family val="2"/>
          </rPr>
          <t xml:space="preserve">
</t>
        </r>
      </text>
    </comment>
    <comment ref="B16" authorId="1" shapeId="0">
      <text>
        <r>
          <rPr>
            <b/>
            <sz val="8"/>
            <color indexed="81"/>
            <rFont val="Tahoma"/>
            <family val="2"/>
          </rPr>
          <t>The Eligible Facility is the entity entitled to receive the CCL discount.
This includes any renewable/waste energy
It is the total for all the facility energy data provided in the facility data tab</t>
        </r>
        <r>
          <rPr>
            <sz val="8"/>
            <color indexed="81"/>
            <rFont val="Tahoma"/>
            <family val="2"/>
          </rPr>
          <t xml:space="preserve">
</t>
        </r>
      </text>
    </comment>
    <comment ref="B17" authorId="1" shapeId="0">
      <text>
        <r>
          <rPr>
            <b/>
            <sz val="8"/>
            <color indexed="81"/>
            <rFont val="Tahoma"/>
            <family val="2"/>
          </rPr>
          <t>If YES then data in pink cells needs to be completed. If NO then pink cells must be left blank</t>
        </r>
      </text>
    </comment>
    <comment ref="B18" authorId="1" shapeId="0">
      <text>
        <r>
          <rPr>
            <b/>
            <sz val="8"/>
            <color indexed="81"/>
            <rFont val="Tahoma"/>
            <family val="2"/>
          </rPr>
          <t>This is the total for all the facility energy data in the pink cells within the facility data tab</t>
        </r>
        <r>
          <rPr>
            <sz val="8"/>
            <color indexed="81"/>
            <rFont val="Tahoma"/>
            <family val="2"/>
          </rPr>
          <t xml:space="preserve">
</t>
        </r>
      </text>
    </comment>
    <comment ref="B19" authorId="1" shapeId="0">
      <text>
        <r>
          <rPr>
            <b/>
            <sz val="8"/>
            <color indexed="81"/>
            <rFont val="Tahoma"/>
            <family val="2"/>
          </rPr>
          <t>The Target Facility (TF) has the following attributes:
o Energy consumed within TF will be reported
o CCA targets will be set in respect of energy consumed within TF</t>
        </r>
        <r>
          <rPr>
            <sz val="8"/>
            <color indexed="81"/>
            <rFont val="Tahoma"/>
            <family val="2"/>
          </rPr>
          <t xml:space="preserve">
</t>
        </r>
      </text>
    </comment>
    <comment ref="B24" authorId="1" shapeId="0">
      <text>
        <r>
          <rPr>
            <b/>
            <sz val="8"/>
            <color indexed="81"/>
            <rFont val="Arial"/>
            <family val="2"/>
          </rPr>
          <t>The data input to this table must be for the whole existing TU and entered in kWh units</t>
        </r>
      </text>
    </comment>
  </commentList>
</comments>
</file>

<file path=xl/comments3.xml><?xml version="1.0" encoding="utf-8"?>
<comments xmlns="http://schemas.openxmlformats.org/spreadsheetml/2006/main">
  <authors>
    <author>David Vaughan</author>
  </authors>
  <commentList>
    <comment ref="F19" authorId="0" shapeId="0">
      <text>
        <r>
          <rPr>
            <b/>
            <sz val="12"/>
            <color indexed="81"/>
            <rFont val="Tahoma"/>
            <family val="2"/>
          </rPr>
          <t>The energy (fuel) assigned to each product should be that in the base year for the product. The total energy for all products in the TU base year will need match the total energy in the TU base year in the facilities data tab. 
The base year data for new products should be for the year that they are introduced. The SEC (or SCC) data will be back calculated to the Sector Base Year in the Novem Data tab.</t>
        </r>
      </text>
    </comment>
    <comment ref="H19" authorId="0" shapeId="0">
      <text>
        <r>
          <rPr>
            <b/>
            <sz val="12"/>
            <color indexed="81"/>
            <rFont val="Tahoma"/>
            <family val="2"/>
          </rPr>
          <t>It is recommended that notes are included here summarising the product (eg the product base year and whether it is the only product in a facility within the TU or one of multiple products in a facility).</t>
        </r>
        <r>
          <rPr>
            <sz val="12"/>
            <color indexed="81"/>
            <rFont val="Tahoma"/>
            <family val="2"/>
          </rPr>
          <t xml:space="preserve">
</t>
        </r>
      </text>
    </comment>
    <comment ref="A20" authorId="0" shapeId="0">
      <text>
        <r>
          <rPr>
            <b/>
            <sz val="9"/>
            <color indexed="81"/>
            <rFont val="Tahoma"/>
            <family val="2"/>
          </rPr>
          <t>Fuel split data must always be provided in kWh units</t>
        </r>
        <r>
          <rPr>
            <sz val="9"/>
            <color indexed="81"/>
            <rFont val="Tahoma"/>
            <family val="2"/>
          </rPr>
          <t xml:space="preserve">
</t>
        </r>
      </text>
    </comment>
  </commentList>
</comments>
</file>

<file path=xl/comments4.xml><?xml version="1.0" encoding="utf-8"?>
<comments xmlns="http://schemas.openxmlformats.org/spreadsheetml/2006/main">
  <authors>
    <author>David Vaughan</author>
  </authors>
  <commentList>
    <comment ref="B10" authorId="0" shapeId="0">
      <text>
        <r>
          <rPr>
            <b/>
            <sz val="9"/>
            <color indexed="81"/>
            <rFont val="Tahoma"/>
            <family val="2"/>
          </rPr>
          <t xml:space="preserve">The energy for new products may not be in the TU base year if the new product is in a new facility joining the TU.
</t>
        </r>
      </text>
    </comment>
    <comment ref="C10" authorId="0" shapeId="0">
      <text>
        <r>
          <rPr>
            <b/>
            <sz val="9"/>
            <color indexed="81"/>
            <rFont val="Tahoma"/>
            <family val="2"/>
          </rPr>
          <t>Select Migrated if the Product was in the TU at the start of the scheme and did not have the sector target.</t>
        </r>
      </text>
    </comment>
    <comment ref="D10" authorId="0" shapeId="0">
      <text>
        <r>
          <rPr>
            <b/>
            <sz val="9"/>
            <color indexed="81"/>
            <rFont val="Tahoma"/>
            <family val="2"/>
          </rPr>
          <t>This data is used in the Target Period Report</t>
        </r>
        <r>
          <rPr>
            <sz val="9"/>
            <color indexed="81"/>
            <rFont val="Tahoma"/>
            <family val="2"/>
          </rPr>
          <t xml:space="preserve">
</t>
        </r>
      </text>
    </comment>
    <comment ref="E10" authorId="0" shapeId="0">
      <text>
        <r>
          <rPr>
            <b/>
            <sz val="8"/>
            <color indexed="81"/>
            <rFont val="Tahoma"/>
            <family val="2"/>
          </rPr>
          <t xml:space="preserve">Data input to the Novem Product Fuel Data tab will be imported or can be overwritten.This data must be input as:
KWh for NOVEM Energy or 
kg C for NOVEM Carbon
</t>
        </r>
      </text>
    </comment>
    <comment ref="G10" authorId="0" shapeId="0">
      <text>
        <r>
          <rPr>
            <b/>
            <sz val="9"/>
            <color indexed="81"/>
            <rFont val="Tahoma"/>
            <family val="2"/>
          </rPr>
          <t>This is the energy or carbon that would have been used in the Sector Base Year. This data is used in the Target Period Report.</t>
        </r>
        <r>
          <rPr>
            <sz val="9"/>
            <color indexed="81"/>
            <rFont val="Tahoma"/>
            <family val="2"/>
          </rPr>
          <t xml:space="preserve">
</t>
        </r>
      </text>
    </comment>
    <comment ref="H10" authorId="0" shapeId="0">
      <text>
        <r>
          <rPr>
            <b/>
            <sz val="9"/>
            <color indexed="81"/>
            <rFont val="Tahoma"/>
            <family val="2"/>
          </rPr>
          <t>If the TU was migrated into the scheme product SECs will have been agreed on the basis of % Targets. For TUs entering after migration product SECs (or SCCs) must be for the Sector Base Year and so must be back calculated if they are determined using later base year data. The SEC (or SCC) for the Sector Base Year is determined using the reference energy or carbon data in column G.</t>
        </r>
        <r>
          <rPr>
            <sz val="9"/>
            <color indexed="81"/>
            <rFont val="Tahoma"/>
            <family val="2"/>
          </rPr>
          <t xml:space="preserve">
</t>
        </r>
      </text>
    </comment>
    <comment ref="I10" authorId="0" shapeId="0">
      <text>
        <r>
          <rPr>
            <b/>
            <sz val="9"/>
            <color indexed="81"/>
            <rFont val="Tahoma"/>
            <family val="2"/>
          </rPr>
          <t>If the TU was migrated into the scheme the % targets for products in the TU at migration should be input. For TUs entering after migration product % Targets will be determined and should not be overwritten.</t>
        </r>
        <r>
          <rPr>
            <sz val="9"/>
            <color indexed="81"/>
            <rFont val="Tahoma"/>
            <family val="2"/>
          </rPr>
          <t xml:space="preserve">
</t>
        </r>
      </text>
    </comment>
    <comment ref="K10" authorId="0" shapeId="0">
      <text>
        <r>
          <rPr>
            <b/>
            <sz val="9"/>
            <color indexed="81"/>
            <rFont val="Tahoma"/>
            <family val="2"/>
          </rPr>
          <t>This data is used in the Target Period Report for TP1</t>
        </r>
        <r>
          <rPr>
            <sz val="9"/>
            <color indexed="81"/>
            <rFont val="Tahoma"/>
            <family val="2"/>
          </rPr>
          <t xml:space="preserve">
</t>
        </r>
      </text>
    </comment>
    <comment ref="N10" authorId="0" shapeId="0">
      <text>
        <r>
          <rPr>
            <b/>
            <sz val="9"/>
            <color indexed="81"/>
            <rFont val="Tahoma"/>
            <family val="2"/>
          </rPr>
          <t>This data is used in the Target Period Report for TP2</t>
        </r>
        <r>
          <rPr>
            <sz val="9"/>
            <color indexed="81"/>
            <rFont val="Tahoma"/>
            <family val="2"/>
          </rPr>
          <t xml:space="preserve">
</t>
        </r>
      </text>
    </comment>
    <comment ref="A11" authorId="0" shapeId="0">
      <text>
        <r>
          <rPr>
            <b/>
            <sz val="9"/>
            <color indexed="81"/>
            <rFont val="Tahoma"/>
            <family val="2"/>
          </rPr>
          <t>Data input to the Novem Product Fuel Data tab will be imported or can be overwritten.</t>
        </r>
        <r>
          <rPr>
            <sz val="9"/>
            <color indexed="81"/>
            <rFont val="Tahoma"/>
            <family val="2"/>
          </rPr>
          <t xml:space="preserve">
</t>
        </r>
      </text>
    </comment>
    <comment ref="D33" authorId="0" shapeId="0">
      <text>
        <r>
          <rPr>
            <b/>
            <sz val="9"/>
            <color indexed="81"/>
            <rFont val="Tahoma"/>
            <family val="2"/>
          </rPr>
          <t>If the calculated cells in this row turn red the distributed energy or targets must be adjusted so they balance the TU Energy Target</t>
        </r>
      </text>
    </comment>
    <comment ref="E35" authorId="0" shapeId="0">
      <text>
        <r>
          <rPr>
            <b/>
            <sz val="9"/>
            <color indexed="81"/>
            <rFont val="Tahoma"/>
            <family val="2"/>
          </rPr>
          <t xml:space="preserve">If the calculated cells in this row turn red the distributed targets must be adjusted so they balance the UnA target  
</t>
        </r>
      </text>
    </comment>
  </commentList>
</comments>
</file>

<file path=xl/comments5.xml><?xml version="1.0" encoding="utf-8"?>
<comments xmlns="http://schemas.openxmlformats.org/spreadsheetml/2006/main">
  <authors>
    <author>David Vaughan</author>
    <author>Philip Wright</author>
  </authors>
  <commentList>
    <comment ref="A7" authorId="0" shapeId="0">
      <text>
        <r>
          <rPr>
            <b/>
            <sz val="9"/>
            <color indexed="81"/>
            <rFont val="Tahoma"/>
            <family val="2"/>
          </rPr>
          <t xml:space="preserve">The stringency test only applies from 1 January 2017 for new entrants and variations involving Facilities joining and leaving a TU. The stringency test is not applied for other variations such as base year errors or structural change.  
</t>
        </r>
      </text>
    </comment>
    <comment ref="D8" authorId="0" shapeId="0">
      <text>
        <r>
          <rPr>
            <b/>
            <sz val="9"/>
            <color indexed="81"/>
            <rFont val="Tahoma"/>
            <family val="2"/>
          </rPr>
          <t xml:space="preserve">Note if any Facilities are not able to provide data for the last TP then scenario 2 will have to be used unless changes are made in sequence by completing separate target calculators. First the stringency test result for scenario 1 can be determined for Facilities able to provide performance data for the last TP.  Second using the TP4 % target determined the stringency test result for scenario 2 can be determined for the remaining Facilities that can only provide a recent 12 months of performance data. </t>
        </r>
      </text>
    </comment>
    <comment ref="D14" authorId="0" shapeId="0">
      <text>
        <r>
          <rPr>
            <b/>
            <sz val="9"/>
            <color indexed="81"/>
            <rFont val="Tahoma"/>
            <family val="2"/>
          </rPr>
          <t xml:space="preserve">Note it may be better to put any existing Facilities into a separate new TU as this will mean they are not subject to the stringency test. </t>
        </r>
        <r>
          <rPr>
            <sz val="9"/>
            <color indexed="81"/>
            <rFont val="Tahoma"/>
            <family val="2"/>
          </rPr>
          <t xml:space="preserve">
</t>
        </r>
      </text>
    </comment>
    <comment ref="E59" authorId="1" shapeId="0">
      <text>
        <r>
          <rPr>
            <b/>
            <sz val="9"/>
            <color indexed="81"/>
            <rFont val="Tahoma"/>
            <family val="2"/>
          </rPr>
          <t>This is the target profile for the TU using the Data Centre methodology</t>
        </r>
      </text>
    </comment>
    <comment ref="J59" authorId="0" shapeId="0">
      <text>
        <r>
          <rPr>
            <b/>
            <sz val="9"/>
            <color indexed="81"/>
            <rFont val="Tahoma"/>
            <family val="2"/>
          </rPr>
          <t>This must be less than 0.1, if is not then measurement accuracy will need to be discussed with your facilitator</t>
        </r>
        <r>
          <rPr>
            <sz val="9"/>
            <color indexed="81"/>
            <rFont val="Tahoma"/>
            <family val="2"/>
          </rPr>
          <t xml:space="preserve">
</t>
        </r>
      </text>
    </comment>
  </commentList>
</comments>
</file>

<file path=xl/comments6.xml><?xml version="1.0" encoding="utf-8"?>
<comments xmlns="http://schemas.openxmlformats.org/spreadsheetml/2006/main">
  <authors>
    <author>David Vaughan</author>
  </authors>
  <commentList>
    <comment ref="C19" authorId="0" shapeId="0">
      <text>
        <r>
          <rPr>
            <b/>
            <sz val="9"/>
            <color indexed="81"/>
            <rFont val="Tahoma"/>
            <family val="2"/>
          </rPr>
          <t>Please leave blank unless consumption of other taxable commities is very significant</t>
        </r>
        <r>
          <rPr>
            <sz val="9"/>
            <color indexed="81"/>
            <rFont val="Tahoma"/>
            <family val="2"/>
          </rPr>
          <t xml:space="preserve">
</t>
        </r>
      </text>
    </comment>
  </commentList>
</comments>
</file>

<file path=xl/sharedStrings.xml><?xml version="1.0" encoding="utf-8"?>
<sst xmlns="http://schemas.openxmlformats.org/spreadsheetml/2006/main" count="788" uniqueCount="387">
  <si>
    <t>Gross Calorific Value</t>
  </si>
  <si>
    <t>Carbon Emission Factors</t>
  </si>
  <si>
    <t>GJ per Tonne</t>
  </si>
  <si>
    <t>KWh per Tonne</t>
  </si>
  <si>
    <t>Kg per kWh</t>
  </si>
  <si>
    <t>Coal (industrial)</t>
  </si>
  <si>
    <t>Coke</t>
  </si>
  <si>
    <t>Electricity</t>
  </si>
  <si>
    <t>Petroleum Products</t>
  </si>
  <si>
    <t>Litres per Tonne</t>
  </si>
  <si>
    <t>KWh per Litre</t>
  </si>
  <si>
    <t>Liquified Petroleum Gas (LPG)</t>
  </si>
  <si>
    <t>Ethane</t>
  </si>
  <si>
    <t>Motor Spirit (petrol)</t>
  </si>
  <si>
    <t>Gas/Diesel oil (including DERV)</t>
  </si>
  <si>
    <t>Fuel Oil</t>
  </si>
  <si>
    <t>Naphtha</t>
  </si>
  <si>
    <t>Petroleum Coke</t>
  </si>
  <si>
    <t>Gas</t>
  </si>
  <si>
    <r>
      <t>MJ per Meter</t>
    </r>
    <r>
      <rPr>
        <b/>
        <vertAlign val="superscript"/>
        <sz val="10"/>
        <rFont val="Arial"/>
        <family val="2"/>
      </rPr>
      <t>3</t>
    </r>
  </si>
  <si>
    <t>KWh per Therm</t>
  </si>
  <si>
    <t>Natural Gas</t>
  </si>
  <si>
    <t>Coke Oven Gas</t>
  </si>
  <si>
    <t>Blast Furnace Gas</t>
  </si>
  <si>
    <t>Landfill Gas</t>
  </si>
  <si>
    <t>Sewage Gas</t>
  </si>
  <si>
    <t>Refinery Gas</t>
  </si>
  <si>
    <t>Unit Conversion factors</t>
  </si>
  <si>
    <t>therms</t>
  </si>
  <si>
    <t>GJ</t>
  </si>
  <si>
    <t>KWh</t>
  </si>
  <si>
    <t>Target Unit Identifier</t>
  </si>
  <si>
    <t>Target Type</t>
  </si>
  <si>
    <t>Unit of Energy or Carbon for Target Unit</t>
  </si>
  <si>
    <t>Throughput Units</t>
  </si>
  <si>
    <t>Natural Gas (kWh)</t>
  </si>
  <si>
    <t>Fuel Oil (kWh)</t>
  </si>
  <si>
    <t>Coal (kWh)</t>
  </si>
  <si>
    <t>Coke (kWh)</t>
  </si>
  <si>
    <t>LPG (kWh)</t>
  </si>
  <si>
    <t>Ethane (kWh)</t>
  </si>
  <si>
    <t>Kerosene (kWh)</t>
  </si>
  <si>
    <t>Petrol (kWh)</t>
  </si>
  <si>
    <t>Gas oil/Diesel oil (kWh)</t>
  </si>
  <si>
    <t>Naptha (kWh)</t>
  </si>
  <si>
    <t>Petroleum coke  (kWh)</t>
  </si>
  <si>
    <t>Refinery gas (kWh)</t>
  </si>
  <si>
    <t>Other fuel 01  (kWh)</t>
  </si>
  <si>
    <t>Other fuel 02  (kWh)</t>
  </si>
  <si>
    <t>Other fuel 03  (kWh)</t>
  </si>
  <si>
    <t>Other fuel 04  (kWh)</t>
  </si>
  <si>
    <t>Other fuel 05  (kWh)</t>
  </si>
  <si>
    <t>Other fuel 06  (kWh)</t>
  </si>
  <si>
    <t>Other fuel 07  (kWh)</t>
  </si>
  <si>
    <t>Other fuel 08  (kWh)</t>
  </si>
  <si>
    <t>Other fuel 09  (kWh)</t>
  </si>
  <si>
    <t>Other fuel 10  (kWh)</t>
  </si>
  <si>
    <t>Primary Electricity (Grid + Renewable Electricity) (Primary kWh)</t>
  </si>
  <si>
    <t>Energy consumed within the Eligible Facility resulting in emissions that will be covered by either EU ETS Phase III or EU ETS Phase III opt-out (Primary kWh)</t>
  </si>
  <si>
    <t>Energy consumed within the Target Facility (Primary kWh)</t>
  </si>
  <si>
    <t>Colour Code</t>
  </si>
  <si>
    <t>Header</t>
  </si>
  <si>
    <t>Manual Entry</t>
  </si>
  <si>
    <t>Drop-down list</t>
  </si>
  <si>
    <t>EU ETS data</t>
  </si>
  <si>
    <t>Energy in Eligible Facility</t>
  </si>
  <si>
    <t>Energy covered by EU ETS</t>
  </si>
  <si>
    <t>Energy in Target Facility</t>
  </si>
  <si>
    <t>Target Unit Currency</t>
  </si>
  <si>
    <t>Target Period 1</t>
  </si>
  <si>
    <t>Target Period 2</t>
  </si>
  <si>
    <t>Target Period 3</t>
  </si>
  <si>
    <t>Target Period 4</t>
  </si>
  <si>
    <t>This Spreadsheet calculates the penalty that would be paid by a TU if it infringes on the new scheme rules. The penalty is based on the TU's consumption of taxable commodities in the base year and sets the size of the penalty at 10% of the annual value of the CCA to the TU</t>
  </si>
  <si>
    <t>Climate Change Levy from: http://www.hmrc.gov.uk/rates/ccl.htm</t>
  </si>
  <si>
    <t>Commodity</t>
  </si>
  <si>
    <t>Rates from 1 April 2013
(£)</t>
  </si>
  <si>
    <t>Rate Unit</t>
  </si>
  <si>
    <t>Reduced rate of CCL for CCA holders (%)</t>
  </si>
  <si>
    <t>Reduced rate notes</t>
  </si>
  <si>
    <t>Before 31 Oct?</t>
  </si>
  <si>
    <t>Per kWh</t>
  </si>
  <si>
    <t>From 10% for 2013-14</t>
  </si>
  <si>
    <t>In Great Britain, gas supplied by a gas utility or any gas supplied in a gaseous state that is of a kind supplied by a gas utility.</t>
  </si>
  <si>
    <t>From 35%</t>
  </si>
  <si>
    <t>Gas supplied by a gas utility or any gas supplied in a gaseous state that is of a kind supplied by a gas utility for burning in Northern Ireland.
(until 31 October 2013 then main natural gas rate applies)</t>
  </si>
  <si>
    <t>None until 31 Oct 2013
From 35% as of 1 Nov 2013</t>
  </si>
  <si>
    <t>Any petroleum gas, or other gaseous hydrocarbon, supplied in a liquid state.</t>
  </si>
  <si>
    <t>Per Kg</t>
  </si>
  <si>
    <t>Any other taxable commodity.</t>
  </si>
  <si>
    <t>CCL Charge for Energy used by Target Facility</t>
  </si>
  <si>
    <t>Value of CCA to Target Facility for Energy used</t>
  </si>
  <si>
    <t>Grid Electricity Primary (kWhp)</t>
  </si>
  <si>
    <t>No</t>
  </si>
  <si>
    <t>Year</t>
  </si>
  <si>
    <t>Is there an overlap with EU ETS Phase III or EU ETS Phase III opt-out installation(s)?</t>
  </si>
  <si>
    <t>Energy consumed within the Eligible Facility in the New Scheme (Primary kWh)</t>
  </si>
  <si>
    <t>Please select correct drop down response in all orange cells</t>
  </si>
  <si>
    <t>Instructions:</t>
  </si>
  <si>
    <t>Please complete manual entry drop down and if appropriate EU ETS Data fields</t>
  </si>
  <si>
    <t>Throughput in BY</t>
  </si>
  <si>
    <t>Is the TU essentially based in Northern Ireland</t>
  </si>
  <si>
    <t>Other fuel 
(no CCL unless semi-coke of coal, semi coke of lignite or other gaseous hydrocarbons in a liquid state)</t>
  </si>
  <si>
    <t xml:space="preserve">Please enter data into the green cells </t>
  </si>
  <si>
    <t>Target Calculations</t>
  </si>
  <si>
    <t>TU FUEL SPLIT DATA FOR BASE YEAR</t>
  </si>
  <si>
    <t>Calculated value</t>
  </si>
  <si>
    <t>Target Unit Base Year</t>
  </si>
  <si>
    <t xml:space="preserve">New Entrant TU </t>
  </si>
  <si>
    <t>Existing TU
Change of Ownership</t>
  </si>
  <si>
    <t>Variation</t>
  </si>
  <si>
    <t>Facility Target Setting Rule</t>
  </si>
  <si>
    <t>Scenario</t>
  </si>
  <si>
    <t>Target Setting Rules</t>
  </si>
  <si>
    <t>Manual Entry EU ETS data</t>
  </si>
  <si>
    <t>FUEL SPLIT DATA FOR BASE YEAR</t>
  </si>
  <si>
    <t>Facility Details</t>
  </si>
  <si>
    <t>Please note that all fuel split data must be provided in kWh units</t>
  </si>
  <si>
    <t>Assumed Throughput</t>
  </si>
  <si>
    <t>Total</t>
  </si>
  <si>
    <t>Carbon Emissions for Target Facility (kg C)</t>
  </si>
  <si>
    <t>Grid Intensity of Production</t>
  </si>
  <si>
    <t>Adjusted Production</t>
  </si>
  <si>
    <t>DATA ACCURACY</t>
  </si>
  <si>
    <t>Provide accuracy of energy measurement in terms of decimal places for kWh (eg 0 would be measurement to kWh)</t>
  </si>
  <si>
    <t>Provide accuracy of throughput measurement in decimal places (eg 0 would be measurement to whole throughput units)</t>
  </si>
  <si>
    <t>Base Year Tolerance</t>
  </si>
  <si>
    <t>Tolerance in Target Unit Currency</t>
  </si>
  <si>
    <t>Please provide EUETS data in pink cells (only where applicable, if TU is not affected by EUETS then leave these blank)</t>
  </si>
  <si>
    <t>Please check and input the results in the EA register</t>
  </si>
  <si>
    <t>CHP electricity consumed in facility (kWh delivered) 
ONLY TO BE FILLED IN IF CHP IS IN EU ETS</t>
  </si>
  <si>
    <t>Notes</t>
  </si>
  <si>
    <t>Inputs to EA Register</t>
  </si>
  <si>
    <t>Throughput in BY (Adjusted if facility(s) have CHP in the EUETS)</t>
  </si>
  <si>
    <t>TP 1 % target</t>
  </si>
  <si>
    <t>TP 2 % target</t>
  </si>
  <si>
    <t>TP 3 % target</t>
  </si>
  <si>
    <t>TP 4 % target</t>
  </si>
  <si>
    <t>TP 1 Total Primary Energy Target</t>
  </si>
  <si>
    <t>TP 2 Total Primary Energy Target</t>
  </si>
  <si>
    <t>TP 3 Total Primary Energy Target</t>
  </si>
  <si>
    <t>TP 4 Total Primary Energy Target</t>
  </si>
  <si>
    <t>Other fuel 11  (kWh)</t>
  </si>
  <si>
    <t>N/A</t>
  </si>
  <si>
    <t>This tab allows for up to 30 facilities, if there are more then pre-combined data can be input to this tab, the open worksheet may be used to provide a fuel split breakdown for individual facilities.</t>
  </si>
  <si>
    <t>Overall energy to Carbon factor (kg Carbon/kWhp)</t>
  </si>
  <si>
    <t>Facility Data</t>
  </si>
  <si>
    <t>Kerosene</t>
  </si>
  <si>
    <t>Totals for all Facilities</t>
  </si>
  <si>
    <t>Baseline Data</t>
  </si>
  <si>
    <t>2 GJ</t>
  </si>
  <si>
    <t>2 therm</t>
  </si>
  <si>
    <t>2 tonne of oil equivalent (toe)</t>
  </si>
  <si>
    <t>FUEL</t>
  </si>
  <si>
    <t>FACILITY TARGETS</t>
  </si>
  <si>
    <t>Baseline Data: Energy in Eligible Facility New Scheme (including EU ETS Emissions)</t>
  </si>
  <si>
    <t>TU Target Outcome</t>
  </si>
  <si>
    <t xml:space="preserve">Facility(s) leaving an existing TU
</t>
  </si>
  <si>
    <t xml:space="preserve">Facilities joining an existing TU
</t>
  </si>
  <si>
    <t>L1 Facility is sold (changes owner) or facility terminates its agreement but remains operational</t>
  </si>
  <si>
    <t>L3 Existing facility closes as a rationalisation</t>
  </si>
  <si>
    <t>L4 Existing TU splits into smaller units under same ownership (only allowed in Data Correction Window)</t>
  </si>
  <si>
    <t xml:space="preserve">J1 Existing facility(s) join a TU as result of ownership change </t>
  </si>
  <si>
    <t>J2 Terminated facility(s) under same owner as TU re-joins scheme</t>
  </si>
  <si>
    <t>J3 New entrant facility(s) join an existing TU</t>
  </si>
  <si>
    <t xml:space="preserve">N1 New facility(s) join in a new TU </t>
  </si>
  <si>
    <t xml:space="preserve">E1 Existing TU as a whole changes ownership </t>
  </si>
  <si>
    <t>Sector Target % Improvement</t>
  </si>
  <si>
    <t xml:space="preserve">Expected improvement at Base Year </t>
  </si>
  <si>
    <t>Implied performance in 2008</t>
  </si>
  <si>
    <t>Sector Base Year</t>
  </si>
  <si>
    <t xml:space="preserve">Year </t>
  </si>
  <si>
    <t>Target Period</t>
  </si>
  <si>
    <t>Baseline data</t>
  </si>
  <si>
    <t>This tab must be used to provide data for the TU.</t>
  </si>
  <si>
    <t>Carbon Emission Factor
(kg Carbon / kWh)</t>
  </si>
  <si>
    <t>Energy in Eligible Facility(s) (kWh)</t>
  </si>
  <si>
    <t>Energy covered by EU ETS (kWh)</t>
  </si>
  <si>
    <t>Energy in Target Facility(s) (kWh)</t>
  </si>
  <si>
    <t>New Entrant Target % Improvement for Base Year</t>
  </si>
  <si>
    <t xml:space="preserve">L2 Existing facility is in no longer in the correct sector as its eligibility has changed </t>
  </si>
  <si>
    <t xml:space="preserve">If the TU was migrated into the scheme the migrated base year data should be input to the Facility 1 columns. Data for any subsequent variations should then be input into the other Facility columns. Facilities which share the same % targets may be grouped together. Check that the resultant targets in % and target currency agree with those in the register for the existing TU. No changes are needed but it is suggested that the notes field is used to record which facilities have left due to rationalisation as their data will remain.  </t>
  </si>
  <si>
    <t xml:space="preserve">If the TU was migrated into the scheme the migrated base year data should be input to the Facility 1 columns. Data for any subsequent variations should then be input into the other Facility columns. Facilities which share the same % targets may be grouped together. Check that the resultant targets in % and target currency agree with those in the register for the existing TU. Then deduct the energy and throughput for the leaving facilities in the facilities tab to determine the revised targets in % and target currency for input to the register. Facilities leaving will take the % Target they joined the existing TU with and these will be applied to determine the % Target of the new TUs formed. The target energy saving must be the same after as before across the split TUs (mathematically equivalent energy savings). </t>
  </si>
  <si>
    <t>If the TU was migrated into the scheme the migrated base year data should be input to the Facility 1 columns. Data for any subsequent variations should then be input into the other Facility columns. Facilities which share the same % targets may be grouped together. Check that the resultant targets in % and target currency agree with those in the register for the existing TU. Then for the facilities that are moving into the TU use the % targets applied in removing them from their previous TU, either individually or grouped if they share the same % targets. This ensures the energy saving removed from the TU that the facility(s) left is match by the energy saving added in the TU that the facility(s) are joining.</t>
  </si>
  <si>
    <t>% target of TU is determined from the mix of facility base year % targets, weighted according to the amount energy (and throughput for relative TUs) in the base year of each facility.</t>
  </si>
  <si>
    <t>% target of the leaving facility(s) will be the same as the % target that they joined the TU with. Exceptionally if the facility was in the wrong sector at migration (ie from the start of the scheme) then their % target will be that of the sector they are</t>
  </si>
  <si>
    <t>% target of remaining TU will be unchanged if the facility was in the TU at migration, otherwise it may change.</t>
  </si>
  <si>
    <t xml:space="preserve">% target of the leaving facility(s) will be the same as the % target that they joined the TU with. </t>
  </si>
  <si>
    <t>% target of remaining TU will be unchanged and no energy or throughput data will be removed from the base year.</t>
  </si>
  <si>
    <t>% target of the facility(s) leaving will be the same as the % targets that they joined the TU with.</t>
  </si>
  <si>
    <t xml:space="preserve">% target of remaining TU will be unchanged if all the leaving facilities were in the TU at migration, otherwise it may change. </t>
  </si>
  <si>
    <t>% target of the facility(s) joining will be the % target they took on leaving their previous TU</t>
  </si>
  <si>
    <t xml:space="preserve">% target of revised TU will change according to the % target of the facility(s) joining.
</t>
  </si>
  <si>
    <t xml:space="preserve">If the TU was migrated into the scheme the migrated base year data should be input to the Facility 1 columns. Data for any subsequent variations should then be input into the other Facility columns. Facilities which share the same % targets may be grouped together. Check that the resultant targets in % and target currency agree with those in the register for the existing TU.  Add the facilities that are re-joining the TU using separate facility columns as necessary to apply the appropriate % targets. </t>
  </si>
  <si>
    <t xml:space="preserve">If the TU was migrated into the scheme the migrated base year data should be input to the Facility 1 columns. Data for any subsequent variations should then be input into the other Facility columns. Facilities which share the same % targets may be grouped together. Check that the resultant targets in % and target currency agree with those in the register for the existing TU.  Add data for the new entrant facility(s). Facilities may be grouped if they share they same % targets. </t>
  </si>
  <si>
    <t>If the TU was migrated into the scheme the migrated base year data should be input to the Facility 1 columns. Data for any subsequent variations should then be input into the other Facility columns. Facilities which share the same % targets may be grouped together. Check that the resultant targets in % and target currency agree with those in the register for the existing TU. Then deduct the energy and throughput for the leaving facilities in the facilities tab to determine the revised targets in % and target currency.</t>
  </si>
  <si>
    <t xml:space="preserve">% target of facility(s) rejoining will be the same as the sector/ sub sector commitment, or, if they voluntarily terminated, the % target will be either the sector/sub sector commitment or the associated TU's previous % target, whichever is higher. </t>
  </si>
  <si>
    <t xml:space="preserve">% target of facility(s) joining will be the same as the sector/ sub sector commitment
</t>
  </si>
  <si>
    <t>% target for facility(s) remains the same</t>
  </si>
  <si>
    <t>% target of the leaving Facility(s) will be the same as the % target that they joined the TU with but this has no effect as the facility data will be left in TU.</t>
  </si>
  <si>
    <t xml:space="preserve">% target of revised TU will change unless the existing TU and the facility(s) joining took the sector /sub sector commitment. </t>
  </si>
  <si>
    <t>% target of the revised TU will change unless the existing TU took the sector/sub-sector commitment AND the new facility has the same base year as the existing TU.</t>
  </si>
  <si>
    <t>% target of TU will be retained if a new TU with the same facility(s)is formed.</t>
  </si>
  <si>
    <t xml:space="preserve">If the TU was migrated into the scheme the migrated base year data should be input to the Facility 1 columns. Data for any subsequent variations should then be input into the other Facility columns. Facilities which share the same % targets may be grouped together. Check that the resultant targets in % and target currency agree with those in the register for the existing TU. The workbook can then be used for the new TU. </t>
  </si>
  <si>
    <t>Fuel Conversion Factors</t>
  </si>
  <si>
    <t>Instructions: 
Data is provided for reference only, nothing needs to be done in this tab</t>
  </si>
  <si>
    <r>
      <rPr>
        <b/>
        <u/>
        <sz val="14"/>
        <color indexed="8"/>
        <rFont val="Arial"/>
        <family val="2"/>
      </rPr>
      <t>Important Note for Information</t>
    </r>
    <r>
      <rPr>
        <b/>
        <sz val="14"/>
        <color indexed="8"/>
        <rFont val="Arial"/>
        <family val="2"/>
      </rPr>
      <t>:</t>
    </r>
    <r>
      <rPr>
        <sz val="14"/>
        <color indexed="8"/>
        <rFont val="Arial"/>
        <family val="2"/>
      </rPr>
      <t xml:space="preserve"> In calculating the penalty, this spreadsheet does not correct for: 
- Commodities used as fuel inputs to Good Quality CHP which would not attract the CCL
- Commodities in respect of which some facilities would either not pay any CCL  or would pay a reduced rate of the CCL, even if there were no CCA in place. Some examples are: consumption of renewable electricity (normally 100% exempt), coke used in blast furnaces (normally 100% exempt), electricity used in electric arc furnaces (normally 80% exempt) or electricity used in electrolysis (normally 100% exempt)
- TUs with several facilities that are split between Great Britain and Northern Ireland. For a period of the first Target Period, the CCL on natural gas in Northern Ireland is set at a different level from that in Great Britain. As the penalty is charged at the TU level and energy data is only available at the TU level, we cannot adjust for natural gas consumption in the TU that may have occurred in Northern Ireland
- If semi-coke of coal, semi-coke of lignite or other gaseous hydrocarbons in a liquid state are used (which are Other Fuels on which the CCL is changed) bespoke formulas will have to be added in cell C25. These bespoke formulas must convert the energy given in B25 into mass of fuel, and then into a CCL due by multiplying this mass of fuel by the CCL rate per unit mass. 
</t>
    </r>
  </si>
  <si>
    <t>Penalties</t>
  </si>
  <si>
    <t>This is just provided for information</t>
  </si>
  <si>
    <t xml:space="preserve">This is just provided for information, if the TU consumes large amounts of other fuels (besides electricity and gas) which attract the CCL then the impact on the penalty calculation could be determined but is not included in the penalty figure input to the register. </t>
  </si>
  <si>
    <t>Estimated Penalty Applicable to TU if Other Fuel is included</t>
  </si>
  <si>
    <t>Total CCL payable without a CCA (£)
(excluding other fuels)</t>
  </si>
  <si>
    <t>Total Value of CCA reduction to TU (£)
(excluding other fuels)</t>
  </si>
  <si>
    <t>Estimated Penalty Applicable to TU (excluding other fuels)</t>
  </si>
  <si>
    <t>Open worksheet</t>
  </si>
  <si>
    <t>This can be used to provide further details and to track the variation history for a TU, additional open worksheets can be added.</t>
  </si>
  <si>
    <t>NOVEM Calculations</t>
  </si>
  <si>
    <t>Please complete manual entry fields such that there are no red calculated cells. This may require some adjustment of the Energy or Target for specific products depending on the target setting rules that apply.</t>
  </si>
  <si>
    <t>TP1</t>
  </si>
  <si>
    <t xml:space="preserve">TP2 </t>
  </si>
  <si>
    <t>TP3</t>
  </si>
  <si>
    <t>TP4</t>
  </si>
  <si>
    <r>
      <t>Production t</t>
    </r>
    <r>
      <rPr>
        <vertAlign val="subscript"/>
        <sz val="11"/>
        <color theme="1"/>
        <rFont val="Arial"/>
        <family val="2"/>
      </rPr>
      <t>by</t>
    </r>
  </si>
  <si>
    <t>TU Target % determined from distributed targets</t>
  </si>
  <si>
    <t>TU Target % to be included in UnA</t>
  </si>
  <si>
    <t>TU</t>
  </si>
  <si>
    <t>Facility ID / Product</t>
  </si>
  <si>
    <t>TU Target % Improvement</t>
  </si>
  <si>
    <t>TU Target In Target Unit Currency</t>
  </si>
  <si>
    <t>TU total production</t>
  </si>
  <si>
    <t xml:space="preserve">TU BY Throughput </t>
  </si>
  <si>
    <t>This tab is only used for TUs with Novem Targets to determine the target performance for individual products</t>
  </si>
  <si>
    <t xml:space="preserve">The product level data must balance with the overall TU data. If it doesn't cells in rows 30, 32 and 34 will change colour, red indicates a large difference, amber a small difference, ideally they should be blue. </t>
  </si>
  <si>
    <t>Please go to the Baseline Data tab</t>
  </si>
  <si>
    <t>Please go to the Novem Data tab if it is a Novem TU, otherwise go to the Target Calculations tab</t>
  </si>
  <si>
    <t>Novem Data</t>
  </si>
  <si>
    <t>This tab will provide the target performance data for the revised TU to input to the register</t>
  </si>
  <si>
    <t xml:space="preserve">Go to the Target Calculations tab for the results. </t>
  </si>
  <si>
    <t>Go to the Baseline Data tab</t>
  </si>
  <si>
    <t>Please complete manual entry, drop down and if appropriate EU ETS data fields for all facility(s) in the new or adjusted TU</t>
  </si>
  <si>
    <t>This may be freely used and additional tabs may be added if necessary - do not remove any of the existing tabs</t>
  </si>
  <si>
    <t>DO NOT DELETE ANY OF THE EXISTING TABS</t>
  </si>
  <si>
    <t>Product energy in TU base year?</t>
  </si>
  <si>
    <t>Product Base Year Performance</t>
  </si>
  <si>
    <t>Sector Base Year Performance</t>
  </si>
  <si>
    <t>Product Base Year?</t>
  </si>
  <si>
    <t>Product Target %</t>
  </si>
  <si>
    <t>TP1 Target %</t>
  </si>
  <si>
    <t>TP 1 Total Primary Carbon Target</t>
  </si>
  <si>
    <t>TP 2 Total Primary Carbon Target</t>
  </si>
  <si>
    <t>TP 3 Total Primary Carbon Target</t>
  </si>
  <si>
    <t>TP 4 Total Primary Carbon Target</t>
  </si>
  <si>
    <t>TP2 Target %</t>
  </si>
  <si>
    <t>TP3 Target %</t>
  </si>
  <si>
    <t>TP4 Target %</t>
  </si>
  <si>
    <t>Facility Group 1</t>
  </si>
  <si>
    <t>Facility Group 2</t>
  </si>
  <si>
    <t>Name/Identifier and notes:</t>
  </si>
  <si>
    <t>Facility Group 3</t>
  </si>
  <si>
    <t>Facility Group 4</t>
  </si>
  <si>
    <t>Facility Group 5</t>
  </si>
  <si>
    <t>Facility Group 6</t>
  </si>
  <si>
    <t>Facility Group 7</t>
  </si>
  <si>
    <t>Facility Group 8</t>
  </si>
  <si>
    <t>Facility Group 9</t>
  </si>
  <si>
    <t>Facility Group 10</t>
  </si>
  <si>
    <t>Facility Group 11</t>
  </si>
  <si>
    <t>Facility Group 12</t>
  </si>
  <si>
    <t>Facility Group 13</t>
  </si>
  <si>
    <t>Facility Group 14</t>
  </si>
  <si>
    <t>Facility Group 15</t>
  </si>
  <si>
    <t>Facility Group 16</t>
  </si>
  <si>
    <t>Facility Group 17</t>
  </si>
  <si>
    <t>Facility Group 18</t>
  </si>
  <si>
    <t>Facility Group 19</t>
  </si>
  <si>
    <t>Facility Group 20</t>
  </si>
  <si>
    <t>Facility Group 21</t>
  </si>
  <si>
    <t>Facility Group 22</t>
  </si>
  <si>
    <t>Facility Group 23</t>
  </si>
  <si>
    <t>Facility Group 24</t>
  </si>
  <si>
    <t>Facility Group 25</t>
  </si>
  <si>
    <t>Facility Group 26</t>
  </si>
  <si>
    <t>Facility Group 27</t>
  </si>
  <si>
    <t>Facility Group 28</t>
  </si>
  <si>
    <t>Facility Group 29</t>
  </si>
  <si>
    <t>Facility Group 30</t>
  </si>
  <si>
    <t>NOVEM Product Data</t>
  </si>
  <si>
    <t>Please complete manual entry, drop down and if appropriate EU ETS data fields for all product(s) in the new or adjusted TU</t>
  </si>
  <si>
    <t>Totals for all Products</t>
  </si>
  <si>
    <t>Product 1</t>
  </si>
  <si>
    <t>Product 2</t>
  </si>
  <si>
    <t>Product Base Year Energy (kWh)</t>
  </si>
  <si>
    <t>Product Base Year Carbon (kg C)</t>
  </si>
  <si>
    <t>Product 3</t>
  </si>
  <si>
    <t>Product 4</t>
  </si>
  <si>
    <t>Product 5</t>
  </si>
  <si>
    <t>Product 6</t>
  </si>
  <si>
    <t>Product 7</t>
  </si>
  <si>
    <t>Product 8</t>
  </si>
  <si>
    <t>Product 9</t>
  </si>
  <si>
    <t>Product 10</t>
  </si>
  <si>
    <t>Product 11</t>
  </si>
  <si>
    <t>Product 12</t>
  </si>
  <si>
    <t>Product 13</t>
  </si>
  <si>
    <t>Product 14</t>
  </si>
  <si>
    <t>Product 15</t>
  </si>
  <si>
    <t>Product 16</t>
  </si>
  <si>
    <t>Product 17</t>
  </si>
  <si>
    <t>Product 18</t>
  </si>
  <si>
    <t>Product 19</t>
  </si>
  <si>
    <t>Product 20</t>
  </si>
  <si>
    <t>Novem Product Fuel Data</t>
  </si>
  <si>
    <t xml:space="preserve">This tab is only used for TUs with Novem Targets to determine the base year energy or carbon for individual products, if it is used base year energy or carbon data will be calculated and imported to the Novem Data tab, if it is not used base year energy or carbon data for the products can be input directly in the Novem Data tab. </t>
  </si>
  <si>
    <t xml:space="preserve">For each product please enter the base-year fuel split data for each Novem product in the TU. </t>
  </si>
  <si>
    <t>The total energy or carbon associated with each product will be determined and imported to the Novem Data tab.</t>
  </si>
  <si>
    <t>For each product please enter the base-year production and the % targets. The base-year energy (or carbon) data will be imported from the Novem Product Fuel Data tab if used or can be input directly.</t>
  </si>
  <si>
    <t>If the TU is Novem this can be used to determine the Base Year Energy or Carbon associated with each Novem Product</t>
  </si>
  <si>
    <t>All Novem products must have a SEC (or SCC) figure for the Sector Base Year. If a product SEC (or SCC) is determined using data for a later base year it will be back calculated.</t>
  </si>
  <si>
    <t>% target of facility(s) joining will be the same as the sector/ sub sector commitment, unless their Base Year is different from the Base Year for the sector/sub sector and/or they are currently overperforming compared with the sector target profile. Use the table above and the New Entrant Facility Targets tab to determine their % targets.</t>
  </si>
  <si>
    <t xml:space="preserve">Populate this workbook with data for the new TU. Determine % targets for facilities using the calculator above this table and the New Entrant Facility Targets tab. Then add data for the new entrant facilities in the Facility Data tab using separate facility columns where necessary to apply the appropriate % targets. Facilities which share the same % targets may be grouped together. </t>
  </si>
  <si>
    <t>Current Target Period</t>
  </si>
  <si>
    <t>Stringency Tests</t>
  </si>
  <si>
    <t>Conditions</t>
  </si>
  <si>
    <t>Test Implemented</t>
  </si>
  <si>
    <t>Target tightening</t>
  </si>
  <si>
    <t>Applicable Scenario</t>
  </si>
  <si>
    <t>For Scenario 2 or 3 select year for which performance data is provided</t>
  </si>
  <si>
    <t>If the performance at previous TP is better than the target for current TP</t>
  </si>
  <si>
    <t>Application to Novem?</t>
  </si>
  <si>
    <t>This tab tests whether the TP4 target needs to be tighened. Determine the relevant scenario and select this in cell B20</t>
  </si>
  <si>
    <t>Complete cells B21 and B22 as appropriate then complete the green cells in the appropriate table for the target type.</t>
  </si>
  <si>
    <t>The stringency test result will then be determined and the TP4 target adjusted if necessary in the Target Calculations tab</t>
  </si>
  <si>
    <t>Application for Absolute is like an absolute throughput drop but what if there is another throughput drop in TP4 will it be double counted?</t>
  </si>
  <si>
    <t xml:space="preserve">This tab should be used to apply stringency tests. If the test indicate that the TP4 target needs to be tightened then the revised target will automatically be determined and included in the Target Calculations tab.  </t>
  </si>
  <si>
    <t>Please identify the applicable stringency test and populate the drop down boxes.</t>
  </si>
  <si>
    <t>Please provide data TU level performance data in the greeen cells.</t>
  </si>
  <si>
    <t>Please Select</t>
  </si>
  <si>
    <t>Relative Energy</t>
  </si>
  <si>
    <t>kWh</t>
  </si>
  <si>
    <t>EXPECTED PERFORMANCE in 2011</t>
  </si>
  <si>
    <t>Non-IT Energy (ME energy) (kWh) in Facility BY</t>
  </si>
  <si>
    <t>Facility Base Year</t>
  </si>
  <si>
    <t>EXPECTED PERFORMANCE TU BY</t>
  </si>
  <si>
    <t>Sector PUE</t>
  </si>
  <si>
    <t>MWh</t>
  </si>
  <si>
    <t>Fixed value</t>
  </si>
  <si>
    <t>Target Improvement based on sector profile</t>
  </si>
  <si>
    <t>% Target tolerance</t>
  </si>
  <si>
    <t>Scheme Base Year</t>
  </si>
  <si>
    <t xml:space="preserve">Expected improvement at TU Base Year </t>
  </si>
  <si>
    <t>Implied performance in 2011</t>
  </si>
  <si>
    <t>In Target Currency (PUE*1000)</t>
  </si>
  <si>
    <t>Target % Improvement for TU with 2011 BY</t>
  </si>
  <si>
    <t>ME/IT ratio</t>
  </si>
  <si>
    <t xml:space="preserve">This workbook is only to be used for the Data Centres Sector for working out the appropriate targets for new entrant TUs or for existing TUs that wish to adjust the facilities they include. </t>
  </si>
  <si>
    <t>Equivalent ME energy in 2011 (kWh)</t>
  </si>
  <si>
    <t>Equivalent PUE in 2011 (PUEx1000)</t>
  </si>
  <si>
    <t xml:space="preserve">The workbook applies the agreed method for calculating targets for the Data Centres Sector.  </t>
  </si>
  <si>
    <t xml:space="preserve">The TU Base Year may then be selected in the Baseline Data tab. This is used to determine the total on target profile energy that would have been used by the TU in its Base Year. The Target calculations tab will provide the TU level targets for input to the register. </t>
  </si>
  <si>
    <t>In this tab the Sector target details are provided. These cannot be changed and are for reference only.</t>
  </si>
  <si>
    <t>Nothing needs to be done in this tab, it just provides reference data</t>
  </si>
  <si>
    <t>Please input the "throughput" as the "IT energy use" in MWh as that is the throughput measure used for Data Centres</t>
  </si>
  <si>
    <t>The Section below provides background calculations and does require any input</t>
  </si>
  <si>
    <t>In this tab Facilities that share the same Base Year and data accuracy may be grouped together and their energy and throughput data provided together with their Base Year. The Equivalent ME energy that would have been used in the Sector Base Year of 2011 is determined and usd to caluclate the PUE for the TU in the Sector Base Year. Note Facilities that apply the SRM must be treated individually.</t>
  </si>
  <si>
    <t xml:space="preserve">In this tab the TU Base Year must be selected. The equivalent total energy that would have been used in the TU Base Year is then determined in the Facility Details tab and used to calculate the PUE for the TU Base Year. </t>
  </si>
  <si>
    <t>Target % Improvement for TU with 2011 BY - this shows the adjustment made to the Sector Target Profile according to the difference between the TU PUE in 2011 and the Sector PUE in 2011 which was set at 2.</t>
  </si>
  <si>
    <t>Target % Improvement in TU BY - this shows the adjustment made to the Sector % Targets to account for the TU Base Year. Note these values are not changed by changes in the TU base year.</t>
  </si>
  <si>
    <t>In Target Currency (PUE*1000) - These values are not affected by changes in the TU Base Year, only the % Targets and equivalent Base Year energy are adjusted according to the TU Base Year</t>
  </si>
  <si>
    <t>ME/IT ratio - this is use to establish the adjustment ratio used in the stringency test and assures that the stringency test cannot result in a PUE less than 1</t>
  </si>
  <si>
    <t xml:space="preserve">This tab also shows the background calculations used to determine the targets. </t>
  </si>
  <si>
    <t>Please select</t>
  </si>
  <si>
    <t>1a Existing TU with Existing Facility(s) joining and/or leaving
OR
1b Existing or New TU with New Facility(s) joining that can provide performance data for the last TP</t>
  </si>
  <si>
    <t>2 Existing TU with New Facility(s) joining that are not able to provide performance data for the last TP</t>
  </si>
  <si>
    <t>3 New TU with a least 1 New Facility and possibly some Existing Facility(s) joining that are not able to provide performance data for the last TP</t>
  </si>
  <si>
    <t>4 New TU with only 1 Existing Facility joining</t>
  </si>
  <si>
    <t xml:space="preserve">1a: In this scenario there is a TU that already has an agreement. A variation has been submitted either for one of the TU’s facilities to exit, or for an existing facility to join the TU, following a change of ownership. The stringency test must be applied both to the TU that has a facility joining, and the TU that has a facility leaving.
</t>
  </si>
  <si>
    <t xml:space="preserve">1b: In this scenario a new entrant is joining, either as a brand new TU, or joining into an existing TU. The new entrant is able to provide data for the last TP. The stringency test should be applied to the TU. </t>
  </si>
  <si>
    <t>In this scenario there is a TU which already has an agreement, and a variation has been submitted for a new entrant facility to join with it. The new entrant facility is not able to provide performance data for the last TP. The stringency test should be applied to the TU using performance data for a recent 12 month period.</t>
  </si>
  <si>
    <t>In this scenario there is a new TU (i.e. it doesn’t have a current agreement). It has at least one new facility joining, and may have some existing facilities joining as well. 
The TU contains facilities which cannot provide performance data for the last TP. The stringency test should be applied to the TU using performance data for a recent 12 month period.</t>
  </si>
  <si>
    <t xml:space="preserve">This is a change of ownership, where one facility is changing ownership and will form a new single facility TU.  
</t>
  </si>
  <si>
    <t>No test needs to be applied for the new TU.
If the existing facility joining the new TU will be leaving behind a TU (i.e. it did not come from a single facility TU, and therefore the TU remains part of the scheme), case 1a will apply to the remaining TU.</t>
  </si>
  <si>
    <t xml:space="preserve">Application of the test as defined in the Operations Manual to the new TU.  Data for the recent 12 months needs to be provided for the joining Facility(s), 70/30 data may be used with the addition of throughput for the same period.
</t>
  </si>
  <si>
    <t>If the performance for the recent 12 months is better than the target for current TP</t>
  </si>
  <si>
    <t>Adaptation of the test defined in the Technical Annex to use performance data for a recent 12 months, not the previous TP. Data for the recent 12 months needs to be provided for the existing TU and the joining Facility(s)</t>
  </si>
  <si>
    <t>Application of the test as defined in the Technical Annex to the TU that Facility(s) join and the TU that Facility(s) leave</t>
  </si>
  <si>
    <t>Workbook date: 4/5/17 (includes stringency test)</t>
  </si>
  <si>
    <t>Workbook Version: OM Issue 6.1 Data Centres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</si>
</sst>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0.0"/>
    <numFmt numFmtId="165" formatCode="0.0000"/>
    <numFmt numFmtId="166" formatCode="_(* #,##0.00_);_(* \(#,##0.00\);_(* &quot;-&quot;??_);_(@_)"/>
    <numFmt numFmtId="167" formatCode="#,##0.000000000"/>
    <numFmt numFmtId="168" formatCode="0.000"/>
    <numFmt numFmtId="169" formatCode="0.0%"/>
    <numFmt numFmtId="170" formatCode="#,##0.000"/>
    <numFmt numFmtId="171" formatCode="0.000%"/>
    <numFmt numFmtId="172" formatCode="#,##0.0"/>
    <numFmt numFmtId="173" formatCode="#,##0.0000"/>
    <numFmt numFmtId="174" formatCode="&quot;£&quot;#,##0"/>
    <numFmt numFmtId="175" formatCode="_-* #,##0.000_-;\-* #,##0.000_-;_-* &quot;-&quot;??_-;_-@_-"/>
    <numFmt numFmtId="176" formatCode="0.000000000"/>
  </numFmts>
  <fonts count="52" x14ac:knownFonts="1">
    <font>
      <sz val="11"/>
      <color theme="1"/>
      <name val="Calibri"/>
      <family val="2"/>
      <scheme val="minor"/>
    </font>
    <font>
      <sz val="11"/>
      <color theme="1"/>
      <name val="Calibri"/>
      <family val="2"/>
      <scheme val="minor"/>
    </font>
    <font>
      <sz val="10"/>
      <color theme="1"/>
      <name val="Arial"/>
      <family val="2"/>
    </font>
    <font>
      <sz val="10"/>
      <color indexed="10"/>
      <name val="Arial"/>
      <family val="2"/>
    </font>
    <font>
      <b/>
      <sz val="12"/>
      <name val="Arial"/>
      <family val="2"/>
    </font>
    <font>
      <sz val="10"/>
      <name val="Arial"/>
      <family val="2"/>
    </font>
    <font>
      <b/>
      <sz val="10"/>
      <name val="Arial"/>
      <family val="2"/>
    </font>
    <font>
      <b/>
      <sz val="10"/>
      <color indexed="8"/>
      <name val="Arial"/>
      <family val="2"/>
    </font>
    <font>
      <sz val="10"/>
      <color indexed="8"/>
      <name val="Arial"/>
      <family val="2"/>
    </font>
    <font>
      <b/>
      <vertAlign val="superscript"/>
      <sz val="10"/>
      <name val="Arial"/>
      <family val="2"/>
    </font>
    <font>
      <u/>
      <sz val="10"/>
      <color indexed="12"/>
      <name val="Arial"/>
      <family val="2"/>
    </font>
    <font>
      <b/>
      <sz val="11"/>
      <name val="Arial"/>
      <family val="2"/>
    </font>
    <font>
      <b/>
      <sz val="10"/>
      <color indexed="81"/>
      <name val="Tahoma"/>
      <family val="2"/>
    </font>
    <font>
      <b/>
      <sz val="10"/>
      <color theme="1"/>
      <name val="Arial"/>
      <family val="2"/>
    </font>
    <font>
      <b/>
      <sz val="16"/>
      <color theme="1"/>
      <name val="Arial"/>
      <family val="2"/>
    </font>
    <font>
      <b/>
      <sz val="10"/>
      <color rgb="FF000000"/>
      <name val="Arial"/>
      <family val="2"/>
    </font>
    <font>
      <b/>
      <sz val="16"/>
      <name val="Arial"/>
      <family val="2"/>
    </font>
    <font>
      <b/>
      <sz val="11"/>
      <color rgb="FFFF0000"/>
      <name val="Arial"/>
      <family val="2"/>
    </font>
    <font>
      <b/>
      <sz val="11"/>
      <name val="Calibri"/>
      <family val="2"/>
      <scheme val="minor"/>
    </font>
    <font>
      <b/>
      <sz val="12"/>
      <color theme="1"/>
      <name val="Arial"/>
      <family val="2"/>
    </font>
    <font>
      <b/>
      <u/>
      <sz val="14"/>
      <color indexed="8"/>
      <name val="Arial"/>
      <family val="2"/>
    </font>
    <font>
      <b/>
      <sz val="14"/>
      <color indexed="8"/>
      <name val="Arial"/>
      <family val="2"/>
    </font>
    <font>
      <sz val="14"/>
      <color theme="1"/>
      <name val="Arial"/>
      <family val="2"/>
    </font>
    <font>
      <sz val="14"/>
      <color indexed="8"/>
      <name val="Arial"/>
      <family val="2"/>
    </font>
    <font>
      <b/>
      <u/>
      <sz val="11"/>
      <color theme="1"/>
      <name val="Calibri"/>
      <family val="2"/>
      <scheme val="minor"/>
    </font>
    <font>
      <sz val="8"/>
      <color indexed="81"/>
      <name val="Tahoma"/>
      <family val="2"/>
    </font>
    <font>
      <b/>
      <sz val="8"/>
      <color indexed="81"/>
      <name val="Tahoma"/>
      <family val="2"/>
    </font>
    <font>
      <b/>
      <sz val="24"/>
      <color theme="1"/>
      <name val="Arial"/>
      <family val="2"/>
    </font>
    <font>
      <sz val="11"/>
      <color theme="1"/>
      <name val="Arial"/>
      <family val="2"/>
    </font>
    <font>
      <b/>
      <sz val="11"/>
      <color theme="1"/>
      <name val="Arial"/>
      <family val="2"/>
    </font>
    <font>
      <sz val="11"/>
      <name val="Arial"/>
      <family val="2"/>
    </font>
    <font>
      <b/>
      <u/>
      <sz val="11"/>
      <color theme="1"/>
      <name val="Arial"/>
      <family val="2"/>
    </font>
    <font>
      <b/>
      <sz val="20"/>
      <color theme="1"/>
      <name val="Arial"/>
      <family val="2"/>
    </font>
    <font>
      <b/>
      <sz val="8"/>
      <color indexed="81"/>
      <name val="Arial"/>
      <family val="2"/>
    </font>
    <font>
      <sz val="9"/>
      <color indexed="81"/>
      <name val="Tahoma"/>
      <family val="2"/>
    </font>
    <font>
      <b/>
      <sz val="9"/>
      <color indexed="81"/>
      <name val="Tahoma"/>
      <family val="2"/>
    </font>
    <font>
      <b/>
      <sz val="12"/>
      <color indexed="81"/>
      <name val="Tahoma"/>
      <family val="2"/>
    </font>
    <font>
      <b/>
      <sz val="8"/>
      <color theme="1"/>
      <name val="Arial"/>
      <family val="2"/>
    </font>
    <font>
      <sz val="11"/>
      <color theme="0"/>
      <name val="Calibri"/>
      <family val="2"/>
      <scheme val="minor"/>
    </font>
    <font>
      <sz val="10"/>
      <color indexed="81"/>
      <name val="Tahoma"/>
      <family val="2"/>
    </font>
    <font>
      <sz val="8"/>
      <color theme="1"/>
      <name val="Arial"/>
      <family val="2"/>
    </font>
    <font>
      <b/>
      <sz val="11"/>
      <color theme="1"/>
      <name val="Calibri"/>
      <family val="2"/>
      <scheme val="minor"/>
    </font>
    <font>
      <b/>
      <sz val="14"/>
      <color theme="1"/>
      <name val="Arial"/>
      <family val="2"/>
    </font>
    <font>
      <vertAlign val="subscript"/>
      <sz val="11"/>
      <color theme="1"/>
      <name val="Arial"/>
      <family val="2"/>
    </font>
    <font>
      <sz val="12"/>
      <color indexed="81"/>
      <name val="Tahoma"/>
      <family val="2"/>
    </font>
    <font>
      <b/>
      <sz val="14"/>
      <color rgb="FFFF0000"/>
      <name val="Arial"/>
      <family val="2"/>
    </font>
    <font>
      <sz val="10"/>
      <color rgb="FF000000"/>
      <name val="Arial"/>
      <family val="2"/>
    </font>
    <font>
      <sz val="11"/>
      <color theme="0"/>
      <name val="Arial"/>
      <family val="2"/>
    </font>
    <font>
      <sz val="11"/>
      <color rgb="FFFF0000"/>
      <name val="Calibri"/>
      <family val="2"/>
      <scheme val="minor"/>
    </font>
    <font>
      <b/>
      <sz val="11"/>
      <color rgb="FFFF0000"/>
      <name val="Calibri"/>
      <family val="2"/>
      <scheme val="minor"/>
    </font>
    <font>
      <sz val="11"/>
      <name val="Calibri"/>
      <family val="2"/>
      <scheme val="minor"/>
    </font>
    <font>
      <b/>
      <sz val="10"/>
      <color theme="0"/>
      <name val="Arial"/>
      <family val="2"/>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1"/>
        <bgColor indexed="64"/>
      </patternFill>
    </fill>
    <fill>
      <patternFill patternType="solid">
        <fgColor rgb="FFC0DFD5"/>
        <bgColor indexed="64"/>
      </patternFill>
    </fill>
    <fill>
      <patternFill patternType="solid">
        <fgColor rgb="FFFFC000"/>
        <bgColor indexed="64"/>
      </patternFill>
    </fill>
    <fill>
      <patternFill patternType="solid">
        <fgColor theme="5" tint="0.39994506668294322"/>
        <bgColor indexed="64"/>
      </patternFill>
    </fill>
    <fill>
      <patternFill patternType="solid">
        <fgColor theme="0"/>
        <bgColor indexed="64"/>
      </patternFill>
    </fill>
    <fill>
      <patternFill patternType="solid">
        <fgColor theme="2" tint="-0.249977111117893"/>
        <bgColor indexed="64"/>
      </patternFill>
    </fill>
    <fill>
      <patternFill patternType="solid">
        <fgColor rgb="FF99CCFF"/>
        <bgColor indexed="64"/>
      </patternFill>
    </fill>
    <fill>
      <patternFill patternType="solid">
        <fgColor theme="3" tint="0.59999389629810485"/>
        <bgColor indexed="64"/>
      </patternFill>
    </fill>
    <fill>
      <patternFill patternType="solid">
        <fgColor rgb="FF5B9BD5"/>
        <bgColor indexed="64"/>
      </patternFill>
    </fill>
    <fill>
      <patternFill patternType="solid">
        <fgColor rgb="FFD2DEEF"/>
        <bgColor indexed="64"/>
      </patternFill>
    </fill>
  </fills>
  <borders count="5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rgb="FFCCCCCC"/>
      </left>
      <right style="medium">
        <color rgb="FFCCCCCC"/>
      </right>
      <top style="medium">
        <color rgb="FFCCCCCC"/>
      </top>
      <bottom style="thick">
        <color rgb="FF009999"/>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style="thick">
        <color rgb="FF009999"/>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9" fontId="1" fillId="0" borderId="0" applyFont="0" applyFill="0" applyBorder="0" applyAlignment="0" applyProtection="0"/>
    <xf numFmtId="0" fontId="2" fillId="0" borderId="0"/>
    <xf numFmtId="166" fontId="5" fillId="0" borderId="0" applyFont="0" applyFill="0" applyBorder="0" applyAlignment="0" applyProtection="0"/>
    <xf numFmtId="0" fontId="10" fillId="0" borderId="0" applyNumberFormat="0" applyFill="0" applyBorder="0" applyAlignment="0" applyProtection="0">
      <alignment vertical="top"/>
      <protection locked="0"/>
    </xf>
    <xf numFmtId="9" fontId="5" fillId="0" borderId="0" applyFont="0" applyFill="0" applyBorder="0" applyAlignment="0" applyProtection="0"/>
    <xf numFmtId="43" fontId="1" fillId="0" borderId="0" applyFont="0" applyFill="0" applyBorder="0" applyAlignment="0" applyProtection="0"/>
  </cellStyleXfs>
  <cellXfs count="527">
    <xf numFmtId="0" fontId="0" fillId="0" borderId="0" xfId="0"/>
    <xf numFmtId="0" fontId="2" fillId="2" borderId="0" xfId="2" applyFill="1"/>
    <xf numFmtId="164" fontId="2" fillId="2" borderId="0" xfId="2" applyNumberFormat="1" applyFill="1" applyAlignment="1">
      <alignment horizontal="center"/>
    </xf>
    <xf numFmtId="0" fontId="3" fillId="2" borderId="0" xfId="2" applyFont="1" applyFill="1" applyAlignment="1">
      <alignment horizontal="center"/>
    </xf>
    <xf numFmtId="0" fontId="2" fillId="0" borderId="0" xfId="2"/>
    <xf numFmtId="0" fontId="4" fillId="2" borderId="0" xfId="2" applyFont="1" applyFill="1"/>
    <xf numFmtId="0" fontId="5" fillId="2" borderId="0" xfId="2" applyFont="1" applyFill="1"/>
    <xf numFmtId="164" fontId="5" fillId="2" borderId="0" xfId="2" applyNumberFormat="1" applyFont="1" applyFill="1" applyAlignment="1">
      <alignment horizontal="center"/>
    </xf>
    <xf numFmtId="0" fontId="2" fillId="2" borderId="0" xfId="2" applyFont="1" applyFill="1"/>
    <xf numFmtId="0" fontId="2" fillId="3" borderId="0" xfId="2" applyFill="1" applyBorder="1"/>
    <xf numFmtId="164" fontId="2" fillId="3" borderId="0" xfId="2" applyNumberFormat="1" applyFill="1" applyAlignment="1">
      <alignment horizontal="center"/>
    </xf>
    <xf numFmtId="0" fontId="2" fillId="3" borderId="0" xfId="2" applyFill="1"/>
    <xf numFmtId="0" fontId="3" fillId="3" borderId="0" xfId="2" applyFont="1" applyFill="1" applyAlignment="1">
      <alignment horizontal="center"/>
    </xf>
    <xf numFmtId="0" fontId="2" fillId="3" borderId="0" xfId="2" applyFont="1" applyFill="1" applyAlignment="1"/>
    <xf numFmtId="0" fontId="2" fillId="3" borderId="7" xfId="2" applyFill="1" applyBorder="1"/>
    <xf numFmtId="164" fontId="6" fillId="3" borderId="0" xfId="2" applyNumberFormat="1" applyFont="1" applyFill="1" applyAlignment="1">
      <alignment horizontal="center"/>
    </xf>
    <xf numFmtId="0" fontId="6" fillId="3" borderId="0" xfId="2" applyFont="1" applyFill="1" applyAlignment="1">
      <alignment horizontal="center"/>
    </xf>
    <xf numFmtId="0" fontId="6" fillId="3" borderId="0" xfId="2" applyFont="1" applyFill="1" applyBorder="1"/>
    <xf numFmtId="1" fontId="2" fillId="3" borderId="0" xfId="2" applyNumberFormat="1" applyFont="1" applyFill="1" applyAlignment="1">
      <alignment horizontal="center"/>
    </xf>
    <xf numFmtId="0" fontId="2" fillId="3" borderId="0" xfId="2" applyFill="1" applyAlignment="1">
      <alignment horizontal="center"/>
    </xf>
    <xf numFmtId="0" fontId="7" fillId="3" borderId="0" xfId="2" applyFont="1" applyFill="1" applyAlignment="1">
      <alignment horizontal="center"/>
    </xf>
    <xf numFmtId="164" fontId="6" fillId="3" borderId="7" xfId="2" applyNumberFormat="1" applyFont="1" applyFill="1" applyBorder="1" applyAlignment="1">
      <alignment horizontal="center"/>
    </xf>
    <xf numFmtId="0" fontId="6" fillId="3" borderId="7" xfId="2" applyFont="1" applyFill="1" applyBorder="1"/>
    <xf numFmtId="0" fontId="8" fillId="3" borderId="0" xfId="2" applyFont="1" applyFill="1" applyAlignment="1">
      <alignment horizontal="center"/>
    </xf>
    <xf numFmtId="0" fontId="6" fillId="4" borderId="6" xfId="2" applyFont="1" applyFill="1" applyBorder="1"/>
    <xf numFmtId="164" fontId="2" fillId="4" borderId="0" xfId="2" applyNumberFormat="1" applyFill="1" applyAlignment="1">
      <alignment horizontal="center"/>
    </xf>
    <xf numFmtId="0" fontId="2" fillId="4" borderId="0" xfId="2" applyFill="1"/>
    <xf numFmtId="0" fontId="2" fillId="4" borderId="6" xfId="2" applyFill="1" applyBorder="1"/>
    <xf numFmtId="0" fontId="2" fillId="4" borderId="0" xfId="2" applyFill="1" applyBorder="1"/>
    <xf numFmtId="0" fontId="8" fillId="4" borderId="6" xfId="2" applyFont="1" applyFill="1" applyBorder="1"/>
    <xf numFmtId="164" fontId="8" fillId="4" borderId="0" xfId="2" applyNumberFormat="1" applyFont="1" applyFill="1" applyAlignment="1">
      <alignment horizontal="center"/>
    </xf>
    <xf numFmtId="0" fontId="8" fillId="4" borderId="0" xfId="2" applyFont="1" applyFill="1"/>
    <xf numFmtId="0" fontId="2" fillId="3" borderId="11" xfId="2" applyFill="1" applyBorder="1"/>
    <xf numFmtId="164" fontId="2" fillId="3" borderId="11" xfId="2" applyNumberFormat="1" applyFill="1" applyBorder="1" applyAlignment="1">
      <alignment horizontal="center"/>
    </xf>
    <xf numFmtId="0" fontId="3" fillId="3" borderId="11" xfId="2" applyFont="1" applyFill="1" applyBorder="1" applyAlignment="1">
      <alignment horizontal="center"/>
    </xf>
    <xf numFmtId="0" fontId="2" fillId="3" borderId="10" xfId="2" applyFill="1" applyBorder="1"/>
    <xf numFmtId="0" fontId="15" fillId="9" borderId="13" xfId="2" applyFont="1" applyFill="1" applyBorder="1" applyAlignment="1">
      <alignment horizontal="left" vertical="top" wrapText="1"/>
    </xf>
    <xf numFmtId="0" fontId="2" fillId="0" borderId="0" xfId="2" applyAlignment="1">
      <alignment vertical="center" wrapText="1"/>
    </xf>
    <xf numFmtId="0" fontId="2" fillId="0" borderId="14" xfId="2" applyBorder="1" applyAlignment="1">
      <alignment horizontal="left" vertical="top" wrapText="1"/>
    </xf>
    <xf numFmtId="9" fontId="2" fillId="0" borderId="14" xfId="2" applyNumberFormat="1" applyBorder="1" applyAlignment="1">
      <alignment horizontal="left" vertical="top" wrapText="1"/>
    </xf>
    <xf numFmtId="0" fontId="2" fillId="0" borderId="15" xfId="2" applyBorder="1" applyAlignment="1">
      <alignment horizontal="left" vertical="top" wrapText="1"/>
    </xf>
    <xf numFmtId="0" fontId="2" fillId="5" borderId="16" xfId="2" applyFill="1" applyBorder="1" applyAlignment="1">
      <alignment horizontal="left" vertical="top" wrapText="1"/>
    </xf>
    <xf numFmtId="0" fontId="2" fillId="0" borderId="17" xfId="2" applyBorder="1" applyAlignment="1">
      <alignment horizontal="left" vertical="top" wrapText="1"/>
    </xf>
    <xf numFmtId="9" fontId="2" fillId="0" borderId="17" xfId="2" applyNumberFormat="1" applyBorder="1" applyAlignment="1">
      <alignment horizontal="left" vertical="top" wrapText="1"/>
    </xf>
    <xf numFmtId="0" fontId="2" fillId="0" borderId="0" xfId="2" applyBorder="1"/>
    <xf numFmtId="0" fontId="2" fillId="0" borderId="0" xfId="2" applyFont="1"/>
    <xf numFmtId="0" fontId="14" fillId="0" borderId="12" xfId="2" applyFont="1" applyBorder="1"/>
    <xf numFmtId="0" fontId="2" fillId="0" borderId="12" xfId="2" applyBorder="1"/>
    <xf numFmtId="0" fontId="5" fillId="0" borderId="0" xfId="2" applyFont="1" applyBorder="1"/>
    <xf numFmtId="0" fontId="24" fillId="0" borderId="0" xfId="0" applyFont="1"/>
    <xf numFmtId="0" fontId="19" fillId="0" borderId="1" xfId="0" applyFont="1" applyBorder="1" applyAlignment="1">
      <alignment horizontal="left" vertical="center" wrapText="1"/>
    </xf>
    <xf numFmtId="0" fontId="11" fillId="3" borderId="22" xfId="0" applyFont="1" applyFill="1" applyBorder="1" applyAlignment="1">
      <alignment wrapText="1"/>
    </xf>
    <xf numFmtId="0" fontId="0" fillId="0" borderId="0" xfId="0" applyFont="1"/>
    <xf numFmtId="3" fontId="11" fillId="0" borderId="0" xfId="0" applyNumberFormat="1" applyFont="1" applyFill="1" applyBorder="1" applyAlignment="1"/>
    <xf numFmtId="9" fontId="11" fillId="0" borderId="0" xfId="1" applyFont="1" applyFill="1" applyBorder="1" applyAlignment="1"/>
    <xf numFmtId="0" fontId="18" fillId="0" borderId="0" xfId="0" applyFont="1" applyFill="1" applyBorder="1"/>
    <xf numFmtId="167" fontId="11" fillId="0" borderId="0" xfId="0" applyNumberFormat="1" applyFont="1" applyFill="1" applyBorder="1" applyAlignment="1"/>
    <xf numFmtId="3" fontId="11" fillId="0" borderId="0" xfId="0" applyNumberFormat="1" applyFont="1" applyFill="1" applyBorder="1" applyAlignment="1">
      <alignment horizontal="left" vertical="center" wrapText="1"/>
    </xf>
    <xf numFmtId="0" fontId="11" fillId="3" borderId="19" xfId="0" applyFont="1" applyFill="1" applyBorder="1" applyAlignment="1">
      <alignment horizontal="left" vertical="center" wrapText="1"/>
    </xf>
    <xf numFmtId="49" fontId="11" fillId="5" borderId="19" xfId="0" applyNumberFormat="1" applyFont="1" applyFill="1" applyBorder="1" applyAlignment="1">
      <alignment horizontal="left" vertical="center" wrapText="1"/>
    </xf>
    <xf numFmtId="3" fontId="11" fillId="7" borderId="19" xfId="0" applyNumberFormat="1" applyFont="1" applyFill="1" applyBorder="1" applyAlignment="1">
      <alignment horizontal="left" vertical="center" wrapText="1"/>
    </xf>
    <xf numFmtId="0" fontId="11" fillId="3" borderId="19" xfId="0" applyFont="1" applyFill="1" applyBorder="1" applyAlignment="1">
      <alignment wrapText="1"/>
    </xf>
    <xf numFmtId="0" fontId="16" fillId="0" borderId="19" xfId="0" applyFont="1" applyBorder="1" applyAlignment="1">
      <alignment vertical="center"/>
    </xf>
    <xf numFmtId="0" fontId="11" fillId="3" borderId="19" xfId="0" applyFont="1" applyFill="1" applyBorder="1" applyAlignment="1">
      <alignment vertical="center" wrapText="1"/>
    </xf>
    <xf numFmtId="170" fontId="11" fillId="6" borderId="19" xfId="0" applyNumberFormat="1" applyFont="1" applyFill="1" applyBorder="1" applyAlignment="1"/>
    <xf numFmtId="3" fontId="11" fillId="0" borderId="0" xfId="2" applyNumberFormat="1" applyFont="1" applyFill="1" applyBorder="1" applyAlignment="1"/>
    <xf numFmtId="0" fontId="2" fillId="0" borderId="0" xfId="2" applyFill="1" applyBorder="1"/>
    <xf numFmtId="0" fontId="14" fillId="0" borderId="0" xfId="2" applyFont="1" applyFill="1" applyBorder="1"/>
    <xf numFmtId="49" fontId="11" fillId="0" borderId="0" xfId="2" applyNumberFormat="1" applyFont="1" applyFill="1" applyBorder="1" applyAlignment="1"/>
    <xf numFmtId="0" fontId="30" fillId="3" borderId="19" xfId="2" applyFont="1" applyFill="1" applyBorder="1" applyAlignment="1">
      <alignment wrapText="1"/>
    </xf>
    <xf numFmtId="3" fontId="30" fillId="6" borderId="19" xfId="2" applyNumberFormat="1" applyFont="1" applyFill="1" applyBorder="1" applyAlignment="1"/>
    <xf numFmtId="0" fontId="5" fillId="5" borderId="8" xfId="2" applyFont="1" applyFill="1" applyBorder="1" applyAlignment="1">
      <alignment vertical="center"/>
    </xf>
    <xf numFmtId="0" fontId="11" fillId="0" borderId="18" xfId="0" applyFont="1" applyBorder="1"/>
    <xf numFmtId="0" fontId="11" fillId="0" borderId="0" xfId="0" applyFont="1" applyFill="1" applyBorder="1" applyAlignment="1">
      <alignment wrapText="1"/>
    </xf>
    <xf numFmtId="170" fontId="11" fillId="5" borderId="19" xfId="0" applyNumberFormat="1" applyFont="1" applyFill="1" applyBorder="1" applyAlignment="1" applyProtection="1">
      <protection locked="0"/>
    </xf>
    <xf numFmtId="169" fontId="17" fillId="5" borderId="23" xfId="0" applyNumberFormat="1" applyFont="1" applyFill="1" applyBorder="1" applyAlignment="1" applyProtection="1">
      <protection locked="0"/>
    </xf>
    <xf numFmtId="170" fontId="11" fillId="3" borderId="19" xfId="0" applyNumberFormat="1" applyFont="1" applyFill="1" applyBorder="1" applyAlignment="1">
      <alignment wrapText="1"/>
    </xf>
    <xf numFmtId="49" fontId="11" fillId="5" borderId="19" xfId="0" applyNumberFormat="1" applyFont="1" applyFill="1" applyBorder="1" applyAlignment="1" applyProtection="1">
      <alignment horizontal="center"/>
      <protection locked="0"/>
    </xf>
    <xf numFmtId="170" fontId="11" fillId="0" borderId="0" xfId="0" applyNumberFormat="1" applyFont="1" applyFill="1" applyBorder="1" applyAlignment="1">
      <alignment wrapText="1"/>
    </xf>
    <xf numFmtId="0" fontId="29" fillId="10" borderId="19" xfId="0" applyFont="1" applyFill="1" applyBorder="1" applyAlignment="1">
      <alignment horizontal="left" vertical="center" wrapText="1"/>
    </xf>
    <xf numFmtId="10" fontId="29" fillId="6" borderId="19" xfId="0" applyNumberFormat="1" applyFont="1" applyFill="1" applyBorder="1" applyAlignment="1">
      <alignment horizontal="left" vertical="center" wrapText="1"/>
    </xf>
    <xf numFmtId="0" fontId="32" fillId="0" borderId="19" xfId="0" applyFont="1" applyBorder="1" applyAlignment="1">
      <alignment horizontal="left" vertical="center"/>
    </xf>
    <xf numFmtId="170" fontId="11" fillId="8" borderId="19" xfId="0" applyNumberFormat="1" applyFont="1" applyFill="1" applyBorder="1" applyAlignment="1"/>
    <xf numFmtId="0" fontId="0" fillId="0" borderId="0" xfId="0" applyFill="1"/>
    <xf numFmtId="0" fontId="11" fillId="0" borderId="0" xfId="0" applyFont="1" applyFill="1" applyBorder="1" applyAlignment="1" applyProtection="1">
      <alignment horizontal="center" vertical="center"/>
      <protection locked="0"/>
    </xf>
    <xf numFmtId="0" fontId="19" fillId="0" borderId="19" xfId="0" applyFont="1" applyBorder="1" applyAlignment="1">
      <alignment horizontal="left" vertical="center" wrapText="1"/>
    </xf>
    <xf numFmtId="170" fontId="11" fillId="11" borderId="19" xfId="0" applyNumberFormat="1" applyFont="1" applyFill="1" applyBorder="1" applyAlignment="1" applyProtection="1">
      <protection locked="0"/>
    </xf>
    <xf numFmtId="0" fontId="11" fillId="10" borderId="19" xfId="0" applyFont="1" applyFill="1" applyBorder="1" applyAlignment="1" applyProtection="1">
      <alignment horizontal="center" vertical="center"/>
      <protection locked="0"/>
    </xf>
    <xf numFmtId="0" fontId="11" fillId="3" borderId="19" xfId="0" applyFont="1" applyFill="1" applyBorder="1" applyAlignment="1">
      <alignment horizontal="center" vertical="center" wrapText="1"/>
    </xf>
    <xf numFmtId="0" fontId="28" fillId="8" borderId="19" xfId="2" applyFont="1" applyFill="1" applyBorder="1"/>
    <xf numFmtId="0" fontId="29" fillId="12" borderId="18" xfId="0" applyFont="1" applyFill="1" applyBorder="1" applyAlignment="1">
      <alignment horizontal="left" vertical="center" wrapText="1"/>
    </xf>
    <xf numFmtId="0" fontId="29" fillId="12" borderId="20" xfId="0" applyFont="1" applyFill="1" applyBorder="1" applyAlignment="1">
      <alignment horizontal="left" vertical="center" wrapText="1"/>
    </xf>
    <xf numFmtId="0" fontId="28" fillId="12" borderId="20" xfId="0" applyFont="1" applyFill="1" applyBorder="1" applyAlignment="1">
      <alignment horizontal="left" vertical="center" wrapText="1"/>
    </xf>
    <xf numFmtId="0" fontId="31" fillId="12" borderId="20" xfId="0" applyFont="1" applyFill="1" applyBorder="1" applyAlignment="1">
      <alignment horizontal="left" vertical="center" wrapText="1"/>
    </xf>
    <xf numFmtId="0" fontId="11" fillId="12" borderId="12" xfId="0" applyFont="1" applyFill="1" applyBorder="1" applyAlignment="1">
      <alignment horizontal="left" vertical="center" wrapText="1"/>
    </xf>
    <xf numFmtId="3" fontId="11" fillId="12" borderId="0" xfId="0" applyNumberFormat="1" applyFont="1" applyFill="1" applyBorder="1" applyAlignment="1"/>
    <xf numFmtId="172" fontId="11" fillId="12" borderId="0" xfId="0" applyNumberFormat="1" applyFont="1" applyFill="1" applyBorder="1" applyAlignment="1"/>
    <xf numFmtId="49" fontId="11" fillId="12" borderId="0" xfId="0" applyNumberFormat="1" applyFont="1" applyFill="1" applyBorder="1" applyAlignment="1"/>
    <xf numFmtId="167" fontId="11" fillId="12" borderId="0" xfId="0" applyNumberFormat="1" applyFont="1" applyFill="1" applyBorder="1" applyAlignment="1"/>
    <xf numFmtId="0" fontId="0" fillId="12" borderId="25" xfId="0" applyFill="1" applyBorder="1"/>
    <xf numFmtId="0" fontId="11" fillId="12" borderId="12" xfId="0" applyFont="1" applyFill="1" applyBorder="1" applyAlignment="1">
      <alignment wrapText="1"/>
    </xf>
    <xf numFmtId="172" fontId="11" fillId="12" borderId="12" xfId="0" applyNumberFormat="1" applyFont="1" applyFill="1" applyBorder="1" applyAlignment="1" applyProtection="1">
      <protection locked="0"/>
    </xf>
    <xf numFmtId="172" fontId="17" fillId="12" borderId="12" xfId="0" applyNumberFormat="1" applyFont="1" applyFill="1" applyBorder="1" applyAlignment="1" applyProtection="1">
      <protection locked="0"/>
    </xf>
    <xf numFmtId="0" fontId="11" fillId="12" borderId="26" xfId="0" applyFont="1" applyFill="1" applyBorder="1" applyAlignment="1">
      <alignment horizontal="left" vertical="center" wrapText="1"/>
    </xf>
    <xf numFmtId="49" fontId="11" fillId="12" borderId="31" xfId="0" applyNumberFormat="1" applyFont="1" applyFill="1" applyBorder="1" applyAlignment="1">
      <alignment horizontal="left" vertical="center" wrapText="1"/>
    </xf>
    <xf numFmtId="0" fontId="0" fillId="12" borderId="0" xfId="0" applyFill="1" applyBorder="1"/>
    <xf numFmtId="0" fontId="0" fillId="12" borderId="28" xfId="0" applyFill="1" applyBorder="1"/>
    <xf numFmtId="0" fontId="0" fillId="0" borderId="12" xfId="0" applyBorder="1"/>
    <xf numFmtId="0" fontId="0" fillId="0" borderId="0" xfId="0" applyBorder="1"/>
    <xf numFmtId="0" fontId="0" fillId="12" borderId="12" xfId="0" applyFill="1" applyBorder="1"/>
    <xf numFmtId="0" fontId="0" fillId="12" borderId="29" xfId="0" applyFill="1" applyBorder="1"/>
    <xf numFmtId="0" fontId="0" fillId="12" borderId="30" xfId="0" applyFill="1" applyBorder="1"/>
    <xf numFmtId="0" fontId="13" fillId="12" borderId="31" xfId="0" applyFont="1" applyFill="1" applyBorder="1" applyAlignment="1">
      <alignment horizontal="left" vertical="center" wrapText="1"/>
    </xf>
    <xf numFmtId="10" fontId="13" fillId="12" borderId="27" xfId="0" applyNumberFormat="1" applyFont="1" applyFill="1" applyBorder="1" applyAlignment="1">
      <alignment horizontal="left" vertical="center" wrapText="1"/>
    </xf>
    <xf numFmtId="172" fontId="11" fillId="12" borderId="28" xfId="0" applyNumberFormat="1" applyFont="1" applyFill="1" applyBorder="1" applyAlignment="1"/>
    <xf numFmtId="0" fontId="11" fillId="12" borderId="28" xfId="0" applyFont="1" applyFill="1" applyBorder="1" applyAlignment="1">
      <alignment vertical="center" wrapText="1"/>
    </xf>
    <xf numFmtId="172" fontId="17" fillId="12" borderId="28" xfId="0" applyNumberFormat="1" applyFont="1" applyFill="1" applyBorder="1" applyAlignment="1" applyProtection="1">
      <protection locked="0"/>
    </xf>
    <xf numFmtId="0" fontId="28" fillId="12" borderId="31" xfId="0" applyFont="1" applyFill="1" applyBorder="1"/>
    <xf numFmtId="0" fontId="0" fillId="12" borderId="31" xfId="0" applyFill="1" applyBorder="1"/>
    <xf numFmtId="0" fontId="0" fillId="12" borderId="27" xfId="0" applyFill="1" applyBorder="1"/>
    <xf numFmtId="0" fontId="28" fillId="12" borderId="0" xfId="0" applyFont="1" applyFill="1" applyBorder="1"/>
    <xf numFmtId="0" fontId="28" fillId="12" borderId="12" xfId="0" applyFont="1" applyFill="1" applyBorder="1"/>
    <xf numFmtId="0" fontId="0" fillId="12" borderId="26" xfId="0" applyFill="1" applyBorder="1"/>
    <xf numFmtId="1" fontId="11" fillId="10" borderId="19" xfId="0" applyNumberFormat="1" applyFont="1" applyFill="1" applyBorder="1" applyAlignment="1" applyProtection="1">
      <alignment horizontal="center" vertical="center"/>
      <protection locked="0"/>
    </xf>
    <xf numFmtId="0" fontId="19" fillId="12" borderId="31" xfId="0" applyFont="1" applyFill="1" applyBorder="1" applyAlignment="1">
      <alignment horizontal="left" vertical="center" wrapText="1"/>
    </xf>
    <xf numFmtId="0" fontId="11" fillId="12" borderId="18" xfId="0" applyFont="1" applyFill="1" applyBorder="1"/>
    <xf numFmtId="0" fontId="11" fillId="12" borderId="0" xfId="0" applyFont="1" applyFill="1" applyBorder="1" applyAlignment="1">
      <alignment horizontal="left" vertical="center" wrapText="1"/>
    </xf>
    <xf numFmtId="49" fontId="11" fillId="12" borderId="0" xfId="0" applyNumberFormat="1"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2" borderId="0" xfId="0" applyFont="1" applyFill="1" applyBorder="1" applyAlignment="1">
      <alignment horizontal="left" vertical="center" wrapText="1"/>
    </xf>
    <xf numFmtId="49" fontId="11" fillId="12" borderId="20" xfId="0" applyNumberFormat="1" applyFont="1" applyFill="1" applyBorder="1" applyAlignment="1"/>
    <xf numFmtId="3" fontId="11" fillId="12" borderId="0" xfId="0" applyNumberFormat="1" applyFont="1" applyFill="1" applyBorder="1" applyAlignment="1">
      <alignment horizontal="left" vertical="center" wrapText="1"/>
    </xf>
    <xf numFmtId="49" fontId="17" fillId="12" borderId="21" xfId="0" applyNumberFormat="1" applyFont="1" applyFill="1" applyBorder="1" applyAlignment="1"/>
    <xf numFmtId="10" fontId="13" fillId="6" borderId="19" xfId="0" applyNumberFormat="1" applyFont="1" applyFill="1" applyBorder="1" applyAlignment="1">
      <alignment horizontal="left" vertical="center" wrapText="1"/>
    </xf>
    <xf numFmtId="10" fontId="13" fillId="12" borderId="0" xfId="0" applyNumberFormat="1" applyFont="1" applyFill="1" applyBorder="1" applyAlignment="1">
      <alignment horizontal="left" vertical="center" wrapText="1"/>
    </xf>
    <xf numFmtId="0" fontId="11" fillId="3" borderId="1" xfId="0" applyFont="1" applyFill="1" applyBorder="1" applyAlignment="1">
      <alignment vertical="center" wrapText="1"/>
    </xf>
    <xf numFmtId="0" fontId="11" fillId="3" borderId="3" xfId="0" applyFont="1" applyFill="1" applyBorder="1" applyAlignment="1">
      <alignment vertical="center" wrapText="1"/>
    </xf>
    <xf numFmtId="170" fontId="13" fillId="6" borderId="19" xfId="0" applyNumberFormat="1" applyFont="1" applyFill="1" applyBorder="1" applyAlignment="1" applyProtection="1">
      <alignment wrapText="1"/>
    </xf>
    <xf numFmtId="172" fontId="11" fillId="8" borderId="19" xfId="0" applyNumberFormat="1" applyFont="1" applyFill="1" applyBorder="1" applyAlignment="1" applyProtection="1"/>
    <xf numFmtId="172" fontId="11" fillId="8" borderId="19" xfId="0" applyNumberFormat="1" applyFont="1" applyFill="1" applyBorder="1" applyAlignment="1"/>
    <xf numFmtId="170" fontId="13" fillId="6" borderId="19" xfId="0" applyNumberFormat="1" applyFont="1" applyFill="1" applyBorder="1" applyAlignment="1">
      <alignment wrapText="1"/>
    </xf>
    <xf numFmtId="0" fontId="37" fillId="12" borderId="20" xfId="0" applyFont="1" applyFill="1" applyBorder="1" applyAlignment="1">
      <alignment horizontal="left" vertical="center" wrapText="1"/>
    </xf>
    <xf numFmtId="0" fontId="37" fillId="12" borderId="21" xfId="0" applyFont="1" applyFill="1" applyBorder="1" applyAlignment="1">
      <alignment horizontal="left" vertical="center" wrapText="1"/>
    </xf>
    <xf numFmtId="170" fontId="13" fillId="12" borderId="3" xfId="0" applyNumberFormat="1" applyFont="1" applyFill="1" applyBorder="1" applyAlignment="1" applyProtection="1">
      <alignment wrapText="1"/>
    </xf>
    <xf numFmtId="170" fontId="13" fillId="12" borderId="0" xfId="0" applyNumberFormat="1" applyFont="1" applyFill="1" applyBorder="1" applyAlignment="1" applyProtection="1">
      <alignment wrapText="1"/>
    </xf>
    <xf numFmtId="170" fontId="11" fillId="12" borderId="1" xfId="0" applyNumberFormat="1" applyFont="1" applyFill="1" applyBorder="1" applyAlignment="1" applyProtection="1">
      <protection locked="0"/>
    </xf>
    <xf numFmtId="170" fontId="11" fillId="12" borderId="3" xfId="0" applyNumberFormat="1" applyFont="1" applyFill="1" applyBorder="1" applyAlignment="1" applyProtection="1">
      <protection locked="0"/>
    </xf>
    <xf numFmtId="170" fontId="13" fillId="12" borderId="2" xfId="0" applyNumberFormat="1" applyFont="1" applyFill="1" applyBorder="1" applyAlignment="1">
      <alignment wrapText="1"/>
    </xf>
    <xf numFmtId="170" fontId="11" fillId="12" borderId="0" xfId="0" applyNumberFormat="1" applyFont="1" applyFill="1" applyBorder="1" applyAlignment="1" applyProtection="1">
      <protection locked="0"/>
    </xf>
    <xf numFmtId="170" fontId="13" fillId="12" borderId="28" xfId="0" applyNumberFormat="1" applyFont="1" applyFill="1" applyBorder="1" applyAlignment="1">
      <alignment wrapText="1"/>
    </xf>
    <xf numFmtId="170" fontId="13" fillId="8" borderId="19" xfId="0" applyNumberFormat="1" applyFont="1" applyFill="1" applyBorder="1" applyAlignment="1" applyProtection="1">
      <alignment wrapText="1"/>
    </xf>
    <xf numFmtId="170" fontId="11" fillId="8" borderId="19" xfId="0" applyNumberFormat="1" applyFont="1" applyFill="1" applyBorder="1" applyAlignment="1" applyProtection="1"/>
    <xf numFmtId="170" fontId="11" fillId="12" borderId="1" xfId="0" applyNumberFormat="1" applyFont="1" applyFill="1" applyBorder="1" applyAlignment="1" applyProtection="1"/>
    <xf numFmtId="170" fontId="11" fillId="12" borderId="3" xfId="0" applyNumberFormat="1" applyFont="1" applyFill="1" applyBorder="1" applyAlignment="1" applyProtection="1"/>
    <xf numFmtId="170" fontId="13" fillId="12" borderId="2" xfId="0" applyNumberFormat="1" applyFont="1" applyFill="1" applyBorder="1" applyAlignment="1" applyProtection="1">
      <alignment wrapText="1"/>
    </xf>
    <xf numFmtId="0" fontId="0" fillId="12" borderId="25" xfId="0" applyFill="1" applyBorder="1" applyProtection="1"/>
    <xf numFmtId="0" fontId="11" fillId="3" borderId="29" xfId="0" applyFont="1" applyFill="1" applyBorder="1" applyAlignment="1">
      <alignment wrapText="1"/>
    </xf>
    <xf numFmtId="170" fontId="13" fillId="8" borderId="25" xfId="0" applyNumberFormat="1" applyFont="1" applyFill="1" applyBorder="1" applyAlignment="1" applyProtection="1">
      <alignment wrapText="1"/>
    </xf>
    <xf numFmtId="170" fontId="11" fillId="8" borderId="25" xfId="0" applyNumberFormat="1" applyFont="1" applyFill="1" applyBorder="1" applyAlignment="1" applyProtection="1"/>
    <xf numFmtId="0" fontId="38" fillId="12" borderId="0" xfId="0" applyFont="1" applyFill="1" applyBorder="1"/>
    <xf numFmtId="0" fontId="14" fillId="12" borderId="0" xfId="0" applyFont="1" applyFill="1" applyBorder="1"/>
    <xf numFmtId="172" fontId="16" fillId="12" borderId="0" xfId="0" applyNumberFormat="1" applyFont="1" applyFill="1" applyBorder="1" applyAlignment="1"/>
    <xf numFmtId="10" fontId="29" fillId="13" borderId="19" xfId="0" applyNumberFormat="1" applyFont="1" applyFill="1" applyBorder="1" applyAlignment="1">
      <alignment horizontal="left" vertical="center" wrapText="1"/>
    </xf>
    <xf numFmtId="171" fontId="11" fillId="13" borderId="19" xfId="0" applyNumberFormat="1" applyFont="1" applyFill="1" applyBorder="1" applyAlignment="1" applyProtection="1">
      <alignment horizontal="right" vertical="center"/>
    </xf>
    <xf numFmtId="170" fontId="11" fillId="6" borderId="19" xfId="0" applyNumberFormat="1" applyFont="1" applyFill="1" applyBorder="1" applyAlignment="1" applyProtection="1"/>
    <xf numFmtId="171" fontId="13" fillId="6" borderId="19" xfId="0" applyNumberFormat="1" applyFont="1" applyFill="1" applyBorder="1" applyAlignment="1" applyProtection="1">
      <alignment wrapText="1"/>
    </xf>
    <xf numFmtId="171" fontId="11" fillId="5" borderId="19" xfId="0" applyNumberFormat="1" applyFont="1" applyFill="1" applyBorder="1" applyAlignment="1" applyProtection="1">
      <protection locked="0"/>
    </xf>
    <xf numFmtId="0" fontId="11" fillId="3" borderId="19" xfId="0" applyFont="1" applyFill="1" applyBorder="1" applyAlignment="1">
      <alignment wrapText="1"/>
    </xf>
    <xf numFmtId="0" fontId="4" fillId="3" borderId="19" xfId="0" applyFont="1" applyFill="1" applyBorder="1" applyAlignment="1">
      <alignment vertical="center" wrapText="1"/>
    </xf>
    <xf numFmtId="3" fontId="11" fillId="10" borderId="19" xfId="0" applyNumberFormat="1" applyFont="1" applyFill="1" applyBorder="1" applyAlignment="1" applyProtection="1">
      <protection locked="0"/>
    </xf>
    <xf numFmtId="0" fontId="11" fillId="5" borderId="19" xfId="0" applyFont="1" applyFill="1" applyBorder="1" applyAlignment="1" applyProtection="1">
      <alignment wrapText="1"/>
      <protection locked="0"/>
    </xf>
    <xf numFmtId="171" fontId="11" fillId="13" borderId="19" xfId="0" applyNumberFormat="1" applyFont="1" applyFill="1" applyBorder="1" applyAlignment="1">
      <alignment horizontal="center" vertical="center"/>
    </xf>
    <xf numFmtId="0" fontId="40" fillId="0" borderId="0" xfId="0" applyFont="1"/>
    <xf numFmtId="0" fontId="27" fillId="0" borderId="19" xfId="0" applyFont="1" applyBorder="1" applyAlignment="1">
      <alignment horizontal="left" vertical="center"/>
    </xf>
    <xf numFmtId="49" fontId="11" fillId="12" borderId="0" xfId="0" applyNumberFormat="1" applyFont="1" applyFill="1" applyBorder="1" applyAlignment="1">
      <alignment horizontal="left" vertical="center" wrapText="1"/>
    </xf>
    <xf numFmtId="0" fontId="4" fillId="3" borderId="2" xfId="2" applyFont="1" applyFill="1" applyBorder="1" applyAlignment="1">
      <alignment horizontal="center"/>
    </xf>
    <xf numFmtId="170" fontId="13" fillId="6" borderId="19" xfId="0" applyNumberFormat="1" applyFont="1" applyFill="1" applyBorder="1" applyAlignment="1" applyProtection="1">
      <alignment vertical="center" wrapText="1"/>
    </xf>
    <xf numFmtId="0" fontId="11" fillId="3" borderId="29" xfId="0" applyFont="1" applyFill="1" applyBorder="1" applyAlignment="1">
      <alignment vertical="center" wrapText="1"/>
    </xf>
    <xf numFmtId="173" fontId="13" fillId="6" borderId="19" xfId="0" applyNumberFormat="1" applyFont="1" applyFill="1" applyBorder="1" applyAlignment="1" applyProtection="1">
      <alignment horizontal="center" vertical="center" wrapText="1"/>
    </xf>
    <xf numFmtId="165" fontId="2" fillId="6" borderId="8" xfId="0" applyNumberFormat="1" applyFont="1" applyFill="1" applyBorder="1" applyAlignment="1" applyProtection="1">
      <alignment horizontal="right" vertical="center" wrapText="1"/>
    </xf>
    <xf numFmtId="172" fontId="13" fillId="6" borderId="8" xfId="0" applyNumberFormat="1" applyFont="1" applyFill="1" applyBorder="1" applyAlignment="1" applyProtection="1">
      <alignment horizontal="center" vertical="center" wrapText="1"/>
    </xf>
    <xf numFmtId="3" fontId="13" fillId="6" borderId="8" xfId="0" applyNumberFormat="1" applyFont="1" applyFill="1" applyBorder="1" applyAlignment="1" applyProtection="1">
      <alignment horizontal="center" vertical="center" wrapText="1"/>
    </xf>
    <xf numFmtId="3" fontId="13" fillId="6" borderId="19" xfId="0" applyNumberFormat="1" applyFont="1" applyFill="1" applyBorder="1" applyAlignment="1" applyProtection="1">
      <alignment wrapText="1"/>
    </xf>
    <xf numFmtId="3" fontId="11" fillId="6" borderId="19" xfId="0" applyNumberFormat="1" applyFont="1" applyFill="1" applyBorder="1" applyAlignment="1"/>
    <xf numFmtId="173" fontId="11" fillId="6" borderId="19" xfId="0" applyNumberFormat="1" applyFont="1" applyFill="1" applyBorder="1" applyAlignment="1"/>
    <xf numFmtId="0" fontId="0" fillId="12" borderId="0" xfId="0" applyFill="1"/>
    <xf numFmtId="168" fontId="11" fillId="12" borderId="12" xfId="0" applyNumberFormat="1" applyFont="1" applyFill="1" applyBorder="1" applyAlignment="1">
      <alignment horizontal="center"/>
    </xf>
    <xf numFmtId="0" fontId="0" fillId="0" borderId="19" xfId="0" applyBorder="1"/>
    <xf numFmtId="0" fontId="0" fillId="12" borderId="12" xfId="0" applyFill="1" applyBorder="1" applyAlignment="1">
      <alignment horizontal="center" vertical="center"/>
    </xf>
    <xf numFmtId="0" fontId="28" fillId="0" borderId="0" xfId="0" applyFont="1" applyBorder="1" applyAlignment="1">
      <alignment horizontal="left" vertical="center" wrapText="1"/>
    </xf>
    <xf numFmtId="0" fontId="11" fillId="14" borderId="19" xfId="0" applyFont="1" applyFill="1" applyBorder="1" applyAlignment="1">
      <alignment horizontal="center" vertical="center" wrapText="1"/>
    </xf>
    <xf numFmtId="0" fontId="11" fillId="12" borderId="0" xfId="0" applyFont="1" applyFill="1" applyBorder="1" applyAlignment="1">
      <alignment wrapText="1"/>
    </xf>
    <xf numFmtId="0" fontId="4" fillId="12" borderId="25" xfId="0" applyFont="1" applyFill="1" applyBorder="1" applyAlignment="1">
      <alignment vertical="center" wrapText="1"/>
    </xf>
    <xf numFmtId="0" fontId="5" fillId="12" borderId="25" xfId="0" applyFont="1" applyFill="1" applyBorder="1" applyAlignment="1">
      <alignment horizontal="left" vertical="top" wrapText="1"/>
    </xf>
    <xf numFmtId="0" fontId="28" fillId="14" borderId="19" xfId="0" applyFont="1" applyFill="1" applyBorder="1"/>
    <xf numFmtId="0" fontId="28" fillId="0" borderId="0" xfId="0" applyFont="1" applyFill="1" applyBorder="1" applyAlignment="1">
      <alignment horizontal="left" vertical="center" wrapText="1"/>
    </xf>
    <xf numFmtId="0" fontId="0" fillId="0" borderId="0" xfId="0" applyFill="1" applyBorder="1"/>
    <xf numFmtId="0" fontId="11" fillId="0" borderId="19" xfId="0" applyFont="1" applyFill="1" applyBorder="1" applyAlignment="1">
      <alignment horizontal="center" vertical="center" wrapText="1"/>
    </xf>
    <xf numFmtId="0" fontId="29" fillId="0" borderId="19" xfId="0" applyFont="1" applyFill="1" applyBorder="1" applyAlignment="1">
      <alignment horizontal="center" vertical="center" wrapText="1"/>
    </xf>
    <xf numFmtId="171" fontId="11" fillId="0" borderId="19" xfId="0" applyNumberFormat="1" applyFont="1" applyFill="1" applyBorder="1" applyAlignment="1">
      <alignment horizontal="center" vertical="center" wrapText="1"/>
    </xf>
    <xf numFmtId="171" fontId="11" fillId="0" borderId="19" xfId="0" applyNumberFormat="1" applyFont="1" applyFill="1" applyBorder="1" applyAlignment="1" applyProtection="1">
      <alignment horizontal="center" vertical="center" wrapText="1"/>
    </xf>
    <xf numFmtId="0" fontId="0" fillId="0" borderId="0" xfId="0" applyFill="1" applyBorder="1" applyAlignment="1">
      <alignment horizontal="center" vertical="center"/>
    </xf>
    <xf numFmtId="171" fontId="17" fillId="0" borderId="19" xfId="0" applyNumberFormat="1" applyFont="1" applyFill="1" applyBorder="1" applyAlignment="1" applyProtection="1">
      <alignment horizontal="center" vertical="center"/>
    </xf>
    <xf numFmtId="49" fontId="11" fillId="5" borderId="19" xfId="0" applyNumberFormat="1" applyFont="1" applyFill="1" applyBorder="1" applyAlignment="1" applyProtection="1">
      <alignment horizontal="left" vertical="center" wrapText="1"/>
      <protection locked="0"/>
    </xf>
    <xf numFmtId="49" fontId="17" fillId="12" borderId="29" xfId="0" applyNumberFormat="1" applyFont="1" applyFill="1" applyBorder="1" applyAlignment="1"/>
    <xf numFmtId="49" fontId="17" fillId="12" borderId="30" xfId="0" applyNumberFormat="1" applyFont="1" applyFill="1" applyBorder="1" applyAlignment="1"/>
    <xf numFmtId="49" fontId="17" fillId="12" borderId="25" xfId="0" applyNumberFormat="1" applyFont="1" applyFill="1" applyBorder="1" applyAlignment="1"/>
    <xf numFmtId="0" fontId="22" fillId="0" borderId="0" xfId="2" applyFont="1" applyFill="1" applyBorder="1" applyAlignment="1">
      <alignment vertical="top" wrapText="1"/>
    </xf>
    <xf numFmtId="171" fontId="0" fillId="12" borderId="0" xfId="0" applyNumberFormat="1" applyFill="1"/>
    <xf numFmtId="0" fontId="41" fillId="12" borderId="0" xfId="0" applyFont="1" applyFill="1"/>
    <xf numFmtId="0" fontId="28" fillId="0" borderId="0" xfId="0" applyFont="1"/>
    <xf numFmtId="0" fontId="2" fillId="15" borderId="39" xfId="0" applyFont="1" applyFill="1" applyBorder="1" applyAlignment="1">
      <alignment vertical="center"/>
    </xf>
    <xf numFmtId="0" fontId="2" fillId="15" borderId="9" xfId="0" applyFont="1" applyFill="1" applyBorder="1" applyAlignment="1">
      <alignment vertical="center"/>
    </xf>
    <xf numFmtId="0" fontId="2" fillId="15" borderId="24" xfId="0" applyFont="1" applyFill="1" applyBorder="1" applyAlignment="1">
      <alignment vertical="center"/>
    </xf>
    <xf numFmtId="0" fontId="2" fillId="15" borderId="41" xfId="0" applyFont="1" applyFill="1" applyBorder="1" applyAlignment="1">
      <alignment vertical="center"/>
    </xf>
    <xf numFmtId="0" fontId="2" fillId="15" borderId="42" xfId="0" applyFont="1" applyFill="1" applyBorder="1" applyAlignment="1">
      <alignment vertical="center"/>
    </xf>
    <xf numFmtId="0" fontId="2" fillId="15" borderId="43" xfId="0" applyFont="1" applyFill="1" applyBorder="1" applyAlignment="1">
      <alignment vertical="center"/>
    </xf>
    <xf numFmtId="0" fontId="2" fillId="15" borderId="44" xfId="0" applyFont="1" applyFill="1" applyBorder="1" applyAlignment="1">
      <alignment vertical="center"/>
    </xf>
    <xf numFmtId="0" fontId="28" fillId="12" borderId="0" xfId="0" applyFont="1" applyFill="1"/>
    <xf numFmtId="171" fontId="28" fillId="12" borderId="0" xfId="0" applyNumberFormat="1" applyFont="1" applyFill="1"/>
    <xf numFmtId="171" fontId="0" fillId="0" borderId="0" xfId="0" applyNumberFormat="1"/>
    <xf numFmtId="0" fontId="29" fillId="14" borderId="19" xfId="0" applyFont="1" applyFill="1" applyBorder="1" applyAlignment="1">
      <alignment horizontal="center" vertical="center"/>
    </xf>
    <xf numFmtId="0" fontId="29" fillId="14" borderId="19" xfId="0" applyFont="1" applyFill="1" applyBorder="1" applyAlignment="1">
      <alignment horizontal="center"/>
    </xf>
    <xf numFmtId="0" fontId="11" fillId="3" borderId="19" xfId="0" applyFont="1" applyFill="1" applyBorder="1" applyAlignment="1">
      <alignment horizontal="center" wrapText="1"/>
    </xf>
    <xf numFmtId="0" fontId="30" fillId="14" borderId="19" xfId="0" applyFont="1" applyFill="1" applyBorder="1" applyAlignment="1">
      <alignment horizontal="center" vertical="center" wrapText="1"/>
    </xf>
    <xf numFmtId="0" fontId="28" fillId="14" borderId="19" xfId="0" applyFont="1" applyFill="1" applyBorder="1" applyAlignment="1">
      <alignment horizontal="center" vertical="center"/>
    </xf>
    <xf numFmtId="0" fontId="14" fillId="12" borderId="18" xfId="0" applyFont="1" applyFill="1" applyBorder="1" applyAlignment="1">
      <alignment horizontal="left" vertical="center" wrapText="1"/>
    </xf>
    <xf numFmtId="0" fontId="28" fillId="15" borderId="9" xfId="0" applyFont="1" applyFill="1" applyBorder="1" applyAlignment="1">
      <alignment vertical="center" wrapText="1"/>
    </xf>
    <xf numFmtId="0" fontId="28" fillId="15" borderId="9"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21" xfId="0" applyFont="1" applyFill="1" applyBorder="1" applyAlignment="1">
      <alignment horizontal="center" vertical="center" wrapText="1"/>
    </xf>
    <xf numFmtId="171" fontId="28" fillId="15" borderId="37" xfId="0" applyNumberFormat="1" applyFont="1" applyFill="1" applyBorder="1" applyAlignment="1">
      <alignment vertical="center" wrapText="1"/>
    </xf>
    <xf numFmtId="170" fontId="13" fillId="8" borderId="1" xfId="0" applyNumberFormat="1" applyFont="1" applyFill="1" applyBorder="1" applyAlignment="1" applyProtection="1">
      <alignment wrapText="1"/>
    </xf>
    <xf numFmtId="170" fontId="13" fillId="8" borderId="3" xfId="0" applyNumberFormat="1" applyFont="1" applyFill="1" applyBorder="1" applyAlignment="1" applyProtection="1">
      <alignment wrapText="1"/>
    </xf>
    <xf numFmtId="170" fontId="11" fillId="8" borderId="1" xfId="0" applyNumberFormat="1" applyFont="1" applyFill="1" applyBorder="1" applyAlignment="1" applyProtection="1"/>
    <xf numFmtId="170" fontId="11" fillId="8" borderId="3" xfId="0" applyNumberFormat="1" applyFont="1" applyFill="1" applyBorder="1" applyAlignment="1" applyProtection="1"/>
    <xf numFmtId="170" fontId="11" fillId="6" borderId="2" xfId="0" applyNumberFormat="1" applyFont="1" applyFill="1" applyBorder="1" applyAlignment="1" applyProtection="1"/>
    <xf numFmtId="0" fontId="42" fillId="15" borderId="32" xfId="0" applyFont="1" applyFill="1" applyBorder="1" applyAlignment="1">
      <alignment horizontal="center" vertical="center"/>
    </xf>
    <xf numFmtId="0" fontId="42" fillId="15" borderId="34" xfId="0" applyFont="1" applyFill="1" applyBorder="1" applyAlignment="1">
      <alignment horizontal="center" vertical="center"/>
    </xf>
    <xf numFmtId="0" fontId="42" fillId="15" borderId="33" xfId="0" applyFont="1" applyFill="1" applyBorder="1" applyAlignment="1">
      <alignment horizontal="center" vertical="center"/>
    </xf>
    <xf numFmtId="0" fontId="42" fillId="15" borderId="35" xfId="0" applyFont="1" applyFill="1" applyBorder="1" applyAlignment="1">
      <alignment horizontal="center" vertical="center"/>
    </xf>
    <xf numFmtId="0" fontId="28" fillId="15" borderId="37" xfId="0" applyFont="1" applyFill="1" applyBorder="1" applyAlignment="1">
      <alignment vertical="center"/>
    </xf>
    <xf numFmtId="0" fontId="28" fillId="15" borderId="8" xfId="0" applyFont="1" applyFill="1" applyBorder="1" applyAlignment="1">
      <alignment vertical="center"/>
    </xf>
    <xf numFmtId="0" fontId="28" fillId="15" borderId="38" xfId="0" applyFont="1" applyFill="1" applyBorder="1" applyAlignment="1">
      <alignment vertical="center"/>
    </xf>
    <xf numFmtId="0" fontId="28" fillId="15" borderId="37" xfId="0" applyFont="1" applyFill="1" applyBorder="1" applyAlignment="1">
      <alignment vertical="center" wrapText="1"/>
    </xf>
    <xf numFmtId="0" fontId="28" fillId="15" borderId="24" xfId="0" applyFont="1" applyFill="1" applyBorder="1" applyAlignment="1">
      <alignment vertical="center"/>
    </xf>
    <xf numFmtId="0" fontId="28" fillId="15" borderId="8" xfId="0" applyFont="1" applyFill="1" applyBorder="1" applyAlignment="1">
      <alignment vertical="center" wrapText="1"/>
    </xf>
    <xf numFmtId="0" fontId="28" fillId="15" borderId="40" xfId="0" applyFont="1" applyFill="1" applyBorder="1" applyAlignment="1">
      <alignment vertical="center"/>
    </xf>
    <xf numFmtId="0" fontId="28" fillId="10" borderId="9" xfId="0" applyFont="1" applyFill="1" applyBorder="1" applyAlignment="1" applyProtection="1">
      <alignment vertical="center"/>
      <protection locked="0"/>
    </xf>
    <xf numFmtId="0" fontId="28" fillId="5" borderId="8" xfId="0" applyFont="1" applyFill="1" applyBorder="1" applyAlignment="1" applyProtection="1">
      <alignment vertical="center"/>
      <protection locked="0"/>
    </xf>
    <xf numFmtId="168" fontId="2" fillId="15" borderId="38" xfId="0" applyNumberFormat="1" applyFont="1" applyFill="1" applyBorder="1" applyAlignment="1">
      <alignment vertical="center"/>
    </xf>
    <xf numFmtId="168" fontId="2" fillId="15" borderId="37" xfId="0" applyNumberFormat="1" applyFont="1" applyFill="1" applyBorder="1" applyAlignment="1">
      <alignment vertical="center"/>
    </xf>
    <xf numFmtId="168" fontId="2" fillId="15" borderId="24" xfId="0" applyNumberFormat="1" applyFont="1" applyFill="1" applyBorder="1" applyAlignment="1">
      <alignment vertical="center"/>
    </xf>
    <xf numFmtId="171" fontId="2" fillId="15" borderId="37" xfId="0" applyNumberFormat="1" applyFont="1" applyFill="1" applyBorder="1" applyAlignment="1">
      <alignment vertical="center"/>
    </xf>
    <xf numFmtId="168" fontId="2" fillId="15" borderId="8" xfId="0" applyNumberFormat="1" applyFont="1" applyFill="1" applyBorder="1" applyAlignment="1">
      <alignment vertical="center"/>
    </xf>
    <xf numFmtId="171" fontId="2" fillId="15" borderId="40" xfId="0" applyNumberFormat="1" applyFont="1" applyFill="1" applyBorder="1" applyAlignment="1">
      <alignment vertical="center"/>
    </xf>
    <xf numFmtId="171" fontId="2" fillId="15" borderId="38" xfId="0" applyNumberFormat="1" applyFont="1" applyFill="1" applyBorder="1" applyAlignment="1">
      <alignment vertical="center"/>
    </xf>
    <xf numFmtId="0" fontId="2" fillId="5" borderId="8" xfId="0" applyFont="1" applyFill="1" applyBorder="1" applyAlignment="1" applyProtection="1">
      <alignment vertical="center"/>
      <protection locked="0"/>
    </xf>
    <xf numFmtId="0" fontId="2" fillId="15" borderId="8" xfId="0" applyFont="1" applyFill="1" applyBorder="1" applyAlignment="1">
      <alignment vertical="center"/>
    </xf>
    <xf numFmtId="168" fontId="2" fillId="6" borderId="24" xfId="0" applyNumberFormat="1" applyFont="1" applyFill="1" applyBorder="1" applyAlignment="1">
      <alignment horizontal="center" vertical="center"/>
    </xf>
    <xf numFmtId="171" fontId="2" fillId="6" borderId="39" xfId="0" applyNumberFormat="1" applyFont="1" applyFill="1" applyBorder="1" applyAlignment="1">
      <alignment vertical="center"/>
    </xf>
    <xf numFmtId="0" fontId="2" fillId="6" borderId="38" xfId="0" applyFont="1" applyFill="1" applyBorder="1" applyAlignment="1">
      <alignment vertical="center"/>
    </xf>
    <xf numFmtId="0" fontId="2" fillId="6" borderId="24" xfId="0" applyFont="1" applyFill="1" applyBorder="1" applyAlignment="1">
      <alignment vertical="center"/>
    </xf>
    <xf numFmtId="168" fontId="2" fillId="15" borderId="41" xfId="0" applyNumberFormat="1" applyFont="1" applyFill="1" applyBorder="1" applyAlignment="1">
      <alignment vertical="center"/>
    </xf>
    <xf numFmtId="0" fontId="2" fillId="6" borderId="41" xfId="0" applyFont="1" applyFill="1" applyBorder="1" applyAlignment="1">
      <alignment vertical="center"/>
    </xf>
    <xf numFmtId="171" fontId="2" fillId="15" borderId="45" xfId="0" applyNumberFormat="1" applyFont="1" applyFill="1" applyBorder="1" applyAlignment="1">
      <alignment vertical="center"/>
    </xf>
    <xf numFmtId="0" fontId="11" fillId="3" borderId="22" xfId="0" applyFont="1" applyFill="1" applyBorder="1" applyAlignment="1">
      <alignment vertical="center" wrapText="1"/>
    </xf>
    <xf numFmtId="168" fontId="11" fillId="6" borderId="19" xfId="0" applyNumberFormat="1" applyFont="1" applyFill="1" applyBorder="1" applyAlignment="1">
      <alignment horizontal="center" vertical="center"/>
    </xf>
    <xf numFmtId="1" fontId="11" fillId="6" borderId="19" xfId="0" applyNumberFormat="1" applyFont="1" applyFill="1" applyBorder="1" applyAlignment="1">
      <alignment horizontal="center" vertical="center"/>
    </xf>
    <xf numFmtId="170" fontId="11" fillId="13" borderId="19" xfId="0" applyNumberFormat="1" applyFont="1" applyFill="1" applyBorder="1" applyAlignment="1" applyProtection="1">
      <alignment vertical="center"/>
    </xf>
    <xf numFmtId="170" fontId="11" fillId="13" borderId="19" xfId="0" applyNumberFormat="1" applyFont="1" applyFill="1" applyBorder="1" applyAlignment="1">
      <alignment vertical="center"/>
    </xf>
    <xf numFmtId="173" fontId="11" fillId="13" borderId="19" xfId="0" applyNumberFormat="1" applyFont="1" applyFill="1" applyBorder="1" applyAlignment="1">
      <alignment vertical="center"/>
    </xf>
    <xf numFmtId="174" fontId="11" fillId="6" borderId="19" xfId="0" applyNumberFormat="1" applyFont="1" applyFill="1" applyBorder="1" applyAlignment="1">
      <alignment horizontal="center" vertical="center" wrapText="1"/>
    </xf>
    <xf numFmtId="165" fontId="11" fillId="5" borderId="19" xfId="0" applyNumberFormat="1" applyFont="1" applyFill="1" applyBorder="1" applyAlignment="1" applyProtection="1">
      <alignment horizontal="center" vertical="center" wrapText="1"/>
      <protection locked="0"/>
    </xf>
    <xf numFmtId="1" fontId="2" fillId="15" borderId="8" xfId="0" applyNumberFormat="1" applyFont="1" applyFill="1" applyBorder="1" applyAlignment="1">
      <alignment vertical="center"/>
    </xf>
    <xf numFmtId="171" fontId="2" fillId="15" borderId="37" xfId="0" applyNumberFormat="1" applyFont="1" applyFill="1" applyBorder="1" applyAlignment="1" applyProtection="1">
      <alignment vertical="center"/>
      <protection locked="0"/>
    </xf>
    <xf numFmtId="49" fontId="11" fillId="12" borderId="0" xfId="0" applyNumberFormat="1" applyFont="1" applyFill="1" applyBorder="1" applyAlignment="1">
      <alignment horizontal="left" vertical="center" wrapText="1"/>
    </xf>
    <xf numFmtId="170" fontId="11" fillId="5" borderId="2" xfId="0" applyNumberFormat="1" applyFont="1" applyFill="1" applyBorder="1" applyAlignment="1" applyProtection="1">
      <alignment vertical="center" wrapText="1"/>
      <protection locked="0"/>
    </xf>
    <xf numFmtId="170" fontId="11" fillId="5" borderId="30" xfId="0" applyNumberFormat="1" applyFont="1" applyFill="1" applyBorder="1" applyAlignment="1" applyProtection="1">
      <alignment vertical="center" wrapText="1"/>
      <protection locked="0"/>
    </xf>
    <xf numFmtId="0" fontId="0" fillId="8" borderId="26" xfId="0" applyFill="1" applyBorder="1"/>
    <xf numFmtId="0" fontId="0" fillId="8" borderId="27" xfId="0" applyFill="1" applyBorder="1"/>
    <xf numFmtId="0" fontId="0" fillId="8" borderId="29" xfId="0" applyFill="1" applyBorder="1"/>
    <xf numFmtId="0" fontId="0" fillId="8" borderId="30" xfId="0" applyFill="1" applyBorder="1"/>
    <xf numFmtId="0" fontId="28" fillId="15" borderId="8" xfId="0" applyFont="1" applyFill="1" applyBorder="1" applyAlignment="1" applyProtection="1">
      <alignment vertical="center"/>
      <protection locked="0"/>
    </xf>
    <xf numFmtId="0" fontId="28" fillId="15" borderId="37" xfId="0" applyFont="1" applyFill="1" applyBorder="1" applyAlignment="1" applyProtection="1">
      <alignment vertical="center"/>
      <protection locked="0"/>
    </xf>
    <xf numFmtId="49" fontId="11" fillId="12" borderId="20" xfId="0" applyNumberFormat="1" applyFont="1" applyFill="1" applyBorder="1" applyAlignment="1">
      <alignment vertical="top" wrapText="1"/>
    </xf>
    <xf numFmtId="3" fontId="30" fillId="5" borderId="19" xfId="2" applyNumberFormat="1" applyFont="1" applyFill="1" applyBorder="1" applyAlignment="1" applyProtection="1">
      <protection locked="0"/>
    </xf>
    <xf numFmtId="0" fontId="29" fillId="0" borderId="19" xfId="2" applyFont="1" applyBorder="1" applyAlignment="1">
      <alignment vertical="center" wrapText="1"/>
    </xf>
    <xf numFmtId="0" fontId="0" fillId="0" borderId="0" xfId="0" applyAlignment="1">
      <alignment horizontal="center"/>
    </xf>
    <xf numFmtId="0" fontId="0" fillId="12" borderId="31" xfId="0" applyFill="1" applyBorder="1" applyAlignment="1">
      <alignment horizontal="center"/>
    </xf>
    <xf numFmtId="0" fontId="0" fillId="12" borderId="0" xfId="0" applyFill="1" applyBorder="1" applyAlignment="1">
      <alignment horizontal="center"/>
    </xf>
    <xf numFmtId="170" fontId="11" fillId="13" borderId="19" xfId="0" applyNumberFormat="1" applyFont="1" applyFill="1" applyBorder="1" applyAlignment="1">
      <alignment horizontal="center" vertical="center"/>
    </xf>
    <xf numFmtId="0" fontId="0" fillId="12" borderId="25" xfId="0" applyFill="1" applyBorder="1" applyAlignment="1">
      <alignment horizontal="center"/>
    </xf>
    <xf numFmtId="175" fontId="29" fillId="5" borderId="19" xfId="6" applyNumberFormat="1" applyFont="1" applyFill="1" applyBorder="1" applyAlignment="1" applyProtection="1">
      <alignment vertical="center"/>
      <protection locked="0"/>
    </xf>
    <xf numFmtId="0" fontId="0" fillId="12" borderId="21" xfId="0" applyFill="1" applyBorder="1"/>
    <xf numFmtId="0" fontId="11" fillId="12" borderId="0" xfId="0" applyFont="1" applyFill="1" applyBorder="1" applyAlignment="1">
      <alignment vertical="center" wrapText="1"/>
    </xf>
    <xf numFmtId="0" fontId="11" fillId="12" borderId="0" xfId="0" applyFont="1" applyFill="1" applyBorder="1" applyAlignment="1">
      <alignment horizontal="center" vertical="center" wrapText="1"/>
    </xf>
    <xf numFmtId="171" fontId="11" fillId="12" borderId="0" xfId="0" applyNumberFormat="1" applyFont="1" applyFill="1" applyBorder="1" applyAlignment="1" applyProtection="1">
      <alignment horizontal="right" vertical="center"/>
    </xf>
    <xf numFmtId="170" fontId="11" fillId="12" borderId="0" xfId="0" applyNumberFormat="1" applyFont="1" applyFill="1" applyBorder="1" applyAlignment="1">
      <alignment horizontal="right" vertical="center"/>
    </xf>
    <xf numFmtId="170" fontId="11" fillId="12" borderId="0" xfId="0" applyNumberFormat="1" applyFont="1" applyFill="1" applyBorder="1" applyAlignment="1">
      <alignment horizontal="center" vertical="center"/>
    </xf>
    <xf numFmtId="171" fontId="11" fillId="12" borderId="0" xfId="0" applyNumberFormat="1" applyFont="1" applyFill="1" applyBorder="1" applyAlignment="1">
      <alignment horizontal="center" vertical="center"/>
    </xf>
    <xf numFmtId="168" fontId="11" fillId="13" borderId="19" xfId="0" applyNumberFormat="1" applyFont="1" applyFill="1" applyBorder="1" applyAlignment="1" applyProtection="1">
      <alignment horizontal="right" vertical="center"/>
    </xf>
    <xf numFmtId="170" fontId="11" fillId="6" borderId="19" xfId="0" applyNumberFormat="1" applyFont="1" applyFill="1" applyBorder="1" applyAlignment="1" applyProtection="1">
      <alignment vertical="center"/>
    </xf>
    <xf numFmtId="0" fontId="28" fillId="0" borderId="0" xfId="0" applyFont="1" applyAlignment="1">
      <alignment horizontal="center"/>
    </xf>
    <xf numFmtId="10" fontId="29" fillId="5" borderId="19" xfId="6" applyNumberFormat="1" applyFont="1" applyFill="1" applyBorder="1" applyAlignment="1" applyProtection="1">
      <alignment vertical="center"/>
      <protection locked="0"/>
    </xf>
    <xf numFmtId="0" fontId="19" fillId="0" borderId="19" xfId="0" applyFont="1" applyBorder="1" applyAlignment="1" applyProtection="1">
      <alignment horizontal="left" vertical="center" wrapText="1"/>
    </xf>
    <xf numFmtId="0" fontId="28" fillId="12" borderId="31" xfId="0" applyFont="1" applyFill="1" applyBorder="1" applyProtection="1"/>
    <xf numFmtId="0" fontId="28" fillId="12" borderId="31" xfId="0" applyFont="1" applyFill="1" applyBorder="1" applyAlignment="1" applyProtection="1">
      <alignment horizontal="center"/>
    </xf>
    <xf numFmtId="0" fontId="28" fillId="12" borderId="27" xfId="0" applyFont="1" applyFill="1" applyBorder="1" applyProtection="1"/>
    <xf numFmtId="0" fontId="11" fillId="3" borderId="19" xfId="0" applyFont="1" applyFill="1" applyBorder="1" applyAlignment="1" applyProtection="1">
      <alignment horizontal="left" vertical="center" wrapText="1"/>
    </xf>
    <xf numFmtId="0" fontId="14" fillId="12" borderId="0" xfId="0" applyFont="1" applyFill="1" applyBorder="1" applyProtection="1"/>
    <xf numFmtId="0" fontId="28" fillId="12" borderId="0" xfId="0" applyFont="1" applyFill="1" applyBorder="1" applyAlignment="1" applyProtection="1">
      <alignment horizontal="center"/>
    </xf>
    <xf numFmtId="0" fontId="28" fillId="12" borderId="0" xfId="0" applyFont="1" applyFill="1" applyBorder="1" applyProtection="1"/>
    <xf numFmtId="0" fontId="28" fillId="12" borderId="28" xfId="0" applyFont="1" applyFill="1" applyBorder="1" applyProtection="1"/>
    <xf numFmtId="49" fontId="11" fillId="5" borderId="19" xfId="0" applyNumberFormat="1"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10" fontId="13" fillId="6" borderId="19" xfId="0" applyNumberFormat="1" applyFont="1" applyFill="1" applyBorder="1" applyAlignment="1" applyProtection="1">
      <alignment horizontal="left" vertical="center" wrapText="1"/>
    </xf>
    <xf numFmtId="0" fontId="11" fillId="12" borderId="12" xfId="0" applyFont="1" applyFill="1" applyBorder="1" applyAlignment="1" applyProtection="1">
      <alignment horizontal="left" vertical="top" wrapText="1"/>
    </xf>
    <xf numFmtId="10" fontId="29" fillId="12" borderId="31" xfId="0" applyNumberFormat="1" applyFont="1" applyFill="1" applyBorder="1" applyAlignment="1" applyProtection="1">
      <alignment horizontal="left" vertical="center" wrapText="1"/>
    </xf>
    <xf numFmtId="0" fontId="6" fillId="16" borderId="8" xfId="0" applyFont="1" applyFill="1" applyBorder="1" applyAlignment="1" applyProtection="1">
      <alignment horizontal="left" vertical="center" wrapText="1" readingOrder="1"/>
    </xf>
    <xf numFmtId="10" fontId="29" fillId="12" borderId="0" xfId="0" applyNumberFormat="1" applyFont="1" applyFill="1" applyBorder="1" applyAlignment="1" applyProtection="1">
      <alignment horizontal="left" vertical="center" wrapText="1"/>
    </xf>
    <xf numFmtId="0" fontId="29" fillId="14" borderId="19" xfId="0" applyFont="1" applyFill="1" applyBorder="1" applyProtection="1"/>
    <xf numFmtId="0" fontId="29" fillId="14" borderId="19" xfId="0" applyFont="1" applyFill="1" applyBorder="1" applyAlignment="1" applyProtection="1">
      <alignment wrapText="1"/>
    </xf>
    <xf numFmtId="0" fontId="29" fillId="14" borderId="19" xfId="0" applyFont="1" applyFill="1" applyBorder="1" applyAlignment="1" applyProtection="1">
      <alignment horizontal="center" vertical="center"/>
    </xf>
    <xf numFmtId="0" fontId="28" fillId="12" borderId="12" xfId="0" applyFont="1" applyFill="1" applyBorder="1" applyProtection="1"/>
    <xf numFmtId="0" fontId="17" fillId="12" borderId="0" xfId="0" applyFont="1" applyFill="1" applyBorder="1" applyAlignment="1" applyProtection="1">
      <alignment horizontal="left" vertical="center"/>
    </xf>
    <xf numFmtId="0" fontId="11" fillId="3" borderId="1" xfId="0" applyFont="1" applyFill="1" applyBorder="1" applyAlignment="1" applyProtection="1">
      <alignment horizontal="left" vertical="center" wrapText="1"/>
    </xf>
    <xf numFmtId="0" fontId="29" fillId="14" borderId="18" xfId="0" applyFont="1" applyFill="1" applyBorder="1" applyAlignment="1" applyProtection="1">
      <alignment horizontal="center" vertical="center" wrapText="1"/>
    </xf>
    <xf numFmtId="175" fontId="29" fillId="12" borderId="0" xfId="6" applyNumberFormat="1" applyFont="1" applyFill="1" applyBorder="1" applyAlignment="1" applyProtection="1">
      <alignment horizontal="right" vertical="center" wrapText="1"/>
    </xf>
    <xf numFmtId="0" fontId="0" fillId="12" borderId="0" xfId="0" applyFill="1" applyBorder="1" applyProtection="1"/>
    <xf numFmtId="0" fontId="29" fillId="12" borderId="0" xfId="0" applyFont="1" applyFill="1" applyBorder="1" applyAlignment="1" applyProtection="1">
      <alignment horizontal="center"/>
    </xf>
    <xf numFmtId="0" fontId="29" fillId="12" borderId="0" xfId="0" applyFont="1" applyFill="1" applyBorder="1" applyProtection="1"/>
    <xf numFmtId="0" fontId="41" fillId="12" borderId="0" xfId="0" applyFont="1" applyFill="1" applyBorder="1" applyProtection="1"/>
    <xf numFmtId="175" fontId="29" fillId="6" borderId="19" xfId="6" applyNumberFormat="1" applyFont="1" applyFill="1" applyBorder="1" applyAlignment="1" applyProtection="1">
      <alignment horizontal="right" vertical="center" wrapText="1"/>
    </xf>
    <xf numFmtId="0" fontId="45" fillId="6" borderId="19" xfId="0" applyFont="1" applyFill="1" applyBorder="1" applyAlignment="1" applyProtection="1">
      <alignment horizontal="center" vertical="center"/>
    </xf>
    <xf numFmtId="0" fontId="45" fillId="12" borderId="0" xfId="0" applyFont="1" applyFill="1" applyBorder="1" applyAlignment="1" applyProtection="1">
      <alignment horizontal="center" vertical="center"/>
    </xf>
    <xf numFmtId="0" fontId="29" fillId="12" borderId="0" xfId="0" applyFont="1" applyFill="1" applyBorder="1" applyAlignment="1" applyProtection="1">
      <alignment horizontal="center" vertical="center"/>
    </xf>
    <xf numFmtId="0" fontId="0" fillId="12" borderId="0" xfId="0" applyFill="1" applyBorder="1" applyAlignment="1" applyProtection="1">
      <alignment horizontal="center"/>
    </xf>
    <xf numFmtId="0" fontId="14" fillId="12" borderId="0" xfId="0" applyFont="1" applyFill="1" applyBorder="1" applyAlignment="1" applyProtection="1">
      <alignment vertical="center"/>
    </xf>
    <xf numFmtId="165" fontId="29" fillId="12" borderId="0" xfId="0" applyNumberFormat="1" applyFont="1" applyFill="1" applyBorder="1" applyAlignment="1" applyProtection="1">
      <alignment horizontal="left" vertical="center" wrapText="1"/>
    </xf>
    <xf numFmtId="0" fontId="42" fillId="12" borderId="0" xfId="0" applyFont="1" applyFill="1" applyBorder="1" applyAlignment="1" applyProtection="1">
      <alignment horizontal="center" vertical="center"/>
    </xf>
    <xf numFmtId="0" fontId="42" fillId="12" borderId="0" xfId="0" applyFont="1" applyFill="1" applyBorder="1" applyAlignment="1" applyProtection="1">
      <alignment vertical="center"/>
    </xf>
    <xf numFmtId="175" fontId="29" fillId="12" borderId="0" xfId="6" applyNumberFormat="1" applyFont="1" applyFill="1" applyBorder="1" applyAlignment="1" applyProtection="1">
      <alignment vertical="center" wrapText="1"/>
    </xf>
    <xf numFmtId="0" fontId="0" fillId="0" borderId="0" xfId="0" applyBorder="1" applyProtection="1"/>
    <xf numFmtId="168" fontId="29" fillId="6" borderId="19" xfId="0" applyNumberFormat="1" applyFont="1" applyFill="1" applyBorder="1" applyAlignment="1" applyProtection="1">
      <alignment horizontal="right" vertical="center" wrapText="1"/>
    </xf>
    <xf numFmtId="168" fontId="29" fillId="12" borderId="0" xfId="0" applyNumberFormat="1" applyFont="1" applyFill="1" applyBorder="1" applyAlignment="1" applyProtection="1">
      <alignment horizontal="right" vertical="center" wrapText="1"/>
    </xf>
    <xf numFmtId="0" fontId="11" fillId="12" borderId="12" xfId="0" applyFont="1" applyFill="1" applyBorder="1" applyAlignment="1" applyProtection="1">
      <alignment horizontal="left" vertical="center" wrapText="1"/>
    </xf>
    <xf numFmtId="0" fontId="28" fillId="12" borderId="29" xfId="0" applyFont="1" applyFill="1" applyBorder="1" applyProtection="1"/>
    <xf numFmtId="0" fontId="28" fillId="12" borderId="25" xfId="0" applyFont="1" applyFill="1" applyBorder="1" applyProtection="1"/>
    <xf numFmtId="0" fontId="28" fillId="12" borderId="25" xfId="0" applyFont="1" applyFill="1" applyBorder="1" applyAlignment="1" applyProtection="1">
      <alignment horizontal="center"/>
    </xf>
    <xf numFmtId="0" fontId="28" fillId="12" borderId="30" xfId="0" applyFont="1" applyFill="1" applyBorder="1" applyProtection="1"/>
    <xf numFmtId="0" fontId="11" fillId="3" borderId="22" xfId="0" applyFont="1" applyFill="1" applyBorder="1" applyAlignment="1" applyProtection="1">
      <alignment wrapText="1"/>
    </xf>
    <xf numFmtId="169" fontId="17" fillId="5" borderId="23" xfId="0" applyNumberFormat="1" applyFont="1" applyFill="1" applyBorder="1" applyAlignment="1" applyProtection="1"/>
    <xf numFmtId="0" fontId="11" fillId="3" borderId="22" xfId="0" applyFont="1" applyFill="1" applyBorder="1" applyAlignment="1" applyProtection="1">
      <alignment vertical="center" wrapText="1"/>
    </xf>
    <xf numFmtId="1" fontId="11" fillId="6" borderId="19" xfId="0" applyNumberFormat="1" applyFont="1" applyFill="1" applyBorder="1" applyAlignment="1" applyProtection="1">
      <alignment horizontal="center" vertical="center"/>
    </xf>
    <xf numFmtId="0" fontId="11" fillId="3" borderId="19" xfId="0" applyFont="1" applyFill="1" applyBorder="1" applyAlignment="1" applyProtection="1">
      <alignment vertical="center" wrapText="1"/>
    </xf>
    <xf numFmtId="173" fontId="11" fillId="6" borderId="19" xfId="0" applyNumberFormat="1" applyFont="1" applyFill="1" applyBorder="1" applyAlignment="1" applyProtection="1">
      <alignment vertical="center"/>
    </xf>
    <xf numFmtId="168" fontId="11" fillId="12" borderId="12" xfId="0" applyNumberFormat="1" applyFont="1" applyFill="1" applyBorder="1" applyAlignment="1" applyProtection="1">
      <alignment horizontal="center"/>
    </xf>
    <xf numFmtId="0" fontId="11" fillId="3" borderId="19" xfId="0" applyFont="1" applyFill="1" applyBorder="1" applyAlignment="1" applyProtection="1">
      <alignment horizontal="center" vertical="center" wrapText="1"/>
    </xf>
    <xf numFmtId="170" fontId="11" fillId="6" borderId="19" xfId="0" applyNumberFormat="1" applyFont="1" applyFill="1" applyBorder="1" applyAlignment="1" applyProtection="1">
      <alignment horizontal="center" vertical="center"/>
    </xf>
    <xf numFmtId="174" fontId="11" fillId="6" borderId="19" xfId="0" applyNumberFormat="1" applyFont="1" applyFill="1" applyBorder="1" applyAlignment="1" applyProtection="1">
      <alignment horizontal="center" vertical="center" wrapText="1"/>
    </xf>
    <xf numFmtId="0" fontId="29" fillId="10" borderId="19" xfId="0" applyFont="1" applyFill="1" applyBorder="1" applyAlignment="1" applyProtection="1">
      <alignment horizontal="center"/>
      <protection locked="0"/>
    </xf>
    <xf numFmtId="0" fontId="29" fillId="10" borderId="19" xfId="0" applyFont="1" applyFill="1" applyBorder="1" applyAlignment="1" applyProtection="1">
      <alignment horizontal="center" vertical="center"/>
      <protection locked="0"/>
    </xf>
    <xf numFmtId="0" fontId="47" fillId="12" borderId="0" xfId="0" applyFont="1" applyFill="1" applyBorder="1" applyProtection="1"/>
    <xf numFmtId="0" fontId="48" fillId="12" borderId="0" xfId="0" applyFont="1" applyFill="1" applyBorder="1"/>
    <xf numFmtId="0" fontId="49" fillId="12" borderId="0" xfId="0" applyFont="1" applyFill="1" applyBorder="1"/>
    <xf numFmtId="170" fontId="11" fillId="8" borderId="19" xfId="0" applyNumberFormat="1" applyFont="1" applyFill="1" applyBorder="1" applyAlignment="1" applyProtection="1">
      <protection locked="0"/>
    </xf>
    <xf numFmtId="176" fontId="0" fillId="0" borderId="0" xfId="0" applyNumberFormat="1"/>
    <xf numFmtId="3" fontId="13" fillId="8" borderId="25" xfId="0" applyNumberFormat="1" applyFont="1" applyFill="1" applyBorder="1" applyAlignment="1" applyProtection="1">
      <alignment wrapText="1"/>
    </xf>
    <xf numFmtId="170" fontId="13" fillId="12" borderId="25" xfId="0" applyNumberFormat="1" applyFont="1" applyFill="1" applyBorder="1" applyAlignment="1" applyProtection="1">
      <alignment wrapText="1"/>
    </xf>
    <xf numFmtId="170" fontId="11" fillId="12" borderId="25" xfId="0" applyNumberFormat="1" applyFont="1" applyFill="1" applyBorder="1" applyAlignment="1" applyProtection="1"/>
    <xf numFmtId="3" fontId="13" fillId="12" borderId="2" xfId="0" applyNumberFormat="1" applyFont="1" applyFill="1" applyBorder="1" applyAlignment="1" applyProtection="1">
      <alignment wrapText="1"/>
    </xf>
    <xf numFmtId="170" fontId="11" fillId="12" borderId="2" xfId="0" applyNumberFormat="1" applyFont="1" applyFill="1" applyBorder="1" applyAlignment="1" applyProtection="1">
      <protection locked="0"/>
    </xf>
    <xf numFmtId="170" fontId="13" fillId="8" borderId="19" xfId="0" applyNumberFormat="1" applyFont="1" applyFill="1" applyBorder="1" applyAlignment="1">
      <alignment wrapText="1"/>
    </xf>
    <xf numFmtId="0" fontId="0" fillId="12" borderId="20" xfId="0" applyFill="1" applyBorder="1"/>
    <xf numFmtId="0" fontId="0" fillId="12" borderId="1" xfId="0" applyFill="1" applyBorder="1"/>
    <xf numFmtId="0" fontId="0" fillId="12" borderId="3" xfId="0" applyFill="1" applyBorder="1"/>
    <xf numFmtId="3" fontId="11" fillId="15" borderId="19" xfId="0" applyNumberFormat="1" applyFont="1" applyFill="1" applyBorder="1" applyAlignment="1" applyProtection="1">
      <alignment horizontal="center" vertical="center"/>
      <protection locked="0"/>
    </xf>
    <xf numFmtId="49" fontId="11" fillId="15" borderId="19" xfId="0" applyNumberFormat="1" applyFont="1" applyFill="1" applyBorder="1" applyAlignment="1" applyProtection="1">
      <alignment horizontal="center"/>
    </xf>
    <xf numFmtId="0" fontId="29" fillId="15" borderId="19" xfId="0" applyFont="1" applyFill="1" applyBorder="1" applyAlignment="1" applyProtection="1">
      <alignment horizontal="center" vertical="center" wrapText="1"/>
    </xf>
    <xf numFmtId="171" fontId="11" fillId="15" borderId="19" xfId="0" applyNumberFormat="1" applyFont="1" applyFill="1" applyBorder="1" applyAlignment="1" applyProtection="1">
      <alignment horizontal="center" vertical="center"/>
    </xf>
    <xf numFmtId="0" fontId="11" fillId="12" borderId="12" xfId="0" applyFont="1" applyFill="1" applyBorder="1" applyAlignment="1">
      <alignment horizontal="center" wrapText="1"/>
    </xf>
    <xf numFmtId="0" fontId="11" fillId="12" borderId="0" xfId="0" applyFont="1" applyFill="1" applyBorder="1" applyAlignment="1">
      <alignment horizontal="center" wrapText="1"/>
    </xf>
    <xf numFmtId="0" fontId="11" fillId="12" borderId="28" xfId="0" applyFont="1" applyFill="1" applyBorder="1" applyAlignment="1">
      <alignment horizontal="center" wrapText="1"/>
    </xf>
    <xf numFmtId="171" fontId="28" fillId="12" borderId="12" xfId="0" applyNumberFormat="1" applyFont="1" applyFill="1" applyBorder="1" applyAlignment="1">
      <alignment horizontal="center" vertical="center"/>
    </xf>
    <xf numFmtId="171" fontId="28" fillId="12" borderId="0" xfId="0" applyNumberFormat="1" applyFont="1" applyFill="1" applyBorder="1" applyAlignment="1">
      <alignment horizontal="center" vertical="center"/>
    </xf>
    <xf numFmtId="171" fontId="28" fillId="12" borderId="28" xfId="0" applyNumberFormat="1" applyFont="1" applyFill="1" applyBorder="1" applyAlignment="1">
      <alignment horizontal="center" vertical="center"/>
    </xf>
    <xf numFmtId="168" fontId="11" fillId="12" borderId="0" xfId="0" applyNumberFormat="1" applyFont="1" applyFill="1" applyBorder="1" applyAlignment="1" applyProtection="1">
      <alignment horizontal="center"/>
    </xf>
    <xf numFmtId="168" fontId="11" fillId="12" borderId="0" xfId="0" applyNumberFormat="1" applyFont="1" applyFill="1" applyBorder="1" applyAlignment="1" applyProtection="1">
      <alignment horizontal="center" vertical="center"/>
    </xf>
    <xf numFmtId="0" fontId="11" fillId="12" borderId="31" xfId="0" applyFont="1" applyFill="1" applyBorder="1" applyAlignment="1" applyProtection="1">
      <alignment horizontal="left" vertical="center" wrapText="1"/>
    </xf>
    <xf numFmtId="168" fontId="11" fillId="12" borderId="31" xfId="0" applyNumberFormat="1" applyFont="1" applyFill="1" applyBorder="1" applyAlignment="1" applyProtection="1">
      <alignment horizontal="center" vertical="center"/>
    </xf>
    <xf numFmtId="0" fontId="11" fillId="12" borderId="0" xfId="0" applyFont="1" applyFill="1" applyBorder="1" applyAlignment="1" applyProtection="1">
      <alignment horizontal="left" vertical="center" wrapText="1"/>
    </xf>
    <xf numFmtId="171" fontId="11" fillId="6" borderId="19" xfId="0" applyNumberFormat="1" applyFont="1" applyFill="1" applyBorder="1" applyAlignment="1" applyProtection="1">
      <alignment horizontal="center" vertical="center" wrapText="1"/>
    </xf>
    <xf numFmtId="168" fontId="11" fillId="6" borderId="19" xfId="0" applyNumberFormat="1" applyFont="1" applyFill="1" applyBorder="1" applyAlignment="1" applyProtection="1">
      <alignment horizontal="right" vertical="center"/>
    </xf>
    <xf numFmtId="168" fontId="11" fillId="13" borderId="19" xfId="0" applyNumberFormat="1" applyFont="1" applyFill="1" applyBorder="1" applyAlignment="1">
      <alignment horizontal="right" vertical="center"/>
    </xf>
    <xf numFmtId="1" fontId="51" fillId="12" borderId="25" xfId="0" applyNumberFormat="1" applyFont="1" applyFill="1" applyBorder="1" applyAlignment="1" applyProtection="1">
      <alignment wrapText="1"/>
    </xf>
    <xf numFmtId="0" fontId="51" fillId="12" borderId="27" xfId="0" applyFont="1" applyFill="1" applyBorder="1" applyAlignment="1">
      <alignment horizontal="left" vertical="center" wrapText="1"/>
    </xf>
    <xf numFmtId="10" fontId="51" fillId="12" borderId="30" xfId="0" applyNumberFormat="1" applyFont="1" applyFill="1" applyBorder="1" applyAlignment="1">
      <alignment horizontal="left" vertical="center" wrapText="1"/>
    </xf>
    <xf numFmtId="0" fontId="29" fillId="12" borderId="12" xfId="0" applyFont="1" applyFill="1" applyBorder="1" applyAlignment="1" applyProtection="1">
      <alignment vertical="top"/>
    </xf>
    <xf numFmtId="0" fontId="0" fillId="0" borderId="19" xfId="0" applyBorder="1" applyProtection="1"/>
    <xf numFmtId="0" fontId="11" fillId="12" borderId="0" xfId="0" applyFont="1" applyFill="1" applyBorder="1" applyAlignment="1" applyProtection="1">
      <alignment wrapText="1"/>
    </xf>
    <xf numFmtId="0" fontId="0" fillId="12" borderId="28" xfId="0" applyFill="1" applyBorder="1" applyProtection="1"/>
    <xf numFmtId="0" fontId="0" fillId="12" borderId="0" xfId="0" applyFill="1" applyProtection="1"/>
    <xf numFmtId="1" fontId="11" fillId="6" borderId="19" xfId="0" applyNumberFormat="1" applyFont="1" applyFill="1" applyBorder="1" applyAlignment="1" applyProtection="1">
      <alignment horizontal="center" vertical="center" wrapText="1"/>
    </xf>
    <xf numFmtId="171" fontId="11" fillId="6" borderId="19" xfId="1" applyNumberFormat="1" applyFont="1" applyFill="1" applyBorder="1" applyAlignment="1" applyProtection="1">
      <alignment horizontal="center" vertical="center"/>
    </xf>
    <xf numFmtId="168" fontId="11" fillId="6" borderId="19" xfId="1" applyNumberFormat="1" applyFont="1" applyFill="1" applyBorder="1" applyAlignment="1" applyProtection="1">
      <alignment horizontal="center" vertical="center"/>
    </xf>
    <xf numFmtId="165" fontId="11" fillId="12" borderId="0" xfId="1" applyNumberFormat="1" applyFont="1" applyFill="1" applyBorder="1" applyAlignment="1" applyProtection="1">
      <alignment horizontal="center" vertical="center"/>
    </xf>
    <xf numFmtId="171" fontId="0" fillId="12" borderId="0" xfId="1" applyNumberFormat="1" applyFont="1" applyFill="1" applyBorder="1" applyProtection="1"/>
    <xf numFmtId="10" fontId="0" fillId="12" borderId="0" xfId="1" applyNumberFormat="1" applyFont="1" applyFill="1" applyProtection="1"/>
    <xf numFmtId="0" fontId="0" fillId="12" borderId="12" xfId="0" applyFill="1" applyBorder="1" applyAlignment="1" applyProtection="1">
      <alignment horizontal="center" vertical="center"/>
    </xf>
    <xf numFmtId="0" fontId="0" fillId="12" borderId="0" xfId="0" applyFill="1" applyBorder="1" applyAlignment="1" applyProtection="1">
      <alignment horizontal="center" vertical="center"/>
    </xf>
    <xf numFmtId="0" fontId="50" fillId="12" borderId="0" xfId="0" applyFont="1" applyFill="1" applyBorder="1" applyAlignment="1" applyProtection="1">
      <alignment horizontal="center" vertical="center"/>
    </xf>
    <xf numFmtId="0" fontId="11" fillId="6" borderId="19" xfId="0" applyFont="1" applyFill="1" applyBorder="1" applyAlignment="1" applyProtection="1">
      <alignment horizontal="center" vertical="center" wrapText="1"/>
    </xf>
    <xf numFmtId="171" fontId="17" fillId="12" borderId="0" xfId="0" applyNumberFormat="1" applyFont="1" applyFill="1" applyBorder="1" applyAlignment="1" applyProtection="1">
      <alignment horizontal="left" vertical="center"/>
    </xf>
    <xf numFmtId="0" fontId="46" fillId="17" borderId="8" xfId="0" applyFont="1" applyFill="1" applyBorder="1" applyAlignment="1" applyProtection="1">
      <alignment horizontal="left" vertical="center" wrapText="1" readingOrder="1"/>
    </xf>
    <xf numFmtId="1" fontId="11" fillId="10" borderId="19" xfId="0" applyNumberFormat="1" applyFont="1" applyFill="1" applyBorder="1" applyAlignment="1" applyProtection="1">
      <protection locked="0"/>
    </xf>
    <xf numFmtId="0" fontId="6" fillId="16" borderId="8" xfId="0" applyFont="1" applyFill="1" applyBorder="1" applyAlignment="1" applyProtection="1">
      <alignment vertical="center" wrapText="1" readingOrder="1"/>
    </xf>
    <xf numFmtId="0" fontId="5" fillId="17" borderId="49" xfId="0" applyFont="1" applyFill="1" applyBorder="1" applyAlignment="1" applyProtection="1">
      <alignment vertical="center" wrapText="1" readingOrder="1"/>
    </xf>
    <xf numFmtId="0" fontId="5" fillId="17" borderId="8" xfId="0" applyFont="1" applyFill="1" applyBorder="1" applyAlignment="1" applyProtection="1">
      <alignment horizontal="left" vertical="center" wrapText="1" readingOrder="1"/>
    </xf>
    <xf numFmtId="0" fontId="4" fillId="3" borderId="18"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21" xfId="0" applyFont="1" applyFill="1" applyBorder="1" applyAlignment="1">
      <alignment horizontal="left" vertical="center" wrapText="1"/>
    </xf>
    <xf numFmtId="49" fontId="11" fillId="12" borderId="12" xfId="0" applyNumberFormat="1" applyFont="1" applyFill="1" applyBorder="1" applyAlignment="1">
      <alignment horizontal="left" vertical="center" wrapText="1"/>
    </xf>
    <xf numFmtId="49" fontId="11" fillId="12" borderId="0" xfId="0" applyNumberFormat="1" applyFont="1" applyFill="1" applyBorder="1" applyAlignment="1">
      <alignment horizontal="left" vertical="center" wrapText="1"/>
    </xf>
    <xf numFmtId="49" fontId="11" fillId="12" borderId="29" xfId="0" applyNumberFormat="1" applyFont="1" applyFill="1" applyBorder="1" applyAlignment="1">
      <alignment horizontal="left" vertical="center" wrapText="1"/>
    </xf>
    <xf numFmtId="49" fontId="11" fillId="12" borderId="25" xfId="0" applyNumberFormat="1" applyFont="1" applyFill="1" applyBorder="1" applyAlignment="1">
      <alignment horizontal="left" vertical="center" wrapText="1"/>
    </xf>
    <xf numFmtId="0" fontId="11" fillId="3" borderId="1" xfId="0" applyFont="1" applyFill="1" applyBorder="1" applyAlignment="1">
      <alignment horizontal="center" wrapText="1"/>
    </xf>
    <xf numFmtId="0" fontId="11" fillId="3" borderId="2" xfId="0" applyFont="1" applyFill="1" applyBorder="1" applyAlignment="1">
      <alignment horizontal="center" wrapText="1"/>
    </xf>
    <xf numFmtId="0" fontId="5" fillId="3"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32" fillId="12" borderId="1" xfId="0" applyFont="1" applyFill="1" applyBorder="1" applyAlignment="1">
      <alignment horizontal="left" vertical="center"/>
    </xf>
    <xf numFmtId="0" fontId="32" fillId="12" borderId="3" xfId="0" applyFont="1" applyFill="1" applyBorder="1" applyAlignment="1">
      <alignment horizontal="left" vertical="center"/>
    </xf>
    <xf numFmtId="0" fontId="32" fillId="12" borderId="2" xfId="0" applyFont="1" applyFill="1" applyBorder="1" applyAlignment="1">
      <alignment horizontal="left" vertical="center"/>
    </xf>
    <xf numFmtId="0" fontId="11" fillId="12" borderId="12" xfId="0" applyFont="1" applyFill="1" applyBorder="1" applyAlignment="1">
      <alignment horizontal="left" vertical="center"/>
    </xf>
    <xf numFmtId="0" fontId="11" fillId="12" borderId="0" xfId="0" applyFont="1" applyFill="1" applyBorder="1" applyAlignment="1">
      <alignment horizontal="left" vertical="center"/>
    </xf>
    <xf numFmtId="0" fontId="11" fillId="12" borderId="28" xfId="0" applyFont="1" applyFill="1" applyBorder="1" applyAlignment="1">
      <alignment horizontal="left" vertical="center"/>
    </xf>
    <xf numFmtId="49" fontId="11" fillId="12" borderId="28" xfId="0" applyNumberFormat="1" applyFont="1" applyFill="1" applyBorder="1" applyAlignment="1">
      <alignment horizontal="left" vertical="center" wrapText="1"/>
    </xf>
    <xf numFmtId="0" fontId="11" fillId="3" borderId="1"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12" borderId="12" xfId="0" applyFont="1" applyFill="1" applyBorder="1" applyAlignment="1">
      <alignment horizontal="left" vertical="center" wrapText="1"/>
    </xf>
    <xf numFmtId="0" fontId="11" fillId="12" borderId="0" xfId="0" applyFont="1" applyFill="1" applyBorder="1" applyAlignment="1">
      <alignment horizontal="left" vertical="center" wrapText="1"/>
    </xf>
    <xf numFmtId="0" fontId="11" fillId="12" borderId="28" xfId="0" applyFont="1" applyFill="1" applyBorder="1" applyAlignment="1">
      <alignment horizontal="left" vertical="center" wrapText="1"/>
    </xf>
    <xf numFmtId="0" fontId="11" fillId="3" borderId="3" xfId="0" applyFont="1" applyFill="1" applyBorder="1" applyAlignment="1">
      <alignment horizontal="left" vertical="top" wrapText="1"/>
    </xf>
    <xf numFmtId="0" fontId="11" fillId="0" borderId="22"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47" xfId="0" applyFont="1" applyFill="1" applyBorder="1" applyAlignment="1">
      <alignment horizontal="left" vertical="center" wrapText="1"/>
    </xf>
    <xf numFmtId="49" fontId="11" fillId="12" borderId="20" xfId="0" applyNumberFormat="1" applyFont="1" applyFill="1" applyBorder="1" applyAlignment="1">
      <alignment horizontal="left" vertical="top"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49" fontId="11" fillId="0" borderId="20" xfId="0" applyNumberFormat="1" applyFont="1" applyFill="1" applyBorder="1" applyAlignment="1">
      <alignment horizontal="left" vertical="top" wrapText="1"/>
    </xf>
    <xf numFmtId="49" fontId="11" fillId="0" borderId="21" xfId="0" applyNumberFormat="1" applyFont="1" applyFill="1" applyBorder="1" applyAlignment="1">
      <alignment horizontal="left" vertical="top" wrapText="1"/>
    </xf>
    <xf numFmtId="0" fontId="2" fillId="6" borderId="43" xfId="0" applyFont="1" applyFill="1" applyBorder="1" applyAlignment="1">
      <alignment horizontal="center" vertical="center"/>
    </xf>
    <xf numFmtId="171" fontId="2" fillId="6" borderId="43" xfId="0" applyNumberFormat="1" applyFont="1" applyFill="1" applyBorder="1" applyAlignment="1">
      <alignment horizontal="center" vertical="center"/>
    </xf>
    <xf numFmtId="171" fontId="2" fillId="6" borderId="44" xfId="0" applyNumberFormat="1" applyFont="1" applyFill="1" applyBorder="1" applyAlignment="1">
      <alignment horizontal="center" vertical="center"/>
    </xf>
    <xf numFmtId="168" fontId="2" fillId="6" borderId="40" xfId="0" applyNumberFormat="1" applyFont="1" applyFill="1" applyBorder="1" applyAlignment="1">
      <alignment horizontal="center" vertical="center"/>
    </xf>
    <xf numFmtId="168" fontId="2" fillId="6" borderId="41" xfId="0" applyNumberFormat="1" applyFont="1" applyFill="1" applyBorder="1" applyAlignment="1">
      <alignment horizontal="center" vertical="center"/>
    </xf>
    <xf numFmtId="168" fontId="2" fillId="6" borderId="24" xfId="0" applyNumberFormat="1" applyFont="1" applyFill="1" applyBorder="1" applyAlignment="1">
      <alignment horizontal="center" vertical="center"/>
    </xf>
    <xf numFmtId="0" fontId="2" fillId="6" borderId="24" xfId="0" applyFont="1" applyFill="1" applyBorder="1" applyAlignment="1">
      <alignment horizontal="center" vertical="center"/>
    </xf>
    <xf numFmtId="171" fontId="2" fillId="6" borderId="24" xfId="0" applyNumberFormat="1" applyFont="1" applyFill="1" applyBorder="1" applyAlignment="1">
      <alignment horizontal="center" vertical="center"/>
    </xf>
    <xf numFmtId="171" fontId="2" fillId="6" borderId="41" xfId="0" applyNumberFormat="1" applyFont="1" applyFill="1" applyBorder="1" applyAlignment="1">
      <alignment horizontal="center" vertical="center"/>
    </xf>
    <xf numFmtId="0" fontId="42" fillId="15" borderId="36" xfId="0" applyFont="1" applyFill="1" applyBorder="1" applyAlignment="1">
      <alignment horizontal="center" vertical="center"/>
    </xf>
    <xf numFmtId="0" fontId="42" fillId="15" borderId="34" xfId="0" applyFont="1" applyFill="1" applyBorder="1" applyAlignment="1">
      <alignment horizontal="center" vertical="center"/>
    </xf>
    <xf numFmtId="0" fontId="42" fillId="15" borderId="35" xfId="0" applyFont="1" applyFill="1" applyBorder="1" applyAlignment="1">
      <alignment horizontal="center" vertical="center"/>
    </xf>
    <xf numFmtId="0" fontId="32" fillId="0" borderId="1" xfId="0" applyFont="1" applyBorder="1" applyAlignment="1">
      <alignment horizontal="left" vertical="center"/>
    </xf>
    <xf numFmtId="0" fontId="32" fillId="0" borderId="3" xfId="0" applyFont="1" applyBorder="1" applyAlignment="1">
      <alignment horizontal="left" vertical="center"/>
    </xf>
    <xf numFmtId="0" fontId="32" fillId="0" borderId="2" xfId="0" applyFont="1" applyBorder="1" applyAlignment="1">
      <alignment horizontal="left" vertical="center"/>
    </xf>
    <xf numFmtId="0" fontId="11" fillId="0" borderId="12" xfId="0" applyFont="1" applyBorder="1" applyAlignment="1">
      <alignment horizontal="left" vertical="center"/>
    </xf>
    <xf numFmtId="0" fontId="11" fillId="0" borderId="0" xfId="0" applyFont="1" applyBorder="1" applyAlignment="1">
      <alignment horizontal="left" vertical="center"/>
    </xf>
    <xf numFmtId="0" fontId="11" fillId="0" borderId="28" xfId="0" applyFont="1" applyBorder="1" applyAlignment="1">
      <alignment horizontal="left" vertical="center"/>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0" fontId="42" fillId="15" borderId="36" xfId="0" applyFont="1" applyFill="1" applyBorder="1" applyAlignment="1">
      <alignment horizontal="center" vertical="center" wrapText="1"/>
    </xf>
    <xf numFmtId="0" fontId="42" fillId="15" borderId="35" xfId="0" applyFont="1" applyFill="1" applyBorder="1" applyAlignment="1">
      <alignment horizontal="center" vertical="center" wrapText="1"/>
    </xf>
    <xf numFmtId="49" fontId="11" fillId="0" borderId="12"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8" xfId="0" applyNumberFormat="1" applyFont="1" applyFill="1" applyBorder="1" applyAlignment="1">
      <alignment horizontal="left" vertical="center" wrapText="1"/>
    </xf>
    <xf numFmtId="0" fontId="11" fillId="3" borderId="1" xfId="0" applyFont="1" applyFill="1" applyBorder="1" applyAlignment="1" applyProtection="1">
      <alignment horizontal="left" vertical="center" wrapText="1"/>
    </xf>
    <xf numFmtId="0" fontId="11" fillId="3" borderId="2" xfId="0" applyFont="1" applyFill="1" applyBorder="1" applyAlignment="1" applyProtection="1">
      <alignment horizontal="left" vertical="center" wrapText="1"/>
    </xf>
    <xf numFmtId="0" fontId="6" fillId="16" borderId="8" xfId="0" applyFont="1" applyFill="1" applyBorder="1" applyAlignment="1" applyProtection="1">
      <alignment horizontal="left" vertical="center" wrapText="1" readingOrder="1"/>
    </xf>
    <xf numFmtId="0" fontId="46" fillId="17" borderId="8" xfId="0" applyFont="1" applyFill="1" applyBorder="1" applyAlignment="1" applyProtection="1">
      <alignment horizontal="left" vertical="center" wrapText="1" readingOrder="1"/>
    </xf>
    <xf numFmtId="0" fontId="6" fillId="16" borderId="49" xfId="0" applyFont="1" applyFill="1" applyBorder="1" applyAlignment="1" applyProtection="1">
      <alignment horizontal="left" vertical="center" wrapText="1" readingOrder="1"/>
    </xf>
    <xf numFmtId="0" fontId="6" fillId="16" borderId="50" xfId="0" applyFont="1" applyFill="1" applyBorder="1" applyAlignment="1" applyProtection="1">
      <alignment horizontal="left" vertical="center" wrapText="1" readingOrder="1"/>
    </xf>
    <xf numFmtId="0" fontId="6" fillId="16" borderId="48" xfId="0" applyFont="1" applyFill="1" applyBorder="1" applyAlignment="1" applyProtection="1">
      <alignment horizontal="left" vertical="center" wrapText="1" readingOrder="1"/>
    </xf>
    <xf numFmtId="0" fontId="5" fillId="17" borderId="49" xfId="0" applyFont="1" applyFill="1" applyBorder="1" applyAlignment="1" applyProtection="1">
      <alignment horizontal="left" vertical="center" wrapText="1" readingOrder="1"/>
    </xf>
    <xf numFmtId="0" fontId="5" fillId="17" borderId="48" xfId="0" applyFont="1" applyFill="1" applyBorder="1" applyAlignment="1" applyProtection="1">
      <alignment horizontal="left" vertical="center" wrapText="1" readingOrder="1"/>
    </xf>
    <xf numFmtId="0" fontId="5" fillId="17" borderId="50" xfId="0" applyFont="1" applyFill="1" applyBorder="1" applyAlignment="1" applyProtection="1">
      <alignment horizontal="left" vertical="center" wrapText="1" readingOrder="1"/>
    </xf>
    <xf numFmtId="0" fontId="27" fillId="0" borderId="1" xfId="0" applyFont="1" applyBorder="1" applyAlignment="1" applyProtection="1">
      <alignment horizontal="left" vertical="center"/>
    </xf>
    <xf numFmtId="0" fontId="27" fillId="0" borderId="2" xfId="0" applyFont="1" applyBorder="1" applyAlignment="1" applyProtection="1">
      <alignment horizontal="left" vertical="center"/>
    </xf>
    <xf numFmtId="0" fontId="11" fillId="12" borderId="26" xfId="0" applyFont="1" applyFill="1" applyBorder="1" applyAlignment="1" applyProtection="1">
      <alignment horizontal="left" vertical="center"/>
    </xf>
    <xf numFmtId="0" fontId="11" fillId="12" borderId="27" xfId="0" applyFont="1" applyFill="1" applyBorder="1" applyAlignment="1" applyProtection="1">
      <alignment horizontal="left" vertical="center"/>
    </xf>
    <xf numFmtId="49" fontId="11" fillId="12" borderId="12" xfId="0" applyNumberFormat="1" applyFont="1" applyFill="1" applyBorder="1" applyAlignment="1" applyProtection="1">
      <alignment horizontal="left" vertical="center" wrapText="1"/>
    </xf>
    <xf numFmtId="49" fontId="11" fillId="12" borderId="28" xfId="0" applyNumberFormat="1" applyFont="1" applyFill="1" applyBorder="1" applyAlignment="1" applyProtection="1">
      <alignment horizontal="left" vertical="center" wrapText="1"/>
    </xf>
    <xf numFmtId="49" fontId="11" fillId="12" borderId="29" xfId="0" applyNumberFormat="1" applyFont="1" applyFill="1" applyBorder="1" applyAlignment="1" applyProtection="1">
      <alignment horizontal="left" vertical="center" wrapText="1"/>
    </xf>
    <xf numFmtId="49" fontId="11" fillId="12" borderId="30" xfId="0" applyNumberFormat="1" applyFont="1" applyFill="1" applyBorder="1" applyAlignment="1" applyProtection="1">
      <alignment horizontal="left" vertical="center" wrapText="1"/>
    </xf>
    <xf numFmtId="0" fontId="11" fillId="0" borderId="20" xfId="0" applyFont="1" applyBorder="1" applyAlignment="1">
      <alignment horizontal="left" vertical="top" wrapText="1"/>
    </xf>
    <xf numFmtId="0" fontId="11" fillId="0" borderId="21" xfId="0" applyFont="1" applyBorder="1" applyAlignment="1">
      <alignment horizontal="left" vertical="top" wrapText="1"/>
    </xf>
    <xf numFmtId="0" fontId="27" fillId="0" borderId="1" xfId="0" applyFont="1" applyBorder="1" applyAlignment="1">
      <alignment horizontal="left" vertical="center"/>
    </xf>
    <xf numFmtId="0" fontId="27" fillId="0" borderId="3" xfId="0" applyFont="1" applyBorder="1" applyAlignment="1">
      <alignment horizontal="left" vertical="center"/>
    </xf>
    <xf numFmtId="0" fontId="27" fillId="0" borderId="2" xfId="0" applyFont="1" applyBorder="1" applyAlignment="1">
      <alignment horizontal="left" vertical="center"/>
    </xf>
    <xf numFmtId="0" fontId="4" fillId="3" borderId="1" xfId="2" applyNumberFormat="1" applyFont="1" applyFill="1" applyBorder="1" applyAlignment="1">
      <alignment horizontal="center"/>
    </xf>
    <xf numFmtId="0" fontId="4" fillId="3" borderId="3" xfId="2" applyNumberFormat="1" applyFont="1" applyFill="1" applyBorder="1" applyAlignment="1">
      <alignment horizontal="center"/>
    </xf>
    <xf numFmtId="0" fontId="4" fillId="3" borderId="4" xfId="2" applyNumberFormat="1" applyFont="1" applyFill="1" applyBorder="1" applyAlignment="1">
      <alignment horizontal="center"/>
    </xf>
    <xf numFmtId="0" fontId="4" fillId="3" borderId="5" xfId="2" applyFont="1" applyFill="1" applyBorder="1" applyAlignment="1">
      <alignment horizontal="center"/>
    </xf>
    <xf numFmtId="0" fontId="4" fillId="3" borderId="3" xfId="2" applyFont="1" applyFill="1" applyBorder="1" applyAlignment="1">
      <alignment horizontal="center"/>
    </xf>
    <xf numFmtId="0" fontId="4" fillId="3" borderId="4" xfId="2" applyFont="1" applyFill="1" applyBorder="1" applyAlignment="1">
      <alignment horizontal="center"/>
    </xf>
    <xf numFmtId="0" fontId="11" fillId="12" borderId="26" xfId="0" applyFont="1" applyFill="1" applyBorder="1" applyAlignment="1">
      <alignment horizontal="left" vertical="top" wrapText="1"/>
    </xf>
    <xf numFmtId="0" fontId="11" fillId="12" borderId="31" xfId="0" applyFont="1" applyFill="1" applyBorder="1" applyAlignment="1">
      <alignment horizontal="left" vertical="top" wrapText="1"/>
    </xf>
    <xf numFmtId="0" fontId="11" fillId="12" borderId="27" xfId="0" applyFont="1" applyFill="1" applyBorder="1" applyAlignment="1">
      <alignment horizontal="left" vertical="top" wrapText="1"/>
    </xf>
    <xf numFmtId="0" fontId="30" fillId="3" borderId="19" xfId="2" applyFont="1" applyFill="1" applyBorder="1" applyAlignment="1">
      <alignment horizontal="left" vertical="center" wrapText="1"/>
    </xf>
    <xf numFmtId="0" fontId="11" fillId="12" borderId="26" xfId="0" applyFont="1" applyFill="1" applyBorder="1" applyAlignment="1">
      <alignment horizontal="left" vertical="top"/>
    </xf>
    <xf numFmtId="0" fontId="11" fillId="12" borderId="31" xfId="0" applyFont="1" applyFill="1" applyBorder="1" applyAlignment="1">
      <alignment horizontal="left" vertical="top"/>
    </xf>
    <xf numFmtId="0" fontId="11" fillId="12" borderId="27" xfId="0" applyFont="1" applyFill="1" applyBorder="1" applyAlignment="1">
      <alignment horizontal="left" vertical="top"/>
    </xf>
    <xf numFmtId="49" fontId="11" fillId="12" borderId="12" xfId="0" applyNumberFormat="1" applyFont="1" applyFill="1" applyBorder="1" applyAlignment="1">
      <alignment horizontal="left" vertical="top" wrapText="1"/>
    </xf>
    <xf numFmtId="49" fontId="11" fillId="12" borderId="0" xfId="0" applyNumberFormat="1" applyFont="1" applyFill="1" applyBorder="1" applyAlignment="1">
      <alignment horizontal="left" vertical="top" wrapText="1"/>
    </xf>
    <xf numFmtId="49" fontId="11" fillId="12" borderId="28" xfId="0" applyNumberFormat="1" applyFont="1" applyFill="1" applyBorder="1" applyAlignment="1">
      <alignment horizontal="left" vertical="top" wrapText="1"/>
    </xf>
    <xf numFmtId="49" fontId="11" fillId="12" borderId="29" xfId="0" applyNumberFormat="1" applyFont="1" applyFill="1" applyBorder="1" applyAlignment="1">
      <alignment horizontal="left" vertical="top" wrapText="1"/>
    </xf>
    <xf numFmtId="49" fontId="11" fillId="12" borderId="25" xfId="0" applyNumberFormat="1" applyFont="1" applyFill="1" applyBorder="1" applyAlignment="1">
      <alignment horizontal="left" vertical="top" wrapText="1"/>
    </xf>
    <xf numFmtId="49" fontId="11" fillId="12" borderId="30" xfId="0" applyNumberFormat="1" applyFont="1" applyFill="1" applyBorder="1" applyAlignment="1">
      <alignment horizontal="left" vertical="top" wrapText="1"/>
    </xf>
    <xf numFmtId="0" fontId="29" fillId="0" borderId="19" xfId="2" applyFont="1" applyBorder="1" applyAlignment="1">
      <alignment horizontal="center" vertical="center" wrapText="1"/>
    </xf>
    <xf numFmtId="0" fontId="11" fillId="3" borderId="24" xfId="2" applyFont="1" applyFill="1" applyBorder="1" applyAlignment="1">
      <alignment horizontal="left" vertical="center" wrapText="1"/>
    </xf>
    <xf numFmtId="0" fontId="11" fillId="3" borderId="9" xfId="2" applyFont="1" applyFill="1" applyBorder="1" applyAlignment="1">
      <alignment horizontal="left" vertical="center" wrapText="1"/>
    </xf>
    <xf numFmtId="0" fontId="23" fillId="0" borderId="1" xfId="2" applyFont="1" applyFill="1" applyBorder="1" applyAlignment="1">
      <alignment horizontal="left" vertical="top" wrapText="1"/>
    </xf>
    <xf numFmtId="0" fontId="23" fillId="0" borderId="3" xfId="2" applyFont="1" applyFill="1" applyBorder="1" applyAlignment="1">
      <alignment horizontal="left" vertical="top" wrapText="1"/>
    </xf>
    <xf numFmtId="0" fontId="23" fillId="0" borderId="2" xfId="2" applyFont="1" applyFill="1" applyBorder="1" applyAlignment="1">
      <alignment horizontal="left" vertical="top" wrapText="1"/>
    </xf>
  </cellXfs>
  <cellStyles count="7">
    <cellStyle name="Comma" xfId="6" builtinId="3"/>
    <cellStyle name="Comma 2" xfId="3"/>
    <cellStyle name="Hyperlink 2" xfId="4"/>
    <cellStyle name="Normal" xfId="0" builtinId="0"/>
    <cellStyle name="Normal 2" xfId="2"/>
    <cellStyle name="Percent" xfId="1" builtinId="5"/>
    <cellStyle name="Percent 2" xfId="5"/>
  </cellStyles>
  <dxfs count="1142">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000"/>
        </patternFill>
      </fill>
    </dxf>
    <dxf>
      <fill>
        <patternFill>
          <bgColor rgb="FFFF0000"/>
        </patternFill>
      </fill>
    </dxf>
    <dxf>
      <fill>
        <patternFill>
          <bgColor rgb="FFFFFF00"/>
        </patternFill>
      </fill>
    </dxf>
    <dxf>
      <fill>
        <patternFill>
          <bgColor theme="6" tint="0.39994506668294322"/>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99CC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Sector Target % Improvement</c:v>
          </c:tx>
          <c:spPr>
            <a:ln w="28575">
              <a:noFill/>
            </a:ln>
          </c:spPr>
          <c:trendline>
            <c:trendlineType val="linear"/>
            <c:dispRSqr val="0"/>
            <c:dispEq val="0"/>
          </c:trendline>
          <c:xVal>
            <c:numLit>
              <c:formatCode>General</c:formatCode>
              <c:ptCount val="9"/>
              <c:pt idx="0">
                <c:v>2011</c:v>
              </c:pt>
              <c:pt idx="1">
                <c:v>2013</c:v>
              </c:pt>
              <c:pt idx="2">
                <c:v>2014</c:v>
              </c:pt>
              <c:pt idx="3">
                <c:v>2015</c:v>
              </c:pt>
              <c:pt idx="4">
                <c:v>2016</c:v>
              </c:pt>
              <c:pt idx="5">
                <c:v>2017</c:v>
              </c:pt>
              <c:pt idx="6">
                <c:v>2018</c:v>
              </c:pt>
              <c:pt idx="7">
                <c:v>2019</c:v>
              </c:pt>
              <c:pt idx="8">
                <c:v>2020</c:v>
              </c:pt>
            </c:numLit>
          </c:xVal>
          <c:yVal>
            <c:numLit>
              <c:formatCode>0.000%</c:formatCode>
              <c:ptCount val="9"/>
              <c:pt idx="0" formatCode="0">
                <c:v>0</c:v>
              </c:pt>
              <c:pt idx="1">
                <c:v>6.6666666666666671E-3</c:v>
              </c:pt>
              <c:pt idx="2">
                <c:v>0.01</c:v>
              </c:pt>
              <c:pt idx="3">
                <c:v>4.6665000000000005E-2</c:v>
              </c:pt>
              <c:pt idx="4">
                <c:v>8.3330000000000001E-2</c:v>
              </c:pt>
              <c:pt idx="5">
                <c:v>0.11041500000000001</c:v>
              </c:pt>
              <c:pt idx="6">
                <c:v>0.13750000000000001</c:v>
              </c:pt>
              <c:pt idx="7">
                <c:v>0.14374999999999999</c:v>
              </c:pt>
              <c:pt idx="8">
                <c:v>0.15</c:v>
              </c:pt>
            </c:numLit>
          </c:yVal>
          <c:smooth val="0"/>
        </c:ser>
        <c:ser>
          <c:idx val="1"/>
          <c:order val="1"/>
          <c:tx>
            <c:v>Expected improvement at TU Base Year </c:v>
          </c:tx>
          <c:spPr>
            <a:ln w="28575">
              <a:noFill/>
            </a:ln>
          </c:spPr>
          <c:xVal>
            <c:numLit>
              <c:formatCode>General</c:formatCode>
              <c:ptCount val="1"/>
              <c:pt idx="0">
                <c:v>2011</c:v>
              </c:pt>
            </c:numLit>
          </c:xVal>
          <c:yVal>
            <c:numLit>
              <c:formatCode>0.000%</c:formatCode>
              <c:ptCount val="1"/>
              <c:pt idx="0">
                <c:v>0</c:v>
              </c:pt>
            </c:numLit>
          </c:yVal>
          <c:smooth val="0"/>
        </c:ser>
        <c:ser>
          <c:idx val="2"/>
          <c:order val="2"/>
          <c:tx>
            <c:v>Target % Improvement for TU</c:v>
          </c:tx>
          <c:spPr>
            <a:ln w="28575">
              <a:noFill/>
            </a:ln>
          </c:spPr>
          <c:xVal>
            <c:numLit>
              <c:formatCode>General</c:formatCode>
              <c:ptCount val="9"/>
              <c:pt idx="0">
                <c:v>2011</c:v>
              </c:pt>
              <c:pt idx="1">
                <c:v>2013</c:v>
              </c:pt>
              <c:pt idx="2">
                <c:v>2014</c:v>
              </c:pt>
              <c:pt idx="3">
                <c:v>2015</c:v>
              </c:pt>
              <c:pt idx="4">
                <c:v>2016</c:v>
              </c:pt>
              <c:pt idx="5">
                <c:v>2017</c:v>
              </c:pt>
              <c:pt idx="6">
                <c:v>2018</c:v>
              </c:pt>
              <c:pt idx="7">
                <c:v>2019</c:v>
              </c:pt>
              <c:pt idx="8">
                <c:v>2020</c:v>
              </c:pt>
            </c:numLit>
          </c:xVal>
          <c:yVal>
            <c:numLit>
              <c:formatCode>0.000%</c:formatCode>
              <c:ptCount val="9"/>
              <c:pt idx="0">
                <c:v>0</c:v>
              </c:pt>
              <c:pt idx="1">
                <c:v>6.5733191146079006E-3</c:v>
              </c:pt>
              <c:pt idx="2">
                <c:v>9.8599786719117954E-3</c:v>
              </c:pt>
              <c:pt idx="3">
                <c:v>4.6011590472476604E-2</c:v>
              </c:pt>
              <c:pt idx="4">
                <c:v>8.2163202273041414E-2</c:v>
              </c:pt>
              <c:pt idx="5">
                <c:v>0.10886895450591472</c:v>
              </c:pt>
              <c:pt idx="6">
                <c:v>0.13557470673878791</c:v>
              </c:pt>
              <c:pt idx="7">
                <c:v>0.14173719340873281</c:v>
              </c:pt>
              <c:pt idx="8">
                <c:v>0.14789968007867771</c:v>
              </c:pt>
            </c:numLit>
          </c:yVal>
          <c:smooth val="0"/>
        </c:ser>
        <c:dLbls>
          <c:showLegendKey val="0"/>
          <c:showVal val="0"/>
          <c:showCatName val="0"/>
          <c:showSerName val="0"/>
          <c:showPercent val="0"/>
          <c:showBubbleSize val="0"/>
        </c:dLbls>
        <c:axId val="481837760"/>
        <c:axId val="481840896"/>
      </c:scatterChart>
      <c:valAx>
        <c:axId val="481837760"/>
        <c:scaling>
          <c:orientation val="minMax"/>
          <c:max val="2020"/>
          <c:min val="2011"/>
        </c:scaling>
        <c:delete val="0"/>
        <c:axPos val="b"/>
        <c:numFmt formatCode="General" sourceLinked="1"/>
        <c:majorTickMark val="out"/>
        <c:minorTickMark val="none"/>
        <c:tickLblPos val="nextTo"/>
        <c:crossAx val="481840896"/>
        <c:crosses val="autoZero"/>
        <c:crossBetween val="midCat"/>
        <c:majorUnit val="2"/>
      </c:valAx>
      <c:valAx>
        <c:axId val="481840896"/>
        <c:scaling>
          <c:orientation val="minMax"/>
          <c:max val="0.17"/>
          <c:min val="-5.000000000000001E-2"/>
        </c:scaling>
        <c:delete val="0"/>
        <c:axPos val="l"/>
        <c:majorGridlines/>
        <c:numFmt formatCode="0.00" sourceLinked="0"/>
        <c:majorTickMark val="out"/>
        <c:minorTickMark val="none"/>
        <c:tickLblPos val="nextTo"/>
        <c:crossAx val="48183776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130970</xdr:colOff>
      <xdr:row>57</xdr:row>
      <xdr:rowOff>143139</xdr:rowOff>
    </xdr:from>
    <xdr:to>
      <xdr:col>21</xdr:col>
      <xdr:colOff>1916907</xdr:colOff>
      <xdr:row>68</xdr:row>
      <xdr:rowOff>166687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Peart\AppData\Local\Microsoft\Windows\Temporary%20Internet%20Files\Content.Outlook\7SPQW0ZZ\Bubbling%20TU%20with%20Nove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Sales%20&amp;%20Delivery%20Operations\Projects\Current\Energy\ED56195%20CCA%2013_14%20J%20Brock\Ricardo-AEA%20CCA%20Procedures\Target%20calculation%20spreadsheets\New%20Entrant%20TU%20Spreadsheet%20v3%2010%20June%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Existing Baseline Data"/>
      <sheetName val="Facility Details"/>
      <sheetName val="Revised Baseline Data"/>
      <sheetName val="Target Setting Rules"/>
      <sheetName val="Target Calculations"/>
      <sheetName val="Novem Data and Cals"/>
      <sheetName val="Penalties"/>
      <sheetName val="Fuel Conversion Factors"/>
    </sheetNames>
    <sheetDataSet>
      <sheetData sheetId="0"/>
      <sheetData sheetId="1"/>
      <sheetData sheetId="2"/>
      <sheetData sheetId="3"/>
      <sheetData sheetId="4"/>
      <sheetData sheetId="5"/>
      <sheetData sheetId="6"/>
      <sheetData sheetId="7"/>
      <sheetData sheetId="8">
        <row r="8">
          <cell r="G8">
            <v>7.9399999999999998E-2</v>
          </cell>
        </row>
        <row r="10">
          <cell r="G10">
            <v>0.11700000000000001</v>
          </cell>
        </row>
        <row r="12">
          <cell r="G12">
            <v>5.4600000000000003E-2</v>
          </cell>
        </row>
        <row r="15">
          <cell r="G15">
            <v>5.8500000000000003E-2</v>
          </cell>
        </row>
        <row r="16">
          <cell r="G16">
            <v>5.45E-2</v>
          </cell>
        </row>
        <row r="17">
          <cell r="G17">
            <v>6.7599999999999993E-2</v>
          </cell>
        </row>
        <row r="18">
          <cell r="G18">
            <v>6.4299999999999996E-2</v>
          </cell>
        </row>
        <row r="19">
          <cell r="G19">
            <v>7.5800000000000006E-2</v>
          </cell>
        </row>
        <row r="20">
          <cell r="G20">
            <v>7.3200000000000001E-2</v>
          </cell>
        </row>
        <row r="21">
          <cell r="G21">
            <v>6.4600000000000005E-2</v>
          </cell>
        </row>
        <row r="22">
          <cell r="G22">
            <v>9.0800000000000006E-2</v>
          </cell>
        </row>
        <row r="25">
          <cell r="G25">
            <v>5.0500000000000003E-2</v>
          </cell>
        </row>
        <row r="30">
          <cell r="G30">
            <v>6.7100000000000007E-2</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Facility Details"/>
      <sheetName val="Baseline Data"/>
      <sheetName val="Target Calculations"/>
      <sheetName val="Penalties"/>
      <sheetName val="Fuel Conversion Factors"/>
    </sheetNames>
    <sheetDataSet>
      <sheetData sheetId="0" refreshError="1"/>
      <sheetData sheetId="1" refreshError="1"/>
      <sheetData sheetId="2">
        <row r="10">
          <cell r="A10" t="str">
            <v>Target Unit Base Year</v>
          </cell>
        </row>
      </sheetData>
      <sheetData sheetId="3">
        <row r="11">
          <cell r="C11" t="str">
            <v>Sector Target % Improvement</v>
          </cell>
        </row>
      </sheetData>
      <sheetData sheetId="4"/>
      <sheetData sheetId="5">
        <row r="8">
          <cell r="G8">
            <v>7.9399999999999998E-2</v>
          </cell>
        </row>
        <row r="10">
          <cell r="G10">
            <v>0.11700000000000001</v>
          </cell>
        </row>
        <row r="12">
          <cell r="G12">
            <v>5.4600000000000003E-2</v>
          </cell>
        </row>
        <row r="15">
          <cell r="G15">
            <v>5.8500000000000003E-2</v>
          </cell>
        </row>
        <row r="16">
          <cell r="G16">
            <v>5.45E-2</v>
          </cell>
        </row>
        <row r="17">
          <cell r="G17">
            <v>6.7599999999999993E-2</v>
          </cell>
        </row>
        <row r="18">
          <cell r="G18">
            <v>6.4299999999999996E-2</v>
          </cell>
        </row>
        <row r="19">
          <cell r="G19">
            <v>7.5800000000000006E-2</v>
          </cell>
        </row>
        <row r="20">
          <cell r="G20">
            <v>7.3200000000000001E-2</v>
          </cell>
        </row>
        <row r="21">
          <cell r="G21">
            <v>6.4600000000000005E-2</v>
          </cell>
        </row>
        <row r="22">
          <cell r="G22">
            <v>9.0800000000000006E-2</v>
          </cell>
        </row>
        <row r="25">
          <cell r="G25">
            <v>5.0500000000000003E-2</v>
          </cell>
        </row>
        <row r="30">
          <cell r="G30">
            <v>6.7100000000000007E-2</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1:C61"/>
  <sheetViews>
    <sheetView tabSelected="1" topLeftCell="A36" zoomScale="80" zoomScaleNormal="80" workbookViewId="0">
      <selection activeCell="A47" sqref="A47"/>
    </sheetView>
  </sheetViews>
  <sheetFormatPr defaultRowHeight="15" x14ac:dyDescent="0.25"/>
  <cols>
    <col min="1" max="1" width="173.42578125" customWidth="1"/>
    <col min="2" max="2" width="15.85546875" customWidth="1"/>
  </cols>
  <sheetData>
    <row r="1" spans="1:3" ht="47.25" customHeight="1" thickBot="1" x14ac:dyDescent="0.3">
      <c r="A1" s="226" t="s">
        <v>354</v>
      </c>
    </row>
    <row r="2" spans="1:3" x14ac:dyDescent="0.25">
      <c r="A2" s="90" t="s">
        <v>357</v>
      </c>
    </row>
    <row r="3" spans="1:3" ht="30" x14ac:dyDescent="0.25">
      <c r="A3" s="91" t="s">
        <v>358</v>
      </c>
    </row>
    <row r="4" spans="1:3" x14ac:dyDescent="0.25">
      <c r="A4" s="92"/>
    </row>
    <row r="5" spans="1:3" x14ac:dyDescent="0.25">
      <c r="A5" s="93" t="s">
        <v>113</v>
      </c>
      <c r="B5" s="83"/>
      <c r="C5" s="83"/>
    </row>
    <row r="6" spans="1:3" ht="29.25" customHeight="1" x14ac:dyDescent="0.25">
      <c r="A6" s="91" t="s">
        <v>359</v>
      </c>
    </row>
    <row r="7" spans="1:3" x14ac:dyDescent="0.25">
      <c r="A7" s="92"/>
    </row>
    <row r="8" spans="1:3" x14ac:dyDescent="0.25">
      <c r="A8" s="93" t="s">
        <v>116</v>
      </c>
    </row>
    <row r="9" spans="1:3" ht="45" x14ac:dyDescent="0.25">
      <c r="A9" s="91" t="s">
        <v>363</v>
      </c>
    </row>
    <row r="10" spans="1:3" ht="28.5" x14ac:dyDescent="0.25">
      <c r="A10" s="92" t="s">
        <v>144</v>
      </c>
    </row>
    <row r="11" spans="1:3" x14ac:dyDescent="0.25">
      <c r="A11" s="92" t="s">
        <v>103</v>
      </c>
    </row>
    <row r="12" spans="1:3" x14ac:dyDescent="0.25">
      <c r="A12" s="92" t="s">
        <v>128</v>
      </c>
    </row>
    <row r="13" spans="1:3" x14ac:dyDescent="0.25">
      <c r="A13" s="92" t="s">
        <v>117</v>
      </c>
    </row>
    <row r="14" spans="1:3" x14ac:dyDescent="0.25">
      <c r="A14" s="92" t="s">
        <v>361</v>
      </c>
    </row>
    <row r="15" spans="1:3" x14ac:dyDescent="0.25">
      <c r="A15" s="92" t="s">
        <v>233</v>
      </c>
    </row>
    <row r="16" spans="1:3" ht="15" customHeight="1" x14ac:dyDescent="0.25">
      <c r="A16" s="92"/>
    </row>
    <row r="17" spans="1:2" x14ac:dyDescent="0.25">
      <c r="A17" s="93" t="s">
        <v>173</v>
      </c>
    </row>
    <row r="18" spans="1:2" ht="30" x14ac:dyDescent="0.25">
      <c r="A18" s="91" t="s">
        <v>364</v>
      </c>
    </row>
    <row r="19" spans="1:2" x14ac:dyDescent="0.25">
      <c r="A19" s="91" t="s">
        <v>174</v>
      </c>
    </row>
    <row r="20" spans="1:2" x14ac:dyDescent="0.25">
      <c r="A20" s="92" t="s">
        <v>103</v>
      </c>
    </row>
    <row r="21" spans="1:2" x14ac:dyDescent="0.25">
      <c r="A21" s="92" t="s">
        <v>97</v>
      </c>
    </row>
    <row r="22" spans="1:2" hidden="1" x14ac:dyDescent="0.25">
      <c r="A22" s="92" t="s">
        <v>234</v>
      </c>
    </row>
    <row r="23" spans="1:2" ht="19.5" hidden="1" customHeight="1" x14ac:dyDescent="0.25">
      <c r="A23" s="92"/>
    </row>
    <row r="24" spans="1:2" s="52" customFormat="1" hidden="1" x14ac:dyDescent="0.25">
      <c r="A24" s="93" t="s">
        <v>311</v>
      </c>
    </row>
    <row r="25" spans="1:2" s="52" customFormat="1" ht="30" hidden="1" x14ac:dyDescent="0.25">
      <c r="A25" s="91" t="s">
        <v>312</v>
      </c>
    </row>
    <row r="26" spans="1:2" s="52" customFormat="1" hidden="1" x14ac:dyDescent="0.25">
      <c r="A26" s="92" t="s">
        <v>313</v>
      </c>
    </row>
    <row r="27" spans="1:2" hidden="1" x14ac:dyDescent="0.25">
      <c r="A27" s="92" t="s">
        <v>314</v>
      </c>
      <c r="B27" s="196"/>
    </row>
    <row r="28" spans="1:2" ht="19.5" hidden="1" customHeight="1" x14ac:dyDescent="0.25">
      <c r="A28" s="92"/>
    </row>
    <row r="29" spans="1:2" s="52" customFormat="1" hidden="1" x14ac:dyDescent="0.25">
      <c r="A29" s="93" t="s">
        <v>235</v>
      </c>
    </row>
    <row r="30" spans="1:2" s="52" customFormat="1" hidden="1" x14ac:dyDescent="0.25">
      <c r="A30" s="91" t="s">
        <v>231</v>
      </c>
    </row>
    <row r="31" spans="1:2" s="52" customFormat="1" ht="28.5" hidden="1" x14ac:dyDescent="0.25">
      <c r="A31" s="92" t="s">
        <v>315</v>
      </c>
    </row>
    <row r="32" spans="1:2" ht="28.5" hidden="1" x14ac:dyDescent="0.25">
      <c r="A32" s="92" t="s">
        <v>232</v>
      </c>
      <c r="B32" s="196"/>
    </row>
    <row r="33" spans="1:2" hidden="1" x14ac:dyDescent="0.25">
      <c r="A33" s="92" t="s">
        <v>317</v>
      </c>
      <c r="B33" s="196"/>
    </row>
    <row r="34" spans="1:2" ht="19.5" customHeight="1" x14ac:dyDescent="0.25">
      <c r="A34" s="92"/>
    </row>
    <row r="35" spans="1:2" x14ac:dyDescent="0.25">
      <c r="A35" s="93" t="s">
        <v>321</v>
      </c>
    </row>
    <row r="36" spans="1:2" ht="30" customHeight="1" x14ac:dyDescent="0.25">
      <c r="A36" s="91" t="s">
        <v>333</v>
      </c>
    </row>
    <row r="37" spans="1:2" x14ac:dyDescent="0.25">
      <c r="A37" s="92" t="s">
        <v>334</v>
      </c>
    </row>
    <row r="38" spans="1:2" x14ac:dyDescent="0.25">
      <c r="A38" s="92" t="s">
        <v>335</v>
      </c>
    </row>
    <row r="39" spans="1:2" x14ac:dyDescent="0.25">
      <c r="A39" s="91" t="s">
        <v>369</v>
      </c>
    </row>
    <row r="40" spans="1:2" ht="28.5" x14ac:dyDescent="0.25">
      <c r="A40" s="92" t="s">
        <v>365</v>
      </c>
    </row>
    <row r="41" spans="1:2" ht="28.5" x14ac:dyDescent="0.25">
      <c r="A41" s="92" t="s">
        <v>366</v>
      </c>
    </row>
    <row r="42" spans="1:2" ht="28.5" x14ac:dyDescent="0.25">
      <c r="A42" s="92" t="s">
        <v>367</v>
      </c>
    </row>
    <row r="43" spans="1:2" x14ac:dyDescent="0.25">
      <c r="A43" s="92" t="s">
        <v>368</v>
      </c>
    </row>
    <row r="44" spans="1:2" x14ac:dyDescent="0.25">
      <c r="A44" s="92"/>
    </row>
    <row r="45" spans="1:2" x14ac:dyDescent="0.25">
      <c r="A45" s="93" t="s">
        <v>104</v>
      </c>
    </row>
    <row r="46" spans="1:2" x14ac:dyDescent="0.25">
      <c r="A46" s="91" t="s">
        <v>236</v>
      </c>
    </row>
    <row r="47" spans="1:2" x14ac:dyDescent="0.25">
      <c r="A47" s="91"/>
    </row>
    <row r="48" spans="1:2" x14ac:dyDescent="0.25">
      <c r="A48" s="93" t="s">
        <v>214</v>
      </c>
    </row>
    <row r="49" spans="1:3" x14ac:dyDescent="0.25">
      <c r="A49" s="91" t="s">
        <v>215</v>
      </c>
    </row>
    <row r="50" spans="1:3" x14ac:dyDescent="0.25">
      <c r="A50" s="91" t="s">
        <v>241</v>
      </c>
    </row>
    <row r="51" spans="1:3" x14ac:dyDescent="0.25">
      <c r="A51" s="91"/>
    </row>
    <row r="52" spans="1:3" x14ac:dyDescent="0.25">
      <c r="A52" s="93" t="s">
        <v>204</v>
      </c>
    </row>
    <row r="53" spans="1:3" x14ac:dyDescent="0.25">
      <c r="A53" s="91" t="s">
        <v>208</v>
      </c>
    </row>
    <row r="54" spans="1:3" x14ac:dyDescent="0.25">
      <c r="A54" s="91"/>
    </row>
    <row r="55" spans="1:3" x14ac:dyDescent="0.25">
      <c r="A55" s="91" t="s">
        <v>207</v>
      </c>
    </row>
    <row r="56" spans="1:3" ht="30" x14ac:dyDescent="0.25">
      <c r="A56" s="91" t="s">
        <v>209</v>
      </c>
    </row>
    <row r="57" spans="1:3" s="52" customFormat="1" x14ac:dyDescent="0.25">
      <c r="A57" s="92"/>
    </row>
    <row r="58" spans="1:3" ht="17.25" customHeight="1" x14ac:dyDescent="0.25">
      <c r="A58" s="141" t="s">
        <v>386</v>
      </c>
      <c r="B58" s="84"/>
      <c r="C58" s="83"/>
    </row>
    <row r="59" spans="1:3" ht="12" customHeight="1" thickBot="1" x14ac:dyDescent="0.3">
      <c r="A59" s="142" t="s">
        <v>385</v>
      </c>
    </row>
    <row r="60" spans="1:3" x14ac:dyDescent="0.25">
      <c r="A60" s="172"/>
    </row>
    <row r="61" spans="1:3" x14ac:dyDescent="0.25">
      <c r="A61" s="49"/>
    </row>
  </sheetData>
  <sheetProtection algorithmName="SHA-512" hashValue="pATlU/qTtZ8AsluGinm+vUM2IW3F/G+ichF8rM9QBYpVZHbE/DZUPA/zjFKus4f8i9wOt5X/BeZZfUrZlBsNBQ==" saltValue="oE7Se7ARz6F8CNWpbcusDA==" spinCount="100000" sheet="1" objects="1" scenarios="1"/>
  <dataValidations count="1">
    <dataValidation type="list" allowBlank="1" showInputMessage="1" showErrorMessage="1" sqref="B58">
      <formula1>"Please select, Yes,No"</formula1>
    </dataValidation>
  </dataValidations>
  <pageMargins left="0.70866141732283472" right="0.70866141732283472" top="0.74803149606299213" bottom="0.74803149606299213" header="0.31496062992125984" footer="0.31496062992125984"/>
  <pageSetup paperSize="9" scale="75"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2"/>
  <sheetViews>
    <sheetView showGridLines="0" workbookViewId="0">
      <selection sqref="A1:E1"/>
    </sheetView>
  </sheetViews>
  <sheetFormatPr defaultRowHeight="12.75" x14ac:dyDescent="0.2"/>
  <cols>
    <col min="1" max="1" width="30" style="4" customWidth="1"/>
    <col min="2" max="2" width="13.7109375" style="4" customWidth="1"/>
    <col min="3" max="3" width="14.7109375" style="4" customWidth="1"/>
    <col min="4" max="4" width="12.85546875" style="4" customWidth="1"/>
    <col min="5" max="5" width="8.28515625" style="4" customWidth="1"/>
    <col min="6" max="6" width="11.42578125" style="4" customWidth="1"/>
    <col min="7" max="7" width="9.7109375" style="4" customWidth="1"/>
    <col min="8" max="8" width="7.140625" style="4" customWidth="1"/>
    <col min="9" max="255" width="9.140625" style="4"/>
    <col min="256" max="257" width="30" style="4" customWidth="1"/>
    <col min="258" max="258" width="13.7109375" style="4" customWidth="1"/>
    <col min="259" max="259" width="14.7109375" style="4" customWidth="1"/>
    <col min="260" max="260" width="12.85546875" style="4" customWidth="1"/>
    <col min="261" max="261" width="8.28515625" style="4" customWidth="1"/>
    <col min="262" max="262" width="11.42578125" style="4" customWidth="1"/>
    <col min="263" max="263" width="9.7109375" style="4" customWidth="1"/>
    <col min="264" max="264" width="7.140625" style="4" customWidth="1"/>
    <col min="265" max="511" width="9.140625" style="4"/>
    <col min="512" max="513" width="30" style="4" customWidth="1"/>
    <col min="514" max="514" width="13.7109375" style="4" customWidth="1"/>
    <col min="515" max="515" width="14.7109375" style="4" customWidth="1"/>
    <col min="516" max="516" width="12.85546875" style="4" customWidth="1"/>
    <col min="517" max="517" width="8.28515625" style="4" customWidth="1"/>
    <col min="518" max="518" width="11.42578125" style="4" customWidth="1"/>
    <col min="519" max="519" width="9.7109375" style="4" customWidth="1"/>
    <col min="520" max="520" width="7.140625" style="4" customWidth="1"/>
    <col min="521" max="767" width="9.140625" style="4"/>
    <col min="768" max="769" width="30" style="4" customWidth="1"/>
    <col min="770" max="770" width="13.7109375" style="4" customWidth="1"/>
    <col min="771" max="771" width="14.7109375" style="4" customWidth="1"/>
    <col min="772" max="772" width="12.85546875" style="4" customWidth="1"/>
    <col min="773" max="773" width="8.28515625" style="4" customWidth="1"/>
    <col min="774" max="774" width="11.42578125" style="4" customWidth="1"/>
    <col min="775" max="775" width="9.7109375" style="4" customWidth="1"/>
    <col min="776" max="776" width="7.140625" style="4" customWidth="1"/>
    <col min="777" max="1023" width="9.140625" style="4"/>
    <col min="1024" max="1025" width="30" style="4" customWidth="1"/>
    <col min="1026" max="1026" width="13.7109375" style="4" customWidth="1"/>
    <col min="1027" max="1027" width="14.7109375" style="4" customWidth="1"/>
    <col min="1028" max="1028" width="12.85546875" style="4" customWidth="1"/>
    <col min="1029" max="1029" width="8.28515625" style="4" customWidth="1"/>
    <col min="1030" max="1030" width="11.42578125" style="4" customWidth="1"/>
    <col min="1031" max="1031" width="9.7109375" style="4" customWidth="1"/>
    <col min="1032" max="1032" width="7.140625" style="4" customWidth="1"/>
    <col min="1033" max="1279" width="9.140625" style="4"/>
    <col min="1280" max="1281" width="30" style="4" customWidth="1"/>
    <col min="1282" max="1282" width="13.7109375" style="4" customWidth="1"/>
    <col min="1283" max="1283" width="14.7109375" style="4" customWidth="1"/>
    <col min="1284" max="1284" width="12.85546875" style="4" customWidth="1"/>
    <col min="1285" max="1285" width="8.28515625" style="4" customWidth="1"/>
    <col min="1286" max="1286" width="11.42578125" style="4" customWidth="1"/>
    <col min="1287" max="1287" width="9.7109375" style="4" customWidth="1"/>
    <col min="1288" max="1288" width="7.140625" style="4" customWidth="1"/>
    <col min="1289" max="1535" width="9.140625" style="4"/>
    <col min="1536" max="1537" width="30" style="4" customWidth="1"/>
    <col min="1538" max="1538" width="13.7109375" style="4" customWidth="1"/>
    <col min="1539" max="1539" width="14.7109375" style="4" customWidth="1"/>
    <col min="1540" max="1540" width="12.85546875" style="4" customWidth="1"/>
    <col min="1541" max="1541" width="8.28515625" style="4" customWidth="1"/>
    <col min="1542" max="1542" width="11.42578125" style="4" customWidth="1"/>
    <col min="1543" max="1543" width="9.7109375" style="4" customWidth="1"/>
    <col min="1544" max="1544" width="7.140625" style="4" customWidth="1"/>
    <col min="1545" max="1791" width="9.140625" style="4"/>
    <col min="1792" max="1793" width="30" style="4" customWidth="1"/>
    <col min="1794" max="1794" width="13.7109375" style="4" customWidth="1"/>
    <col min="1795" max="1795" width="14.7109375" style="4" customWidth="1"/>
    <col min="1796" max="1796" width="12.85546875" style="4" customWidth="1"/>
    <col min="1797" max="1797" width="8.28515625" style="4" customWidth="1"/>
    <col min="1798" max="1798" width="11.42578125" style="4" customWidth="1"/>
    <col min="1799" max="1799" width="9.7109375" style="4" customWidth="1"/>
    <col min="1800" max="1800" width="7.140625" style="4" customWidth="1"/>
    <col min="1801" max="2047" width="9.140625" style="4"/>
    <col min="2048" max="2049" width="30" style="4" customWidth="1"/>
    <col min="2050" max="2050" width="13.7109375" style="4" customWidth="1"/>
    <col min="2051" max="2051" width="14.7109375" style="4" customWidth="1"/>
    <col min="2052" max="2052" width="12.85546875" style="4" customWidth="1"/>
    <col min="2053" max="2053" width="8.28515625" style="4" customWidth="1"/>
    <col min="2054" max="2054" width="11.42578125" style="4" customWidth="1"/>
    <col min="2055" max="2055" width="9.7109375" style="4" customWidth="1"/>
    <col min="2056" max="2056" width="7.140625" style="4" customWidth="1"/>
    <col min="2057" max="2303" width="9.140625" style="4"/>
    <col min="2304" max="2305" width="30" style="4" customWidth="1"/>
    <col min="2306" max="2306" width="13.7109375" style="4" customWidth="1"/>
    <col min="2307" max="2307" width="14.7109375" style="4" customWidth="1"/>
    <col min="2308" max="2308" width="12.85546875" style="4" customWidth="1"/>
    <col min="2309" max="2309" width="8.28515625" style="4" customWidth="1"/>
    <col min="2310" max="2310" width="11.42578125" style="4" customWidth="1"/>
    <col min="2311" max="2311" width="9.7109375" style="4" customWidth="1"/>
    <col min="2312" max="2312" width="7.140625" style="4" customWidth="1"/>
    <col min="2313" max="2559" width="9.140625" style="4"/>
    <col min="2560" max="2561" width="30" style="4" customWidth="1"/>
    <col min="2562" max="2562" width="13.7109375" style="4" customWidth="1"/>
    <col min="2563" max="2563" width="14.7109375" style="4" customWidth="1"/>
    <col min="2564" max="2564" width="12.85546875" style="4" customWidth="1"/>
    <col min="2565" max="2565" width="8.28515625" style="4" customWidth="1"/>
    <col min="2566" max="2566" width="11.42578125" style="4" customWidth="1"/>
    <col min="2567" max="2567" width="9.7109375" style="4" customWidth="1"/>
    <col min="2568" max="2568" width="7.140625" style="4" customWidth="1"/>
    <col min="2569" max="2815" width="9.140625" style="4"/>
    <col min="2816" max="2817" width="30" style="4" customWidth="1"/>
    <col min="2818" max="2818" width="13.7109375" style="4" customWidth="1"/>
    <col min="2819" max="2819" width="14.7109375" style="4" customWidth="1"/>
    <col min="2820" max="2820" width="12.85546875" style="4" customWidth="1"/>
    <col min="2821" max="2821" width="8.28515625" style="4" customWidth="1"/>
    <col min="2822" max="2822" width="11.42578125" style="4" customWidth="1"/>
    <col min="2823" max="2823" width="9.7109375" style="4" customWidth="1"/>
    <col min="2824" max="2824" width="7.140625" style="4" customWidth="1"/>
    <col min="2825" max="3071" width="9.140625" style="4"/>
    <col min="3072" max="3073" width="30" style="4" customWidth="1"/>
    <col min="3074" max="3074" width="13.7109375" style="4" customWidth="1"/>
    <col min="3075" max="3075" width="14.7109375" style="4" customWidth="1"/>
    <col min="3076" max="3076" width="12.85546875" style="4" customWidth="1"/>
    <col min="3077" max="3077" width="8.28515625" style="4" customWidth="1"/>
    <col min="3078" max="3078" width="11.42578125" style="4" customWidth="1"/>
    <col min="3079" max="3079" width="9.7109375" style="4" customWidth="1"/>
    <col min="3080" max="3080" width="7.140625" style="4" customWidth="1"/>
    <col min="3081" max="3327" width="9.140625" style="4"/>
    <col min="3328" max="3329" width="30" style="4" customWidth="1"/>
    <col min="3330" max="3330" width="13.7109375" style="4" customWidth="1"/>
    <col min="3331" max="3331" width="14.7109375" style="4" customWidth="1"/>
    <col min="3332" max="3332" width="12.85546875" style="4" customWidth="1"/>
    <col min="3333" max="3333" width="8.28515625" style="4" customWidth="1"/>
    <col min="3334" max="3334" width="11.42578125" style="4" customWidth="1"/>
    <col min="3335" max="3335" width="9.7109375" style="4" customWidth="1"/>
    <col min="3336" max="3336" width="7.140625" style="4" customWidth="1"/>
    <col min="3337" max="3583" width="9.140625" style="4"/>
    <col min="3584" max="3585" width="30" style="4" customWidth="1"/>
    <col min="3586" max="3586" width="13.7109375" style="4" customWidth="1"/>
    <col min="3587" max="3587" width="14.7109375" style="4" customWidth="1"/>
    <col min="3588" max="3588" width="12.85546875" style="4" customWidth="1"/>
    <col min="3589" max="3589" width="8.28515625" style="4" customWidth="1"/>
    <col min="3590" max="3590" width="11.42578125" style="4" customWidth="1"/>
    <col min="3591" max="3591" width="9.7109375" style="4" customWidth="1"/>
    <col min="3592" max="3592" width="7.140625" style="4" customWidth="1"/>
    <col min="3593" max="3839" width="9.140625" style="4"/>
    <col min="3840" max="3841" width="30" style="4" customWidth="1"/>
    <col min="3842" max="3842" width="13.7109375" style="4" customWidth="1"/>
    <col min="3843" max="3843" width="14.7109375" style="4" customWidth="1"/>
    <col min="3844" max="3844" width="12.85546875" style="4" customWidth="1"/>
    <col min="3845" max="3845" width="8.28515625" style="4" customWidth="1"/>
    <col min="3846" max="3846" width="11.42578125" style="4" customWidth="1"/>
    <col min="3847" max="3847" width="9.7109375" style="4" customWidth="1"/>
    <col min="3848" max="3848" width="7.140625" style="4" customWidth="1"/>
    <col min="3849" max="4095" width="9.140625" style="4"/>
    <col min="4096" max="4097" width="30" style="4" customWidth="1"/>
    <col min="4098" max="4098" width="13.7109375" style="4" customWidth="1"/>
    <col min="4099" max="4099" width="14.7109375" style="4" customWidth="1"/>
    <col min="4100" max="4100" width="12.85546875" style="4" customWidth="1"/>
    <col min="4101" max="4101" width="8.28515625" style="4" customWidth="1"/>
    <col min="4102" max="4102" width="11.42578125" style="4" customWidth="1"/>
    <col min="4103" max="4103" width="9.7109375" style="4" customWidth="1"/>
    <col min="4104" max="4104" width="7.140625" style="4" customWidth="1"/>
    <col min="4105" max="4351" width="9.140625" style="4"/>
    <col min="4352" max="4353" width="30" style="4" customWidth="1"/>
    <col min="4354" max="4354" width="13.7109375" style="4" customWidth="1"/>
    <col min="4355" max="4355" width="14.7109375" style="4" customWidth="1"/>
    <col min="4356" max="4356" width="12.85546875" style="4" customWidth="1"/>
    <col min="4357" max="4357" width="8.28515625" style="4" customWidth="1"/>
    <col min="4358" max="4358" width="11.42578125" style="4" customWidth="1"/>
    <col min="4359" max="4359" width="9.7109375" style="4" customWidth="1"/>
    <col min="4360" max="4360" width="7.140625" style="4" customWidth="1"/>
    <col min="4361" max="4607" width="9.140625" style="4"/>
    <col min="4608" max="4609" width="30" style="4" customWidth="1"/>
    <col min="4610" max="4610" width="13.7109375" style="4" customWidth="1"/>
    <col min="4611" max="4611" width="14.7109375" style="4" customWidth="1"/>
    <col min="4612" max="4612" width="12.85546875" style="4" customWidth="1"/>
    <col min="4613" max="4613" width="8.28515625" style="4" customWidth="1"/>
    <col min="4614" max="4614" width="11.42578125" style="4" customWidth="1"/>
    <col min="4615" max="4615" width="9.7109375" style="4" customWidth="1"/>
    <col min="4616" max="4616" width="7.140625" style="4" customWidth="1"/>
    <col min="4617" max="4863" width="9.140625" style="4"/>
    <col min="4864" max="4865" width="30" style="4" customWidth="1"/>
    <col min="4866" max="4866" width="13.7109375" style="4" customWidth="1"/>
    <col min="4867" max="4867" width="14.7109375" style="4" customWidth="1"/>
    <col min="4868" max="4868" width="12.85546875" style="4" customWidth="1"/>
    <col min="4869" max="4869" width="8.28515625" style="4" customWidth="1"/>
    <col min="4870" max="4870" width="11.42578125" style="4" customWidth="1"/>
    <col min="4871" max="4871" width="9.7109375" style="4" customWidth="1"/>
    <col min="4872" max="4872" width="7.140625" style="4" customWidth="1"/>
    <col min="4873" max="5119" width="9.140625" style="4"/>
    <col min="5120" max="5121" width="30" style="4" customWidth="1"/>
    <col min="5122" max="5122" width="13.7109375" style="4" customWidth="1"/>
    <col min="5123" max="5123" width="14.7109375" style="4" customWidth="1"/>
    <col min="5124" max="5124" width="12.85546875" style="4" customWidth="1"/>
    <col min="5125" max="5125" width="8.28515625" style="4" customWidth="1"/>
    <col min="5126" max="5126" width="11.42578125" style="4" customWidth="1"/>
    <col min="5127" max="5127" width="9.7109375" style="4" customWidth="1"/>
    <col min="5128" max="5128" width="7.140625" style="4" customWidth="1"/>
    <col min="5129" max="5375" width="9.140625" style="4"/>
    <col min="5376" max="5377" width="30" style="4" customWidth="1"/>
    <col min="5378" max="5378" width="13.7109375" style="4" customWidth="1"/>
    <col min="5379" max="5379" width="14.7109375" style="4" customWidth="1"/>
    <col min="5380" max="5380" width="12.85546875" style="4" customWidth="1"/>
    <col min="5381" max="5381" width="8.28515625" style="4" customWidth="1"/>
    <col min="5382" max="5382" width="11.42578125" style="4" customWidth="1"/>
    <col min="5383" max="5383" width="9.7109375" style="4" customWidth="1"/>
    <col min="5384" max="5384" width="7.140625" style="4" customWidth="1"/>
    <col min="5385" max="5631" width="9.140625" style="4"/>
    <col min="5632" max="5633" width="30" style="4" customWidth="1"/>
    <col min="5634" max="5634" width="13.7109375" style="4" customWidth="1"/>
    <col min="5635" max="5635" width="14.7109375" style="4" customWidth="1"/>
    <col min="5636" max="5636" width="12.85546875" style="4" customWidth="1"/>
    <col min="5637" max="5637" width="8.28515625" style="4" customWidth="1"/>
    <col min="5638" max="5638" width="11.42578125" style="4" customWidth="1"/>
    <col min="5639" max="5639" width="9.7109375" style="4" customWidth="1"/>
    <col min="5640" max="5640" width="7.140625" style="4" customWidth="1"/>
    <col min="5641" max="5887" width="9.140625" style="4"/>
    <col min="5888" max="5889" width="30" style="4" customWidth="1"/>
    <col min="5890" max="5890" width="13.7109375" style="4" customWidth="1"/>
    <col min="5891" max="5891" width="14.7109375" style="4" customWidth="1"/>
    <col min="5892" max="5892" width="12.85546875" style="4" customWidth="1"/>
    <col min="5893" max="5893" width="8.28515625" style="4" customWidth="1"/>
    <col min="5894" max="5894" width="11.42578125" style="4" customWidth="1"/>
    <col min="5895" max="5895" width="9.7109375" style="4" customWidth="1"/>
    <col min="5896" max="5896" width="7.140625" style="4" customWidth="1"/>
    <col min="5897" max="6143" width="9.140625" style="4"/>
    <col min="6144" max="6145" width="30" style="4" customWidth="1"/>
    <col min="6146" max="6146" width="13.7109375" style="4" customWidth="1"/>
    <col min="6147" max="6147" width="14.7109375" style="4" customWidth="1"/>
    <col min="6148" max="6148" width="12.85546875" style="4" customWidth="1"/>
    <col min="6149" max="6149" width="8.28515625" style="4" customWidth="1"/>
    <col min="6150" max="6150" width="11.42578125" style="4" customWidth="1"/>
    <col min="6151" max="6151" width="9.7109375" style="4" customWidth="1"/>
    <col min="6152" max="6152" width="7.140625" style="4" customWidth="1"/>
    <col min="6153" max="6399" width="9.140625" style="4"/>
    <col min="6400" max="6401" width="30" style="4" customWidth="1"/>
    <col min="6402" max="6402" width="13.7109375" style="4" customWidth="1"/>
    <col min="6403" max="6403" width="14.7109375" style="4" customWidth="1"/>
    <col min="6404" max="6404" width="12.85546875" style="4" customWidth="1"/>
    <col min="6405" max="6405" width="8.28515625" style="4" customWidth="1"/>
    <col min="6406" max="6406" width="11.42578125" style="4" customWidth="1"/>
    <col min="6407" max="6407" width="9.7109375" style="4" customWidth="1"/>
    <col min="6408" max="6408" width="7.140625" style="4" customWidth="1"/>
    <col min="6409" max="6655" width="9.140625" style="4"/>
    <col min="6656" max="6657" width="30" style="4" customWidth="1"/>
    <col min="6658" max="6658" width="13.7109375" style="4" customWidth="1"/>
    <col min="6659" max="6659" width="14.7109375" style="4" customWidth="1"/>
    <col min="6660" max="6660" width="12.85546875" style="4" customWidth="1"/>
    <col min="6661" max="6661" width="8.28515625" style="4" customWidth="1"/>
    <col min="6662" max="6662" width="11.42578125" style="4" customWidth="1"/>
    <col min="6663" max="6663" width="9.7109375" style="4" customWidth="1"/>
    <col min="6664" max="6664" width="7.140625" style="4" customWidth="1"/>
    <col min="6665" max="6911" width="9.140625" style="4"/>
    <col min="6912" max="6913" width="30" style="4" customWidth="1"/>
    <col min="6914" max="6914" width="13.7109375" style="4" customWidth="1"/>
    <col min="6915" max="6915" width="14.7109375" style="4" customWidth="1"/>
    <col min="6916" max="6916" width="12.85546875" style="4" customWidth="1"/>
    <col min="6917" max="6917" width="8.28515625" style="4" customWidth="1"/>
    <col min="6918" max="6918" width="11.42578125" style="4" customWidth="1"/>
    <col min="6919" max="6919" width="9.7109375" style="4" customWidth="1"/>
    <col min="6920" max="6920" width="7.140625" style="4" customWidth="1"/>
    <col min="6921" max="7167" width="9.140625" style="4"/>
    <col min="7168" max="7169" width="30" style="4" customWidth="1"/>
    <col min="7170" max="7170" width="13.7109375" style="4" customWidth="1"/>
    <col min="7171" max="7171" width="14.7109375" style="4" customWidth="1"/>
    <col min="7172" max="7172" width="12.85546875" style="4" customWidth="1"/>
    <col min="7173" max="7173" width="8.28515625" style="4" customWidth="1"/>
    <col min="7174" max="7174" width="11.42578125" style="4" customWidth="1"/>
    <col min="7175" max="7175" width="9.7109375" style="4" customWidth="1"/>
    <col min="7176" max="7176" width="7.140625" style="4" customWidth="1"/>
    <col min="7177" max="7423" width="9.140625" style="4"/>
    <col min="7424" max="7425" width="30" style="4" customWidth="1"/>
    <col min="7426" max="7426" width="13.7109375" style="4" customWidth="1"/>
    <col min="7427" max="7427" width="14.7109375" style="4" customWidth="1"/>
    <col min="7428" max="7428" width="12.85546875" style="4" customWidth="1"/>
    <col min="7429" max="7429" width="8.28515625" style="4" customWidth="1"/>
    <col min="7430" max="7430" width="11.42578125" style="4" customWidth="1"/>
    <col min="7431" max="7431" width="9.7109375" style="4" customWidth="1"/>
    <col min="7432" max="7432" width="7.140625" style="4" customWidth="1"/>
    <col min="7433" max="7679" width="9.140625" style="4"/>
    <col min="7680" max="7681" width="30" style="4" customWidth="1"/>
    <col min="7682" max="7682" width="13.7109375" style="4" customWidth="1"/>
    <col min="7683" max="7683" width="14.7109375" style="4" customWidth="1"/>
    <col min="7684" max="7684" width="12.85546875" style="4" customWidth="1"/>
    <col min="7685" max="7685" width="8.28515625" style="4" customWidth="1"/>
    <col min="7686" max="7686" width="11.42578125" style="4" customWidth="1"/>
    <col min="7687" max="7687" width="9.7109375" style="4" customWidth="1"/>
    <col min="7688" max="7688" width="7.140625" style="4" customWidth="1"/>
    <col min="7689" max="7935" width="9.140625" style="4"/>
    <col min="7936" max="7937" width="30" style="4" customWidth="1"/>
    <col min="7938" max="7938" width="13.7109375" style="4" customWidth="1"/>
    <col min="7939" max="7939" width="14.7109375" style="4" customWidth="1"/>
    <col min="7940" max="7940" width="12.85546875" style="4" customWidth="1"/>
    <col min="7941" max="7941" width="8.28515625" style="4" customWidth="1"/>
    <col min="7942" max="7942" width="11.42578125" style="4" customWidth="1"/>
    <col min="7943" max="7943" width="9.7109375" style="4" customWidth="1"/>
    <col min="7944" max="7944" width="7.140625" style="4" customWidth="1"/>
    <col min="7945" max="8191" width="9.140625" style="4"/>
    <col min="8192" max="8193" width="30" style="4" customWidth="1"/>
    <col min="8194" max="8194" width="13.7109375" style="4" customWidth="1"/>
    <col min="8195" max="8195" width="14.7109375" style="4" customWidth="1"/>
    <col min="8196" max="8196" width="12.85546875" style="4" customWidth="1"/>
    <col min="8197" max="8197" width="8.28515625" style="4" customWidth="1"/>
    <col min="8198" max="8198" width="11.42578125" style="4" customWidth="1"/>
    <col min="8199" max="8199" width="9.7109375" style="4" customWidth="1"/>
    <col min="8200" max="8200" width="7.140625" style="4" customWidth="1"/>
    <col min="8201" max="8447" width="9.140625" style="4"/>
    <col min="8448" max="8449" width="30" style="4" customWidth="1"/>
    <col min="8450" max="8450" width="13.7109375" style="4" customWidth="1"/>
    <col min="8451" max="8451" width="14.7109375" style="4" customWidth="1"/>
    <col min="8452" max="8452" width="12.85546875" style="4" customWidth="1"/>
    <col min="8453" max="8453" width="8.28515625" style="4" customWidth="1"/>
    <col min="8454" max="8454" width="11.42578125" style="4" customWidth="1"/>
    <col min="8455" max="8455" width="9.7109375" style="4" customWidth="1"/>
    <col min="8456" max="8456" width="7.140625" style="4" customWidth="1"/>
    <col min="8457" max="8703" width="9.140625" style="4"/>
    <col min="8704" max="8705" width="30" style="4" customWidth="1"/>
    <col min="8706" max="8706" width="13.7109375" style="4" customWidth="1"/>
    <col min="8707" max="8707" width="14.7109375" style="4" customWidth="1"/>
    <col min="8708" max="8708" width="12.85546875" style="4" customWidth="1"/>
    <col min="8709" max="8709" width="8.28515625" style="4" customWidth="1"/>
    <col min="8710" max="8710" width="11.42578125" style="4" customWidth="1"/>
    <col min="8711" max="8711" width="9.7109375" style="4" customWidth="1"/>
    <col min="8712" max="8712" width="7.140625" style="4" customWidth="1"/>
    <col min="8713" max="8959" width="9.140625" style="4"/>
    <col min="8960" max="8961" width="30" style="4" customWidth="1"/>
    <col min="8962" max="8962" width="13.7109375" style="4" customWidth="1"/>
    <col min="8963" max="8963" width="14.7109375" style="4" customWidth="1"/>
    <col min="8964" max="8964" width="12.85546875" style="4" customWidth="1"/>
    <col min="8965" max="8965" width="8.28515625" style="4" customWidth="1"/>
    <col min="8966" max="8966" width="11.42578125" style="4" customWidth="1"/>
    <col min="8967" max="8967" width="9.7109375" style="4" customWidth="1"/>
    <col min="8968" max="8968" width="7.140625" style="4" customWidth="1"/>
    <col min="8969" max="9215" width="9.140625" style="4"/>
    <col min="9216" max="9217" width="30" style="4" customWidth="1"/>
    <col min="9218" max="9218" width="13.7109375" style="4" customWidth="1"/>
    <col min="9219" max="9219" width="14.7109375" style="4" customWidth="1"/>
    <col min="9220" max="9220" width="12.85546875" style="4" customWidth="1"/>
    <col min="9221" max="9221" width="8.28515625" style="4" customWidth="1"/>
    <col min="9222" max="9222" width="11.42578125" style="4" customWidth="1"/>
    <col min="9223" max="9223" width="9.7109375" style="4" customWidth="1"/>
    <col min="9224" max="9224" width="7.140625" style="4" customWidth="1"/>
    <col min="9225" max="9471" width="9.140625" style="4"/>
    <col min="9472" max="9473" width="30" style="4" customWidth="1"/>
    <col min="9474" max="9474" width="13.7109375" style="4" customWidth="1"/>
    <col min="9475" max="9475" width="14.7109375" style="4" customWidth="1"/>
    <col min="9476" max="9476" width="12.85546875" style="4" customWidth="1"/>
    <col min="9477" max="9477" width="8.28515625" style="4" customWidth="1"/>
    <col min="9478" max="9478" width="11.42578125" style="4" customWidth="1"/>
    <col min="9479" max="9479" width="9.7109375" style="4" customWidth="1"/>
    <col min="9480" max="9480" width="7.140625" style="4" customWidth="1"/>
    <col min="9481" max="9727" width="9.140625" style="4"/>
    <col min="9728" max="9729" width="30" style="4" customWidth="1"/>
    <col min="9730" max="9730" width="13.7109375" style="4" customWidth="1"/>
    <col min="9731" max="9731" width="14.7109375" style="4" customWidth="1"/>
    <col min="9732" max="9732" width="12.85546875" style="4" customWidth="1"/>
    <col min="9733" max="9733" width="8.28515625" style="4" customWidth="1"/>
    <col min="9734" max="9734" width="11.42578125" style="4" customWidth="1"/>
    <col min="9735" max="9735" width="9.7109375" style="4" customWidth="1"/>
    <col min="9736" max="9736" width="7.140625" style="4" customWidth="1"/>
    <col min="9737" max="9983" width="9.140625" style="4"/>
    <col min="9984" max="9985" width="30" style="4" customWidth="1"/>
    <col min="9986" max="9986" width="13.7109375" style="4" customWidth="1"/>
    <col min="9987" max="9987" width="14.7109375" style="4" customWidth="1"/>
    <col min="9988" max="9988" width="12.85546875" style="4" customWidth="1"/>
    <col min="9989" max="9989" width="8.28515625" style="4" customWidth="1"/>
    <col min="9990" max="9990" width="11.42578125" style="4" customWidth="1"/>
    <col min="9991" max="9991" width="9.7109375" style="4" customWidth="1"/>
    <col min="9992" max="9992" width="7.140625" style="4" customWidth="1"/>
    <col min="9993" max="10239" width="9.140625" style="4"/>
    <col min="10240" max="10241" width="30" style="4" customWidth="1"/>
    <col min="10242" max="10242" width="13.7109375" style="4" customWidth="1"/>
    <col min="10243" max="10243" width="14.7109375" style="4" customWidth="1"/>
    <col min="10244" max="10244" width="12.85546875" style="4" customWidth="1"/>
    <col min="10245" max="10245" width="8.28515625" style="4" customWidth="1"/>
    <col min="10246" max="10246" width="11.42578125" style="4" customWidth="1"/>
    <col min="10247" max="10247" width="9.7109375" style="4" customWidth="1"/>
    <col min="10248" max="10248" width="7.140625" style="4" customWidth="1"/>
    <col min="10249" max="10495" width="9.140625" style="4"/>
    <col min="10496" max="10497" width="30" style="4" customWidth="1"/>
    <col min="10498" max="10498" width="13.7109375" style="4" customWidth="1"/>
    <col min="10499" max="10499" width="14.7109375" style="4" customWidth="1"/>
    <col min="10500" max="10500" width="12.85546875" style="4" customWidth="1"/>
    <col min="10501" max="10501" width="8.28515625" style="4" customWidth="1"/>
    <col min="10502" max="10502" width="11.42578125" style="4" customWidth="1"/>
    <col min="10503" max="10503" width="9.7109375" style="4" customWidth="1"/>
    <col min="10504" max="10504" width="7.140625" style="4" customWidth="1"/>
    <col min="10505" max="10751" width="9.140625" style="4"/>
    <col min="10752" max="10753" width="30" style="4" customWidth="1"/>
    <col min="10754" max="10754" width="13.7109375" style="4" customWidth="1"/>
    <col min="10755" max="10755" width="14.7109375" style="4" customWidth="1"/>
    <col min="10756" max="10756" width="12.85546875" style="4" customWidth="1"/>
    <col min="10757" max="10757" width="8.28515625" style="4" customWidth="1"/>
    <col min="10758" max="10758" width="11.42578125" style="4" customWidth="1"/>
    <col min="10759" max="10759" width="9.7109375" style="4" customWidth="1"/>
    <col min="10760" max="10760" width="7.140625" style="4" customWidth="1"/>
    <col min="10761" max="11007" width="9.140625" style="4"/>
    <col min="11008" max="11009" width="30" style="4" customWidth="1"/>
    <col min="11010" max="11010" width="13.7109375" style="4" customWidth="1"/>
    <col min="11011" max="11011" width="14.7109375" style="4" customWidth="1"/>
    <col min="11012" max="11012" width="12.85546875" style="4" customWidth="1"/>
    <col min="11013" max="11013" width="8.28515625" style="4" customWidth="1"/>
    <col min="11014" max="11014" width="11.42578125" style="4" customWidth="1"/>
    <col min="11015" max="11015" width="9.7109375" style="4" customWidth="1"/>
    <col min="11016" max="11016" width="7.140625" style="4" customWidth="1"/>
    <col min="11017" max="11263" width="9.140625" style="4"/>
    <col min="11264" max="11265" width="30" style="4" customWidth="1"/>
    <col min="11266" max="11266" width="13.7109375" style="4" customWidth="1"/>
    <col min="11267" max="11267" width="14.7109375" style="4" customWidth="1"/>
    <col min="11268" max="11268" width="12.85546875" style="4" customWidth="1"/>
    <col min="11269" max="11269" width="8.28515625" style="4" customWidth="1"/>
    <col min="11270" max="11270" width="11.42578125" style="4" customWidth="1"/>
    <col min="11271" max="11271" width="9.7109375" style="4" customWidth="1"/>
    <col min="11272" max="11272" width="7.140625" style="4" customWidth="1"/>
    <col min="11273" max="11519" width="9.140625" style="4"/>
    <col min="11520" max="11521" width="30" style="4" customWidth="1"/>
    <col min="11522" max="11522" width="13.7109375" style="4" customWidth="1"/>
    <col min="11523" max="11523" width="14.7109375" style="4" customWidth="1"/>
    <col min="11524" max="11524" width="12.85546875" style="4" customWidth="1"/>
    <col min="11525" max="11525" width="8.28515625" style="4" customWidth="1"/>
    <col min="11526" max="11526" width="11.42578125" style="4" customWidth="1"/>
    <col min="11527" max="11527" width="9.7109375" style="4" customWidth="1"/>
    <col min="11528" max="11528" width="7.140625" style="4" customWidth="1"/>
    <col min="11529" max="11775" width="9.140625" style="4"/>
    <col min="11776" max="11777" width="30" style="4" customWidth="1"/>
    <col min="11778" max="11778" width="13.7109375" style="4" customWidth="1"/>
    <col min="11779" max="11779" width="14.7109375" style="4" customWidth="1"/>
    <col min="11780" max="11780" width="12.85546875" style="4" customWidth="1"/>
    <col min="11781" max="11781" width="8.28515625" style="4" customWidth="1"/>
    <col min="11782" max="11782" width="11.42578125" style="4" customWidth="1"/>
    <col min="11783" max="11783" width="9.7109375" style="4" customWidth="1"/>
    <col min="11784" max="11784" width="7.140625" style="4" customWidth="1"/>
    <col min="11785" max="12031" width="9.140625" style="4"/>
    <col min="12032" max="12033" width="30" style="4" customWidth="1"/>
    <col min="12034" max="12034" width="13.7109375" style="4" customWidth="1"/>
    <col min="12035" max="12035" width="14.7109375" style="4" customWidth="1"/>
    <col min="12036" max="12036" width="12.85546875" style="4" customWidth="1"/>
    <col min="12037" max="12037" width="8.28515625" style="4" customWidth="1"/>
    <col min="12038" max="12038" width="11.42578125" style="4" customWidth="1"/>
    <col min="12039" max="12039" width="9.7109375" style="4" customWidth="1"/>
    <col min="12040" max="12040" width="7.140625" style="4" customWidth="1"/>
    <col min="12041" max="12287" width="9.140625" style="4"/>
    <col min="12288" max="12289" width="30" style="4" customWidth="1"/>
    <col min="12290" max="12290" width="13.7109375" style="4" customWidth="1"/>
    <col min="12291" max="12291" width="14.7109375" style="4" customWidth="1"/>
    <col min="12292" max="12292" width="12.85546875" style="4" customWidth="1"/>
    <col min="12293" max="12293" width="8.28515625" style="4" customWidth="1"/>
    <col min="12294" max="12294" width="11.42578125" style="4" customWidth="1"/>
    <col min="12295" max="12295" width="9.7109375" style="4" customWidth="1"/>
    <col min="12296" max="12296" width="7.140625" style="4" customWidth="1"/>
    <col min="12297" max="12543" width="9.140625" style="4"/>
    <col min="12544" max="12545" width="30" style="4" customWidth="1"/>
    <col min="12546" max="12546" width="13.7109375" style="4" customWidth="1"/>
    <col min="12547" max="12547" width="14.7109375" style="4" customWidth="1"/>
    <col min="12548" max="12548" width="12.85546875" style="4" customWidth="1"/>
    <col min="12549" max="12549" width="8.28515625" style="4" customWidth="1"/>
    <col min="12550" max="12550" width="11.42578125" style="4" customWidth="1"/>
    <col min="12551" max="12551" width="9.7109375" style="4" customWidth="1"/>
    <col min="12552" max="12552" width="7.140625" style="4" customWidth="1"/>
    <col min="12553" max="12799" width="9.140625" style="4"/>
    <col min="12800" max="12801" width="30" style="4" customWidth="1"/>
    <col min="12802" max="12802" width="13.7109375" style="4" customWidth="1"/>
    <col min="12803" max="12803" width="14.7109375" style="4" customWidth="1"/>
    <col min="12804" max="12804" width="12.85546875" style="4" customWidth="1"/>
    <col min="12805" max="12805" width="8.28515625" style="4" customWidth="1"/>
    <col min="12806" max="12806" width="11.42578125" style="4" customWidth="1"/>
    <col min="12807" max="12807" width="9.7109375" style="4" customWidth="1"/>
    <col min="12808" max="12808" width="7.140625" style="4" customWidth="1"/>
    <col min="12809" max="13055" width="9.140625" style="4"/>
    <col min="13056" max="13057" width="30" style="4" customWidth="1"/>
    <col min="13058" max="13058" width="13.7109375" style="4" customWidth="1"/>
    <col min="13059" max="13059" width="14.7109375" style="4" customWidth="1"/>
    <col min="13060" max="13060" width="12.85546875" style="4" customWidth="1"/>
    <col min="13061" max="13061" width="8.28515625" style="4" customWidth="1"/>
    <col min="13062" max="13062" width="11.42578125" style="4" customWidth="1"/>
    <col min="13063" max="13063" width="9.7109375" style="4" customWidth="1"/>
    <col min="13064" max="13064" width="7.140625" style="4" customWidth="1"/>
    <col min="13065" max="13311" width="9.140625" style="4"/>
    <col min="13312" max="13313" width="30" style="4" customWidth="1"/>
    <col min="13314" max="13314" width="13.7109375" style="4" customWidth="1"/>
    <col min="13315" max="13315" width="14.7109375" style="4" customWidth="1"/>
    <col min="13316" max="13316" width="12.85546875" style="4" customWidth="1"/>
    <col min="13317" max="13317" width="8.28515625" style="4" customWidth="1"/>
    <col min="13318" max="13318" width="11.42578125" style="4" customWidth="1"/>
    <col min="13319" max="13319" width="9.7109375" style="4" customWidth="1"/>
    <col min="13320" max="13320" width="7.140625" style="4" customWidth="1"/>
    <col min="13321" max="13567" width="9.140625" style="4"/>
    <col min="13568" max="13569" width="30" style="4" customWidth="1"/>
    <col min="13570" max="13570" width="13.7109375" style="4" customWidth="1"/>
    <col min="13571" max="13571" width="14.7109375" style="4" customWidth="1"/>
    <col min="13572" max="13572" width="12.85546875" style="4" customWidth="1"/>
    <col min="13573" max="13573" width="8.28515625" style="4" customWidth="1"/>
    <col min="13574" max="13574" width="11.42578125" style="4" customWidth="1"/>
    <col min="13575" max="13575" width="9.7109375" style="4" customWidth="1"/>
    <col min="13576" max="13576" width="7.140625" style="4" customWidth="1"/>
    <col min="13577" max="13823" width="9.140625" style="4"/>
    <col min="13824" max="13825" width="30" style="4" customWidth="1"/>
    <col min="13826" max="13826" width="13.7109375" style="4" customWidth="1"/>
    <col min="13827" max="13827" width="14.7109375" style="4" customWidth="1"/>
    <col min="13828" max="13828" width="12.85546875" style="4" customWidth="1"/>
    <col min="13829" max="13829" width="8.28515625" style="4" customWidth="1"/>
    <col min="13830" max="13830" width="11.42578125" style="4" customWidth="1"/>
    <col min="13831" max="13831" width="9.7109375" style="4" customWidth="1"/>
    <col min="13832" max="13832" width="7.140625" style="4" customWidth="1"/>
    <col min="13833" max="14079" width="9.140625" style="4"/>
    <col min="14080" max="14081" width="30" style="4" customWidth="1"/>
    <col min="14082" max="14082" width="13.7109375" style="4" customWidth="1"/>
    <col min="14083" max="14083" width="14.7109375" style="4" customWidth="1"/>
    <col min="14084" max="14084" width="12.85546875" style="4" customWidth="1"/>
    <col min="14085" max="14085" width="8.28515625" style="4" customWidth="1"/>
    <col min="14086" max="14086" width="11.42578125" style="4" customWidth="1"/>
    <col min="14087" max="14087" width="9.7109375" style="4" customWidth="1"/>
    <col min="14088" max="14088" width="7.140625" style="4" customWidth="1"/>
    <col min="14089" max="14335" width="9.140625" style="4"/>
    <col min="14336" max="14337" width="30" style="4" customWidth="1"/>
    <col min="14338" max="14338" width="13.7109375" style="4" customWidth="1"/>
    <col min="14339" max="14339" width="14.7109375" style="4" customWidth="1"/>
    <col min="14340" max="14340" width="12.85546875" style="4" customWidth="1"/>
    <col min="14341" max="14341" width="8.28515625" style="4" customWidth="1"/>
    <col min="14342" max="14342" width="11.42578125" style="4" customWidth="1"/>
    <col min="14343" max="14343" width="9.7109375" style="4" customWidth="1"/>
    <col min="14344" max="14344" width="7.140625" style="4" customWidth="1"/>
    <col min="14345" max="14591" width="9.140625" style="4"/>
    <col min="14592" max="14593" width="30" style="4" customWidth="1"/>
    <col min="14594" max="14594" width="13.7109375" style="4" customWidth="1"/>
    <col min="14595" max="14595" width="14.7109375" style="4" customWidth="1"/>
    <col min="14596" max="14596" width="12.85546875" style="4" customWidth="1"/>
    <col min="14597" max="14597" width="8.28515625" style="4" customWidth="1"/>
    <col min="14598" max="14598" width="11.42578125" style="4" customWidth="1"/>
    <col min="14599" max="14599" width="9.7109375" style="4" customWidth="1"/>
    <col min="14600" max="14600" width="7.140625" style="4" customWidth="1"/>
    <col min="14601" max="14847" width="9.140625" style="4"/>
    <col min="14848" max="14849" width="30" style="4" customWidth="1"/>
    <col min="14850" max="14850" width="13.7109375" style="4" customWidth="1"/>
    <col min="14851" max="14851" width="14.7109375" style="4" customWidth="1"/>
    <col min="14852" max="14852" width="12.85546875" style="4" customWidth="1"/>
    <col min="14853" max="14853" width="8.28515625" style="4" customWidth="1"/>
    <col min="14854" max="14854" width="11.42578125" style="4" customWidth="1"/>
    <col min="14855" max="14855" width="9.7109375" style="4" customWidth="1"/>
    <col min="14856" max="14856" width="7.140625" style="4" customWidth="1"/>
    <col min="14857" max="15103" width="9.140625" style="4"/>
    <col min="15104" max="15105" width="30" style="4" customWidth="1"/>
    <col min="15106" max="15106" width="13.7109375" style="4" customWidth="1"/>
    <col min="15107" max="15107" width="14.7109375" style="4" customWidth="1"/>
    <col min="15108" max="15108" width="12.85546875" style="4" customWidth="1"/>
    <col min="15109" max="15109" width="8.28515625" style="4" customWidth="1"/>
    <col min="15110" max="15110" width="11.42578125" style="4" customWidth="1"/>
    <col min="15111" max="15111" width="9.7109375" style="4" customWidth="1"/>
    <col min="15112" max="15112" width="7.140625" style="4" customWidth="1"/>
    <col min="15113" max="15359" width="9.140625" style="4"/>
    <col min="15360" max="15361" width="30" style="4" customWidth="1"/>
    <col min="15362" max="15362" width="13.7109375" style="4" customWidth="1"/>
    <col min="15363" max="15363" width="14.7109375" style="4" customWidth="1"/>
    <col min="15364" max="15364" width="12.85546875" style="4" customWidth="1"/>
    <col min="15365" max="15365" width="8.28515625" style="4" customWidth="1"/>
    <col min="15366" max="15366" width="11.42578125" style="4" customWidth="1"/>
    <col min="15367" max="15367" width="9.7109375" style="4" customWidth="1"/>
    <col min="15368" max="15368" width="7.140625" style="4" customWidth="1"/>
    <col min="15369" max="15615" width="9.140625" style="4"/>
    <col min="15616" max="15617" width="30" style="4" customWidth="1"/>
    <col min="15618" max="15618" width="13.7109375" style="4" customWidth="1"/>
    <col min="15619" max="15619" width="14.7109375" style="4" customWidth="1"/>
    <col min="15620" max="15620" width="12.85546875" style="4" customWidth="1"/>
    <col min="15621" max="15621" width="8.28515625" style="4" customWidth="1"/>
    <col min="15622" max="15622" width="11.42578125" style="4" customWidth="1"/>
    <col min="15623" max="15623" width="9.7109375" style="4" customWidth="1"/>
    <col min="15624" max="15624" width="7.140625" style="4" customWidth="1"/>
    <col min="15625" max="15871" width="9.140625" style="4"/>
    <col min="15872" max="15873" width="30" style="4" customWidth="1"/>
    <col min="15874" max="15874" width="13.7109375" style="4" customWidth="1"/>
    <col min="15875" max="15875" width="14.7109375" style="4" customWidth="1"/>
    <col min="15876" max="15876" width="12.85546875" style="4" customWidth="1"/>
    <col min="15877" max="15877" width="8.28515625" style="4" customWidth="1"/>
    <col min="15878" max="15878" width="11.42578125" style="4" customWidth="1"/>
    <col min="15879" max="15879" width="9.7109375" style="4" customWidth="1"/>
    <col min="15880" max="15880" width="7.140625" style="4" customWidth="1"/>
    <col min="15881" max="16127" width="9.140625" style="4"/>
    <col min="16128" max="16129" width="30" style="4" customWidth="1"/>
    <col min="16130" max="16130" width="13.7109375" style="4" customWidth="1"/>
    <col min="16131" max="16131" width="14.7109375" style="4" customWidth="1"/>
    <col min="16132" max="16132" width="12.85546875" style="4" customWidth="1"/>
    <col min="16133" max="16133" width="8.28515625" style="4" customWidth="1"/>
    <col min="16134" max="16134" width="11.42578125" style="4" customWidth="1"/>
    <col min="16135" max="16135" width="9.7109375" style="4" customWidth="1"/>
    <col min="16136" max="16136" width="7.140625" style="4" customWidth="1"/>
    <col min="16137" max="16384" width="9.140625" style="4"/>
  </cols>
  <sheetData>
    <row r="1" spans="1:11" ht="32.25" thickBot="1" x14ac:dyDescent="0.25">
      <c r="A1" s="499" t="s">
        <v>204</v>
      </c>
      <c r="B1" s="500"/>
      <c r="C1" s="500"/>
      <c r="D1" s="500"/>
      <c r="E1" s="501"/>
      <c r="F1" s="85" t="s">
        <v>60</v>
      </c>
      <c r="G1" s="1"/>
      <c r="H1" s="1"/>
      <c r="I1" s="1"/>
      <c r="J1" s="1"/>
      <c r="K1" s="1"/>
    </row>
    <row r="2" spans="1:11" ht="30" customHeight="1" thickBot="1" x14ac:dyDescent="0.25">
      <c r="A2" s="508" t="s">
        <v>205</v>
      </c>
      <c r="B2" s="509"/>
      <c r="C2" s="509"/>
      <c r="D2" s="509"/>
      <c r="E2" s="510"/>
      <c r="F2" s="58" t="s">
        <v>61</v>
      </c>
      <c r="G2" s="1"/>
      <c r="H2" s="1"/>
      <c r="I2" s="1"/>
      <c r="J2" s="1"/>
      <c r="K2" s="1"/>
    </row>
    <row r="3" spans="1:11" ht="26.25" thickBot="1" x14ac:dyDescent="0.3">
      <c r="A3" s="204"/>
      <c r="B3" s="206"/>
      <c r="C3" s="206"/>
      <c r="D3" s="206"/>
      <c r="E3" s="205"/>
      <c r="F3" s="133" t="s">
        <v>106</v>
      </c>
      <c r="G3" s="5"/>
      <c r="H3" s="5"/>
      <c r="I3" s="6"/>
      <c r="J3" s="6"/>
      <c r="K3" s="6"/>
    </row>
    <row r="4" spans="1:11" ht="16.5" thickBot="1" x14ac:dyDescent="0.3">
      <c r="A4" s="5"/>
      <c r="B4" s="7"/>
      <c r="C4" s="6"/>
      <c r="D4" s="3"/>
      <c r="E4" s="3"/>
      <c r="F4" s="6"/>
      <c r="G4" s="6"/>
      <c r="H4" s="6"/>
      <c r="I4" s="6"/>
      <c r="J4" s="6"/>
      <c r="K4" s="6"/>
    </row>
    <row r="5" spans="1:11" ht="16.5" thickBot="1" x14ac:dyDescent="0.3">
      <c r="A5" s="175" t="s">
        <v>153</v>
      </c>
      <c r="B5" s="502" t="s">
        <v>0</v>
      </c>
      <c r="C5" s="503"/>
      <c r="D5" s="504"/>
      <c r="E5" s="505" t="s">
        <v>1</v>
      </c>
      <c r="F5" s="506"/>
      <c r="G5" s="507"/>
      <c r="H5" s="8"/>
      <c r="I5" s="6"/>
      <c r="J5" s="6"/>
      <c r="K5" s="6"/>
    </row>
    <row r="6" spans="1:11" ht="12.75" customHeight="1" x14ac:dyDescent="0.2">
      <c r="A6" s="9"/>
      <c r="B6" s="10"/>
      <c r="C6" s="11"/>
      <c r="D6" s="12"/>
      <c r="E6" s="13"/>
      <c r="F6" s="11"/>
      <c r="G6" s="14"/>
      <c r="H6" s="1"/>
      <c r="I6" s="1"/>
      <c r="J6" s="1"/>
      <c r="K6" s="1"/>
    </row>
    <row r="7" spans="1:11" ht="12.75" customHeight="1" x14ac:dyDescent="0.2">
      <c r="A7" s="9"/>
      <c r="B7" s="15" t="s">
        <v>2</v>
      </c>
      <c r="C7" s="11"/>
      <c r="D7" s="16" t="s">
        <v>3</v>
      </c>
      <c r="E7" s="13"/>
      <c r="F7" s="16" t="s">
        <v>4</v>
      </c>
      <c r="G7" s="14"/>
      <c r="H7" s="1"/>
      <c r="I7" s="1"/>
      <c r="J7" s="1"/>
      <c r="K7" s="1"/>
    </row>
    <row r="8" spans="1:11" ht="12.75" customHeight="1" x14ac:dyDescent="0.2">
      <c r="A8" s="17" t="s">
        <v>5</v>
      </c>
      <c r="B8" s="180">
        <v>27</v>
      </c>
      <c r="C8" s="11"/>
      <c r="D8" s="181">
        <f>B8*$B$39</f>
        <v>7500</v>
      </c>
      <c r="E8" s="13"/>
      <c r="F8" s="179">
        <f>ROUND(0.29117*12/44,4)</f>
        <v>7.9399999999999998E-2</v>
      </c>
      <c r="G8" s="14"/>
      <c r="H8" s="1"/>
      <c r="I8" s="1"/>
      <c r="J8" s="1"/>
      <c r="K8" s="1"/>
    </row>
    <row r="9" spans="1:11" ht="12.75" customHeight="1" x14ac:dyDescent="0.2">
      <c r="A9" s="9"/>
      <c r="B9" s="10"/>
      <c r="C9" s="11"/>
      <c r="D9" s="18"/>
      <c r="E9" s="13"/>
      <c r="F9" s="11"/>
      <c r="G9" s="14"/>
      <c r="H9" s="1"/>
      <c r="I9" s="1"/>
      <c r="J9" s="1"/>
      <c r="K9" s="1"/>
    </row>
    <row r="10" spans="1:11" ht="12.75" customHeight="1" x14ac:dyDescent="0.2">
      <c r="A10" s="17" t="s">
        <v>6</v>
      </c>
      <c r="B10" s="180">
        <v>29.8</v>
      </c>
      <c r="C10" s="11"/>
      <c r="D10" s="181">
        <f>B10*$B$39</f>
        <v>8277.7777777777774</v>
      </c>
      <c r="E10" s="13"/>
      <c r="F10" s="179">
        <v>0.11700000000000001</v>
      </c>
      <c r="G10" s="14"/>
      <c r="H10" s="1"/>
      <c r="I10" s="1"/>
      <c r="J10" s="1"/>
      <c r="K10" s="1"/>
    </row>
    <row r="11" spans="1:11" ht="12.75" customHeight="1" x14ac:dyDescent="0.2">
      <c r="A11" s="17"/>
      <c r="B11" s="10"/>
      <c r="C11" s="11"/>
      <c r="D11" s="18"/>
      <c r="E11" s="13"/>
      <c r="F11" s="11"/>
      <c r="G11" s="14"/>
      <c r="H11" s="1"/>
      <c r="I11" s="1"/>
      <c r="J11" s="1"/>
      <c r="K11" s="1"/>
    </row>
    <row r="12" spans="1:11" ht="12.75" customHeight="1" x14ac:dyDescent="0.2">
      <c r="A12" s="17" t="s">
        <v>7</v>
      </c>
      <c r="B12" s="10"/>
      <c r="C12" s="11"/>
      <c r="D12" s="18"/>
      <c r="E12" s="13"/>
      <c r="F12" s="179">
        <f>ROUND(0.52037*12/44/2.6,4)</f>
        <v>5.4600000000000003E-2</v>
      </c>
      <c r="G12" s="14"/>
      <c r="H12" s="1"/>
      <c r="I12" s="1"/>
      <c r="J12" s="1"/>
      <c r="K12" s="1"/>
    </row>
    <row r="13" spans="1:11" ht="12.75" customHeight="1" x14ac:dyDescent="0.2">
      <c r="A13" s="17"/>
      <c r="B13" s="10"/>
      <c r="C13" s="19"/>
      <c r="D13" s="12"/>
      <c r="E13" s="13"/>
      <c r="F13" s="11"/>
      <c r="G13" s="14"/>
      <c r="H13" s="1"/>
      <c r="I13" s="1"/>
      <c r="J13" s="1"/>
      <c r="K13" s="1"/>
    </row>
    <row r="14" spans="1:11" ht="12.75" customHeight="1" x14ac:dyDescent="0.2">
      <c r="A14" s="17" t="s">
        <v>8</v>
      </c>
      <c r="B14" s="15" t="s">
        <v>2</v>
      </c>
      <c r="C14" s="16" t="s">
        <v>9</v>
      </c>
      <c r="D14" s="20" t="s">
        <v>10</v>
      </c>
      <c r="E14" s="13"/>
      <c r="F14" s="11"/>
      <c r="G14" s="21"/>
      <c r="H14" s="1"/>
      <c r="I14" s="1"/>
      <c r="J14" s="1"/>
      <c r="K14" s="1"/>
    </row>
    <row r="15" spans="1:11" ht="12.75" customHeight="1" x14ac:dyDescent="0.2">
      <c r="A15" s="9" t="s">
        <v>11</v>
      </c>
      <c r="B15" s="180">
        <v>49.23</v>
      </c>
      <c r="C15" s="181">
        <v>1914</v>
      </c>
      <c r="D15" s="180">
        <f t="shared" ref="D15:D20" si="0">1/C15*B15*$B$39</f>
        <v>7.1447230929989551</v>
      </c>
      <c r="E15" s="13"/>
      <c r="F15" s="179">
        <f>ROUND(0.21455*12/44,4)</f>
        <v>5.8500000000000003E-2</v>
      </c>
      <c r="G15" s="14"/>
      <c r="H15" s="1"/>
      <c r="I15" s="1"/>
      <c r="J15" s="1"/>
      <c r="K15" s="1"/>
    </row>
    <row r="16" spans="1:11" ht="12.75" customHeight="1" x14ac:dyDescent="0.2">
      <c r="A16" s="9" t="s">
        <v>12</v>
      </c>
      <c r="B16" s="180">
        <v>50.7</v>
      </c>
      <c r="C16" s="181">
        <v>2730</v>
      </c>
      <c r="D16" s="180">
        <f t="shared" si="0"/>
        <v>5.1587301587301591</v>
      </c>
      <c r="E16" s="13"/>
      <c r="F16" s="179">
        <v>5.45E-2</v>
      </c>
      <c r="G16" s="22"/>
      <c r="H16" s="1"/>
      <c r="I16" s="1"/>
      <c r="J16" s="1"/>
      <c r="K16" s="1"/>
    </row>
    <row r="17" spans="1:11" ht="12.75" customHeight="1" x14ac:dyDescent="0.2">
      <c r="A17" s="9" t="s">
        <v>147</v>
      </c>
      <c r="B17" s="180">
        <v>46.19</v>
      </c>
      <c r="C17" s="181">
        <v>1247</v>
      </c>
      <c r="D17" s="180">
        <f t="shared" si="0"/>
        <v>10.289138376548159</v>
      </c>
      <c r="E17" s="13"/>
      <c r="F17" s="179">
        <v>6.7299999999999999E-2</v>
      </c>
      <c r="G17" s="14"/>
      <c r="H17" s="1"/>
      <c r="I17" s="1"/>
      <c r="J17" s="1"/>
      <c r="K17" s="1"/>
    </row>
    <row r="18" spans="1:11" ht="12.75" customHeight="1" x14ac:dyDescent="0.2">
      <c r="A18" s="9" t="s">
        <v>13</v>
      </c>
      <c r="B18" s="180">
        <v>47.1</v>
      </c>
      <c r="C18" s="181">
        <v>1360</v>
      </c>
      <c r="D18" s="180">
        <f t="shared" si="0"/>
        <v>9.6200980392156854</v>
      </c>
      <c r="E18" s="13"/>
      <c r="F18" s="179">
        <f>ROUND(0.2357*12/44,4)</f>
        <v>6.4299999999999996E-2</v>
      </c>
      <c r="G18" s="14"/>
      <c r="H18" s="1"/>
      <c r="I18" s="1"/>
      <c r="J18" s="1"/>
      <c r="K18" s="1"/>
    </row>
    <row r="19" spans="1:11" ht="12.75" customHeight="1" x14ac:dyDescent="0.2">
      <c r="A19" s="9" t="s">
        <v>14</v>
      </c>
      <c r="B19" s="180">
        <v>45.26</v>
      </c>
      <c r="C19" s="181">
        <v>1156</v>
      </c>
      <c r="D19" s="180">
        <f t="shared" si="0"/>
        <v>10.875624759707804</v>
      </c>
      <c r="E19" s="13"/>
      <c r="F19" s="179">
        <f>ROUND(0.27778*12/44,4)</f>
        <v>7.5800000000000006E-2</v>
      </c>
      <c r="G19" s="14"/>
      <c r="H19" s="1"/>
      <c r="I19" s="1"/>
      <c r="J19" s="1"/>
      <c r="K19" s="1"/>
    </row>
    <row r="20" spans="1:11" ht="12.75" customHeight="1" x14ac:dyDescent="0.2">
      <c r="A20" s="9" t="s">
        <v>15</v>
      </c>
      <c r="B20" s="180">
        <v>43.32</v>
      </c>
      <c r="C20" s="181">
        <v>1015</v>
      </c>
      <c r="D20" s="180">
        <f t="shared" si="0"/>
        <v>11.855500821018062</v>
      </c>
      <c r="E20" s="13"/>
      <c r="F20" s="179">
        <f>ROUND(0.26826*12/44,4)</f>
        <v>7.3200000000000001E-2</v>
      </c>
      <c r="G20" s="14"/>
      <c r="H20" s="1"/>
      <c r="I20" s="1"/>
      <c r="J20" s="1"/>
      <c r="K20" s="1"/>
    </row>
    <row r="21" spans="1:11" ht="12.75" customHeight="1" x14ac:dyDescent="0.2">
      <c r="A21" s="9" t="s">
        <v>16</v>
      </c>
      <c r="B21" s="180">
        <v>47.79</v>
      </c>
      <c r="C21" s="19"/>
      <c r="D21" s="23"/>
      <c r="E21" s="13"/>
      <c r="F21" s="179">
        <f>ROUND(0.23669*12/44,4)</f>
        <v>6.4600000000000005E-2</v>
      </c>
      <c r="G21" s="14"/>
      <c r="H21" s="1"/>
      <c r="I21" s="1"/>
      <c r="J21" s="1"/>
      <c r="K21" s="1"/>
    </row>
    <row r="22" spans="1:11" ht="12.75" customHeight="1" x14ac:dyDescent="0.2">
      <c r="A22" s="9" t="s">
        <v>17</v>
      </c>
      <c r="B22" s="180">
        <v>35.799999999999997</v>
      </c>
      <c r="C22" s="19"/>
      <c r="D22" s="23"/>
      <c r="E22" s="13"/>
      <c r="F22" s="179">
        <f>ROUND(0.33307*12/44,4)</f>
        <v>9.0800000000000006E-2</v>
      </c>
      <c r="G22" s="14"/>
      <c r="H22" s="1"/>
      <c r="I22" s="1"/>
      <c r="J22" s="1"/>
      <c r="K22" s="1"/>
    </row>
    <row r="23" spans="1:11" ht="12.75" customHeight="1" x14ac:dyDescent="0.2">
      <c r="A23" s="9"/>
      <c r="B23" s="10"/>
      <c r="C23" s="11"/>
      <c r="D23" s="12"/>
      <c r="E23" s="13"/>
      <c r="F23" s="11"/>
      <c r="G23" s="14"/>
      <c r="H23" s="1"/>
      <c r="I23" s="1"/>
      <c r="J23" s="1"/>
      <c r="K23" s="1"/>
    </row>
    <row r="24" spans="1:11" ht="14.25" customHeight="1" x14ac:dyDescent="0.2">
      <c r="A24" s="17" t="s">
        <v>18</v>
      </c>
      <c r="B24" s="15" t="s">
        <v>19</v>
      </c>
      <c r="C24" s="11"/>
      <c r="D24" s="16" t="s">
        <v>20</v>
      </c>
      <c r="E24" s="13"/>
      <c r="F24" s="11"/>
      <c r="G24" s="14"/>
      <c r="H24" s="1"/>
      <c r="I24" s="1"/>
      <c r="J24" s="1"/>
      <c r="K24" s="1"/>
    </row>
    <row r="25" spans="1:11" ht="12.75" customHeight="1" x14ac:dyDescent="0.2">
      <c r="A25" s="9" t="s">
        <v>21</v>
      </c>
      <c r="B25" s="180">
        <v>39.5</v>
      </c>
      <c r="C25" s="11"/>
      <c r="D25" s="180">
        <f t="shared" ref="D25:D30" si="1">$B$36/$B$34</f>
        <v>29.30763669316114</v>
      </c>
      <c r="E25" s="13"/>
      <c r="F25" s="179">
        <f>ROUND(0.18521*12/44,4)</f>
        <v>5.0500000000000003E-2</v>
      </c>
      <c r="G25" s="14"/>
      <c r="H25" s="1"/>
      <c r="I25" s="1"/>
      <c r="J25" s="1"/>
      <c r="K25" s="1"/>
    </row>
    <row r="26" spans="1:11" ht="12.75" customHeight="1" x14ac:dyDescent="0.2">
      <c r="A26" s="9" t="s">
        <v>22</v>
      </c>
      <c r="B26" s="180">
        <v>18</v>
      </c>
      <c r="C26" s="11"/>
      <c r="D26" s="180">
        <f t="shared" si="1"/>
        <v>29.30763669316114</v>
      </c>
      <c r="E26" s="13"/>
      <c r="F26" s="11"/>
      <c r="G26" s="14"/>
      <c r="H26" s="1"/>
      <c r="I26" s="1"/>
      <c r="J26" s="1"/>
      <c r="K26" s="1"/>
    </row>
    <row r="27" spans="1:11" ht="12.75" customHeight="1" x14ac:dyDescent="0.2">
      <c r="A27" s="9" t="s">
        <v>23</v>
      </c>
      <c r="B27" s="180">
        <v>3</v>
      </c>
      <c r="C27" s="11"/>
      <c r="D27" s="180">
        <f t="shared" si="1"/>
        <v>29.30763669316114</v>
      </c>
      <c r="E27" s="13"/>
      <c r="F27" s="11"/>
      <c r="G27" s="14"/>
      <c r="H27" s="1"/>
      <c r="I27" s="1"/>
      <c r="J27" s="1"/>
      <c r="K27" s="1"/>
    </row>
    <row r="28" spans="1:11" ht="12.75" customHeight="1" x14ac:dyDescent="0.2">
      <c r="A28" s="9" t="s">
        <v>24</v>
      </c>
      <c r="B28" s="180">
        <v>23</v>
      </c>
      <c r="C28" s="11"/>
      <c r="D28" s="180">
        <f t="shared" si="1"/>
        <v>29.30763669316114</v>
      </c>
      <c r="E28" s="13"/>
      <c r="F28" s="11"/>
      <c r="G28" s="14"/>
      <c r="H28" s="1"/>
      <c r="I28" s="1"/>
      <c r="J28" s="1"/>
      <c r="K28" s="1"/>
    </row>
    <row r="29" spans="1:11" ht="12.75" customHeight="1" x14ac:dyDescent="0.2">
      <c r="A29" s="9" t="s">
        <v>25</v>
      </c>
      <c r="B29" s="180">
        <v>23</v>
      </c>
      <c r="C29" s="11"/>
      <c r="D29" s="180">
        <f t="shared" si="1"/>
        <v>29.30763669316114</v>
      </c>
      <c r="E29" s="13"/>
      <c r="F29" s="11"/>
      <c r="G29" s="14"/>
      <c r="H29" s="1"/>
      <c r="I29" s="1"/>
      <c r="J29" s="1"/>
      <c r="K29" s="1"/>
    </row>
    <row r="30" spans="1:11" ht="12.75" customHeight="1" x14ac:dyDescent="0.2">
      <c r="A30" s="9" t="s">
        <v>26</v>
      </c>
      <c r="B30" s="180"/>
      <c r="C30" s="11"/>
      <c r="D30" s="180">
        <f t="shared" si="1"/>
        <v>29.30763669316114</v>
      </c>
      <c r="E30" s="13"/>
      <c r="F30" s="179">
        <f>ROUND(0.24591*12/44,4)</f>
        <v>6.7100000000000007E-2</v>
      </c>
      <c r="G30" s="14"/>
      <c r="H30" s="1"/>
      <c r="I30" s="1"/>
      <c r="J30" s="1"/>
      <c r="K30" s="1"/>
    </row>
    <row r="31" spans="1:11" x14ac:dyDescent="0.2">
      <c r="A31" s="9"/>
      <c r="B31" s="10"/>
      <c r="C31" s="11"/>
      <c r="D31" s="12"/>
      <c r="E31" s="13"/>
      <c r="F31" s="11"/>
      <c r="G31" s="14"/>
      <c r="H31" s="1"/>
      <c r="I31" s="1"/>
      <c r="J31" s="1"/>
      <c r="K31" s="1"/>
    </row>
    <row r="32" spans="1:11" x14ac:dyDescent="0.2">
      <c r="A32" s="9"/>
      <c r="B32" s="10"/>
      <c r="C32" s="11"/>
      <c r="D32" s="12"/>
      <c r="E32" s="13"/>
      <c r="F32" s="11"/>
      <c r="G32" s="14"/>
      <c r="H32" s="1"/>
      <c r="I32" s="1"/>
      <c r="J32" s="1"/>
      <c r="K32" s="1"/>
    </row>
    <row r="33" spans="1:11" x14ac:dyDescent="0.2">
      <c r="A33" s="24" t="s">
        <v>27</v>
      </c>
      <c r="B33" s="25"/>
      <c r="C33" s="26"/>
      <c r="D33" s="12"/>
      <c r="E33" s="13"/>
      <c r="F33" s="11"/>
      <c r="G33" s="14"/>
      <c r="H33" s="1"/>
      <c r="I33" s="1"/>
      <c r="J33" s="1"/>
      <c r="K33" s="1"/>
    </row>
    <row r="34" spans="1:11" x14ac:dyDescent="0.2">
      <c r="A34" s="27" t="s">
        <v>152</v>
      </c>
      <c r="B34" s="25">
        <v>396.82490000000001</v>
      </c>
      <c r="C34" s="26" t="s">
        <v>28</v>
      </c>
      <c r="D34" s="12"/>
      <c r="E34" s="13"/>
      <c r="F34" s="11"/>
      <c r="G34" s="14"/>
      <c r="H34" s="1"/>
      <c r="I34" s="1"/>
      <c r="J34" s="1"/>
      <c r="K34" s="1"/>
    </row>
    <row r="35" spans="1:11" x14ac:dyDescent="0.2">
      <c r="A35" s="28"/>
      <c r="B35" s="25">
        <v>41.868000000000002</v>
      </c>
      <c r="C35" s="26" t="s">
        <v>29</v>
      </c>
      <c r="D35" s="12"/>
      <c r="E35" s="13"/>
      <c r="F35" s="11"/>
      <c r="G35" s="14"/>
      <c r="H35" s="1"/>
      <c r="I35" s="1"/>
      <c r="J35" s="1"/>
      <c r="K35" s="1"/>
    </row>
    <row r="36" spans="1:11" x14ac:dyDescent="0.2">
      <c r="A36" s="28"/>
      <c r="B36" s="25">
        <v>11630</v>
      </c>
      <c r="C36" s="26" t="s">
        <v>30</v>
      </c>
      <c r="D36" s="12"/>
      <c r="E36" s="13"/>
      <c r="F36" s="11"/>
      <c r="G36" s="14"/>
      <c r="H36" s="1"/>
      <c r="I36" s="1"/>
      <c r="J36" s="1"/>
      <c r="K36" s="1"/>
    </row>
    <row r="37" spans="1:11" x14ac:dyDescent="0.2">
      <c r="A37" s="28"/>
      <c r="B37" s="25"/>
      <c r="C37" s="26"/>
      <c r="D37" s="12"/>
      <c r="E37" s="13"/>
      <c r="F37" s="11"/>
      <c r="G37" s="14"/>
      <c r="H37" s="1"/>
      <c r="I37" s="1"/>
      <c r="J37" s="1"/>
      <c r="K37" s="1"/>
    </row>
    <row r="38" spans="1:11" x14ac:dyDescent="0.2">
      <c r="A38" s="29" t="s">
        <v>151</v>
      </c>
      <c r="B38" s="30">
        <f>B36/B34</f>
        <v>29.30763669316114</v>
      </c>
      <c r="C38" s="31" t="s">
        <v>30</v>
      </c>
      <c r="D38" s="12"/>
      <c r="E38" s="13"/>
      <c r="F38" s="11"/>
      <c r="G38" s="14"/>
      <c r="H38" s="1"/>
      <c r="I38" s="1"/>
      <c r="J38" s="1"/>
      <c r="K38" s="1"/>
    </row>
    <row r="39" spans="1:11" x14ac:dyDescent="0.2">
      <c r="A39" s="29" t="s">
        <v>150</v>
      </c>
      <c r="B39" s="30">
        <f>B36/B35</f>
        <v>277.77777777777777</v>
      </c>
      <c r="C39" s="31" t="s">
        <v>30</v>
      </c>
      <c r="D39" s="12"/>
      <c r="E39" s="13"/>
      <c r="F39" s="11"/>
      <c r="G39" s="14"/>
      <c r="H39" s="1"/>
      <c r="I39" s="1"/>
      <c r="J39" s="1"/>
      <c r="K39" s="1"/>
    </row>
    <row r="40" spans="1:11" x14ac:dyDescent="0.2">
      <c r="A40" s="9"/>
      <c r="B40" s="10"/>
      <c r="C40" s="11"/>
      <c r="D40" s="12"/>
      <c r="E40" s="13"/>
      <c r="F40" s="11"/>
      <c r="G40" s="14"/>
      <c r="H40" s="1"/>
      <c r="I40" s="1"/>
      <c r="J40" s="1"/>
      <c r="K40" s="1"/>
    </row>
    <row r="41" spans="1:11" x14ac:dyDescent="0.2">
      <c r="A41" s="32"/>
      <c r="B41" s="33"/>
      <c r="C41" s="32"/>
      <c r="D41" s="34"/>
      <c r="E41" s="34"/>
      <c r="F41" s="32"/>
      <c r="G41" s="35"/>
      <c r="H41" s="1"/>
      <c r="I41" s="1"/>
      <c r="J41" s="1"/>
      <c r="K41" s="1"/>
    </row>
    <row r="42" spans="1:11" x14ac:dyDescent="0.2">
      <c r="A42" s="1"/>
      <c r="B42" s="2"/>
      <c r="C42" s="1"/>
      <c r="D42" s="3"/>
      <c r="E42" s="3"/>
      <c r="F42" s="1"/>
      <c r="G42" s="1"/>
      <c r="H42" s="1"/>
      <c r="I42" s="1"/>
      <c r="J42" s="1"/>
      <c r="K42" s="1"/>
    </row>
  </sheetData>
  <sheetProtection password="CF99" sheet="1" objects="1" scenarios="1"/>
  <mergeCells count="4">
    <mergeCell ref="A1:E1"/>
    <mergeCell ref="B5:D5"/>
    <mergeCell ref="E5:G5"/>
    <mergeCell ref="A2:E2"/>
  </mergeCell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39997558519241921"/>
    <pageSetUpPr fitToPage="1"/>
  </sheetPr>
  <dimension ref="A1:AH33"/>
  <sheetViews>
    <sheetView showGridLines="0" zoomScale="80" zoomScaleNormal="80" workbookViewId="0">
      <selection sqref="A1:D1"/>
    </sheetView>
  </sheetViews>
  <sheetFormatPr defaultRowHeight="12.75" x14ac:dyDescent="0.2"/>
  <cols>
    <col min="1" max="1" width="30.7109375" style="4" customWidth="1"/>
    <col min="2" max="2" width="21.85546875" style="4" customWidth="1"/>
    <col min="3" max="5" width="20.7109375" style="4" customWidth="1"/>
    <col min="6" max="6" width="20.7109375" style="4" hidden="1" customWidth="1"/>
    <col min="7" max="7" width="13.7109375" style="4" customWidth="1"/>
    <col min="8" max="8" width="16" style="4" customWidth="1"/>
    <col min="9" max="9" width="13.28515625" style="4" customWidth="1"/>
    <col min="10" max="10" width="12.85546875" style="4" customWidth="1"/>
    <col min="11" max="12" width="10" style="4" customWidth="1"/>
    <col min="13" max="13" width="13.5703125" style="4" customWidth="1"/>
    <col min="14" max="14" width="20.7109375" style="4" customWidth="1"/>
    <col min="15" max="15" width="16.28515625" style="4" customWidth="1"/>
    <col min="16" max="16" width="10" style="4" customWidth="1"/>
    <col min="17" max="17" width="15" style="4" customWidth="1"/>
    <col min="18" max="18" width="11.85546875" style="4" customWidth="1"/>
    <col min="19" max="19" width="10.7109375" style="4" customWidth="1"/>
    <col min="20" max="20" width="8.85546875" style="4" customWidth="1"/>
    <col min="21" max="21" width="8.7109375" style="4" customWidth="1"/>
    <col min="22" max="22" width="13.7109375" style="4" customWidth="1"/>
    <col min="23" max="23" width="19.42578125" style="4" customWidth="1"/>
    <col min="24" max="24" width="13.42578125" style="4" customWidth="1"/>
    <col min="25" max="25" width="9.140625" style="4"/>
    <col min="26" max="26" width="13.140625" style="4" customWidth="1"/>
    <col min="27" max="27" width="10.140625" style="4" customWidth="1"/>
    <col min="28" max="28" width="8.5703125" style="4" customWidth="1"/>
    <col min="29" max="29" width="8.85546875" style="4" customWidth="1"/>
    <col min="30" max="30" width="7.85546875" style="4" customWidth="1"/>
    <col min="31" max="31" width="12.85546875" style="4" customWidth="1"/>
    <col min="32" max="32" width="14.140625" style="4" customWidth="1"/>
    <col min="33" max="33" width="16.28515625" style="4" customWidth="1"/>
    <col min="34" max="221" width="9.140625" style="4"/>
    <col min="222" max="222" width="24.7109375" style="4" customWidth="1"/>
    <col min="223" max="223" width="12.42578125" style="4" customWidth="1"/>
    <col min="224" max="224" width="10.85546875" style="4" customWidth="1"/>
    <col min="225" max="225" width="14.28515625" style="4" customWidth="1"/>
    <col min="226" max="226" width="11.85546875" style="4" customWidth="1"/>
    <col min="227" max="228" width="9.140625" style="4"/>
    <col min="229" max="229" width="21.140625" style="4" bestFit="1" customWidth="1"/>
    <col min="230" max="230" width="24.140625" style="4" customWidth="1"/>
    <col min="231" max="231" width="21" style="4" bestFit="1" customWidth="1"/>
    <col min="232" max="232" width="16.42578125" style="4" bestFit="1" customWidth="1"/>
    <col min="233" max="233" width="15.7109375" style="4" bestFit="1" customWidth="1"/>
    <col min="234" max="234" width="14" style="4" bestFit="1" customWidth="1"/>
    <col min="235" max="235" width="12.85546875" style="4" bestFit="1" customWidth="1"/>
    <col min="236" max="236" width="15.7109375" style="4" bestFit="1" customWidth="1"/>
    <col min="237" max="237" width="18.5703125" style="4" bestFit="1" customWidth="1"/>
    <col min="238" max="238" width="15" style="4" bestFit="1" customWidth="1"/>
    <col min="239" max="239" width="20.140625" style="4" bestFit="1" customWidth="1"/>
    <col min="240" max="240" width="15.85546875" style="4" bestFit="1" customWidth="1"/>
    <col min="241" max="241" width="26" style="4" bestFit="1" customWidth="1"/>
    <col min="242" max="242" width="21.5703125" style="4" bestFit="1" customWidth="1"/>
    <col min="243" max="243" width="22.140625" style="4" bestFit="1" customWidth="1"/>
    <col min="244" max="251" width="22.85546875" style="4" bestFit="1" customWidth="1"/>
    <col min="252" max="252" width="22.140625" style="4" bestFit="1" customWidth="1"/>
    <col min="253" max="254" width="22.140625" style="4" customWidth="1"/>
    <col min="255" max="255" width="21.140625" style="4" bestFit="1" customWidth="1"/>
    <col min="256" max="256" width="24.140625" style="4" customWidth="1"/>
    <col min="257" max="257" width="21" style="4" bestFit="1" customWidth="1"/>
    <col min="258" max="258" width="16.42578125" style="4" bestFit="1" customWidth="1"/>
    <col min="259" max="259" width="15.7109375" style="4" bestFit="1" customWidth="1"/>
    <col min="260" max="260" width="14" style="4" bestFit="1" customWidth="1"/>
    <col min="261" max="261" width="12.85546875" style="4" bestFit="1" customWidth="1"/>
    <col min="262" max="262" width="15.7109375" style="4" bestFit="1" customWidth="1"/>
    <col min="263" max="263" width="18.5703125" style="4" bestFit="1" customWidth="1"/>
    <col min="264" max="264" width="15" style="4" bestFit="1" customWidth="1"/>
    <col min="265" max="265" width="20.140625" style="4" bestFit="1" customWidth="1"/>
    <col min="266" max="266" width="15.85546875" style="4" bestFit="1" customWidth="1"/>
    <col min="267" max="267" width="26" style="4" bestFit="1" customWidth="1"/>
    <col min="268" max="268" width="21.5703125" style="4" bestFit="1" customWidth="1"/>
    <col min="269" max="269" width="22.140625" style="4" bestFit="1" customWidth="1"/>
    <col min="270" max="277" width="22.85546875" style="4" bestFit="1" customWidth="1"/>
    <col min="278" max="278" width="22.140625" style="4" bestFit="1" customWidth="1"/>
    <col min="279" max="280" width="22.140625" style="4" customWidth="1"/>
    <col min="281" max="281" width="9.140625" style="4"/>
    <col min="282" max="282" width="21.140625" style="4" bestFit="1" customWidth="1"/>
    <col min="283" max="283" width="21" style="4" bestFit="1" customWidth="1"/>
    <col min="284" max="284" width="15.7109375" style="4" bestFit="1" customWidth="1"/>
    <col min="285" max="285" width="14" style="4" bestFit="1" customWidth="1"/>
    <col min="286" max="286" width="12.85546875" style="4" bestFit="1" customWidth="1"/>
    <col min="287" max="287" width="26" style="4" bestFit="1" customWidth="1"/>
    <col min="288" max="289" width="22.140625" style="4" customWidth="1"/>
    <col min="290" max="477" width="9.140625" style="4"/>
    <col min="478" max="478" width="24.7109375" style="4" customWidth="1"/>
    <col min="479" max="479" width="12.42578125" style="4" customWidth="1"/>
    <col min="480" max="480" width="10.85546875" style="4" customWidth="1"/>
    <col min="481" max="481" width="14.28515625" style="4" customWidth="1"/>
    <col min="482" max="482" width="11.85546875" style="4" customWidth="1"/>
    <col min="483" max="484" width="9.140625" style="4"/>
    <col min="485" max="485" width="21.140625" style="4" bestFit="1" customWidth="1"/>
    <col min="486" max="486" width="24.140625" style="4" customWidth="1"/>
    <col min="487" max="487" width="21" style="4" bestFit="1" customWidth="1"/>
    <col min="488" max="488" width="16.42578125" style="4" bestFit="1" customWidth="1"/>
    <col min="489" max="489" width="15.7109375" style="4" bestFit="1" customWidth="1"/>
    <col min="490" max="490" width="14" style="4" bestFit="1" customWidth="1"/>
    <col min="491" max="491" width="12.85546875" style="4" bestFit="1" customWidth="1"/>
    <col min="492" max="492" width="15.7109375" style="4" bestFit="1" customWidth="1"/>
    <col min="493" max="493" width="18.5703125" style="4" bestFit="1" customWidth="1"/>
    <col min="494" max="494" width="15" style="4" bestFit="1" customWidth="1"/>
    <col min="495" max="495" width="20.140625" style="4" bestFit="1" customWidth="1"/>
    <col min="496" max="496" width="15.85546875" style="4" bestFit="1" customWidth="1"/>
    <col min="497" max="497" width="26" style="4" bestFit="1" customWidth="1"/>
    <col min="498" max="498" width="21.5703125" style="4" bestFit="1" customWidth="1"/>
    <col min="499" max="499" width="22.140625" style="4" bestFit="1" customWidth="1"/>
    <col min="500" max="507" width="22.85546875" style="4" bestFit="1" customWidth="1"/>
    <col min="508" max="508" width="22.140625" style="4" bestFit="1" customWidth="1"/>
    <col min="509" max="510" width="22.140625" style="4" customWidth="1"/>
    <col min="511" max="511" width="21.140625" style="4" bestFit="1" customWidth="1"/>
    <col min="512" max="512" width="24.140625" style="4" customWidth="1"/>
    <col min="513" max="513" width="21" style="4" bestFit="1" customWidth="1"/>
    <col min="514" max="514" width="16.42578125" style="4" bestFit="1" customWidth="1"/>
    <col min="515" max="515" width="15.7109375" style="4" bestFit="1" customWidth="1"/>
    <col min="516" max="516" width="14" style="4" bestFit="1" customWidth="1"/>
    <col min="517" max="517" width="12.85546875" style="4" bestFit="1" customWidth="1"/>
    <col min="518" max="518" width="15.7109375" style="4" bestFit="1" customWidth="1"/>
    <col min="519" max="519" width="18.5703125" style="4" bestFit="1" customWidth="1"/>
    <col min="520" max="520" width="15" style="4" bestFit="1" customWidth="1"/>
    <col min="521" max="521" width="20.140625" style="4" bestFit="1" customWidth="1"/>
    <col min="522" max="522" width="15.85546875" style="4" bestFit="1" customWidth="1"/>
    <col min="523" max="523" width="26" style="4" bestFit="1" customWidth="1"/>
    <col min="524" max="524" width="21.5703125" style="4" bestFit="1" customWidth="1"/>
    <col min="525" max="525" width="22.140625" style="4" bestFit="1" customWidth="1"/>
    <col min="526" max="533" width="22.85546875" style="4" bestFit="1" customWidth="1"/>
    <col min="534" max="534" width="22.140625" style="4" bestFit="1" customWidth="1"/>
    <col min="535" max="536" width="22.140625" style="4" customWidth="1"/>
    <col min="537" max="537" width="9.140625" style="4"/>
    <col min="538" max="538" width="21.140625" style="4" bestFit="1" customWidth="1"/>
    <col min="539" max="539" width="21" style="4" bestFit="1" customWidth="1"/>
    <col min="540" max="540" width="15.7109375" style="4" bestFit="1" customWidth="1"/>
    <col min="541" max="541" width="14" style="4" bestFit="1" customWidth="1"/>
    <col min="542" max="542" width="12.85546875" style="4" bestFit="1" customWidth="1"/>
    <col min="543" max="543" width="26" style="4" bestFit="1" customWidth="1"/>
    <col min="544" max="545" width="22.140625" style="4" customWidth="1"/>
    <col min="546" max="733" width="9.140625" style="4"/>
    <col min="734" max="734" width="24.7109375" style="4" customWidth="1"/>
    <col min="735" max="735" width="12.42578125" style="4" customWidth="1"/>
    <col min="736" max="736" width="10.85546875" style="4" customWidth="1"/>
    <col min="737" max="737" width="14.28515625" style="4" customWidth="1"/>
    <col min="738" max="738" width="11.85546875" style="4" customWidth="1"/>
    <col min="739" max="740" width="9.140625" style="4"/>
    <col min="741" max="741" width="21.140625" style="4" bestFit="1" customWidth="1"/>
    <col min="742" max="742" width="24.140625" style="4" customWidth="1"/>
    <col min="743" max="743" width="21" style="4" bestFit="1" customWidth="1"/>
    <col min="744" max="744" width="16.42578125" style="4" bestFit="1" customWidth="1"/>
    <col min="745" max="745" width="15.7109375" style="4" bestFit="1" customWidth="1"/>
    <col min="746" max="746" width="14" style="4" bestFit="1" customWidth="1"/>
    <col min="747" max="747" width="12.85546875" style="4" bestFit="1" customWidth="1"/>
    <col min="748" max="748" width="15.7109375" style="4" bestFit="1" customWidth="1"/>
    <col min="749" max="749" width="18.5703125" style="4" bestFit="1" customWidth="1"/>
    <col min="750" max="750" width="15" style="4" bestFit="1" customWidth="1"/>
    <col min="751" max="751" width="20.140625" style="4" bestFit="1" customWidth="1"/>
    <col min="752" max="752" width="15.85546875" style="4" bestFit="1" customWidth="1"/>
    <col min="753" max="753" width="26" style="4" bestFit="1" customWidth="1"/>
    <col min="754" max="754" width="21.5703125" style="4" bestFit="1" customWidth="1"/>
    <col min="755" max="755" width="22.140625" style="4" bestFit="1" customWidth="1"/>
    <col min="756" max="763" width="22.85546875" style="4" bestFit="1" customWidth="1"/>
    <col min="764" max="764" width="22.140625" style="4" bestFit="1" customWidth="1"/>
    <col min="765" max="766" width="22.140625" style="4" customWidth="1"/>
    <col min="767" max="767" width="21.140625" style="4" bestFit="1" customWidth="1"/>
    <col min="768" max="768" width="24.140625" style="4" customWidth="1"/>
    <col min="769" max="769" width="21" style="4" bestFit="1" customWidth="1"/>
    <col min="770" max="770" width="16.42578125" style="4" bestFit="1" customWidth="1"/>
    <col min="771" max="771" width="15.7109375" style="4" bestFit="1" customWidth="1"/>
    <col min="772" max="772" width="14" style="4" bestFit="1" customWidth="1"/>
    <col min="773" max="773" width="12.85546875" style="4" bestFit="1" customWidth="1"/>
    <col min="774" max="774" width="15.7109375" style="4" bestFit="1" customWidth="1"/>
    <col min="775" max="775" width="18.5703125" style="4" bestFit="1" customWidth="1"/>
    <col min="776" max="776" width="15" style="4" bestFit="1" customWidth="1"/>
    <col min="777" max="777" width="20.140625" style="4" bestFit="1" customWidth="1"/>
    <col min="778" max="778" width="15.85546875" style="4" bestFit="1" customWidth="1"/>
    <col min="779" max="779" width="26" style="4" bestFit="1" customWidth="1"/>
    <col min="780" max="780" width="21.5703125" style="4" bestFit="1" customWidth="1"/>
    <col min="781" max="781" width="22.140625" style="4" bestFit="1" customWidth="1"/>
    <col min="782" max="789" width="22.85546875" style="4" bestFit="1" customWidth="1"/>
    <col min="790" max="790" width="22.140625" style="4" bestFit="1" customWidth="1"/>
    <col min="791" max="792" width="22.140625" style="4" customWidth="1"/>
    <col min="793" max="793" width="9.140625" style="4"/>
    <col min="794" max="794" width="21.140625" style="4" bestFit="1" customWidth="1"/>
    <col min="795" max="795" width="21" style="4" bestFit="1" customWidth="1"/>
    <col min="796" max="796" width="15.7109375" style="4" bestFit="1" customWidth="1"/>
    <col min="797" max="797" width="14" style="4" bestFit="1" customWidth="1"/>
    <col min="798" max="798" width="12.85546875" style="4" bestFit="1" customWidth="1"/>
    <col min="799" max="799" width="26" style="4" bestFit="1" customWidth="1"/>
    <col min="800" max="801" width="22.140625" style="4" customWidth="1"/>
    <col min="802" max="989" width="9.140625" style="4"/>
    <col min="990" max="990" width="24.7109375" style="4" customWidth="1"/>
    <col min="991" max="991" width="12.42578125" style="4" customWidth="1"/>
    <col min="992" max="992" width="10.85546875" style="4" customWidth="1"/>
    <col min="993" max="993" width="14.28515625" style="4" customWidth="1"/>
    <col min="994" max="994" width="11.85546875" style="4" customWidth="1"/>
    <col min="995" max="996" width="9.140625" style="4"/>
    <col min="997" max="997" width="21.140625" style="4" bestFit="1" customWidth="1"/>
    <col min="998" max="998" width="24.140625" style="4" customWidth="1"/>
    <col min="999" max="999" width="21" style="4" bestFit="1" customWidth="1"/>
    <col min="1000" max="1000" width="16.42578125" style="4" bestFit="1" customWidth="1"/>
    <col min="1001" max="1001" width="15.7109375" style="4" bestFit="1" customWidth="1"/>
    <col min="1002" max="1002" width="14" style="4" bestFit="1" customWidth="1"/>
    <col min="1003" max="1003" width="12.85546875" style="4" bestFit="1" customWidth="1"/>
    <col min="1004" max="1004" width="15.7109375" style="4" bestFit="1" customWidth="1"/>
    <col min="1005" max="1005" width="18.5703125" style="4" bestFit="1" customWidth="1"/>
    <col min="1006" max="1006" width="15" style="4" bestFit="1" customWidth="1"/>
    <col min="1007" max="1007" width="20.140625" style="4" bestFit="1" customWidth="1"/>
    <col min="1008" max="1008" width="15.85546875" style="4" bestFit="1" customWidth="1"/>
    <col min="1009" max="1009" width="26" style="4" bestFit="1" customWidth="1"/>
    <col min="1010" max="1010" width="21.5703125" style="4" bestFit="1" customWidth="1"/>
    <col min="1011" max="1011" width="22.140625" style="4" bestFit="1" customWidth="1"/>
    <col min="1012" max="1019" width="22.85546875" style="4" bestFit="1" customWidth="1"/>
    <col min="1020" max="1020" width="22.140625" style="4" bestFit="1" customWidth="1"/>
    <col min="1021" max="1022" width="22.140625" style="4" customWidth="1"/>
    <col min="1023" max="1023" width="21.140625" style="4" bestFit="1" customWidth="1"/>
    <col min="1024" max="1024" width="24.140625" style="4" customWidth="1"/>
    <col min="1025" max="1025" width="21" style="4" bestFit="1" customWidth="1"/>
    <col min="1026" max="1026" width="16.42578125" style="4" bestFit="1" customWidth="1"/>
    <col min="1027" max="1027" width="15.7109375" style="4" bestFit="1" customWidth="1"/>
    <col min="1028" max="1028" width="14" style="4" bestFit="1" customWidth="1"/>
    <col min="1029" max="1029" width="12.85546875" style="4" bestFit="1" customWidth="1"/>
    <col min="1030" max="1030" width="15.7109375" style="4" bestFit="1" customWidth="1"/>
    <col min="1031" max="1031" width="18.5703125" style="4" bestFit="1" customWidth="1"/>
    <col min="1032" max="1032" width="15" style="4" bestFit="1" customWidth="1"/>
    <col min="1033" max="1033" width="20.140625" style="4" bestFit="1" customWidth="1"/>
    <col min="1034" max="1034" width="15.85546875" style="4" bestFit="1" customWidth="1"/>
    <col min="1035" max="1035" width="26" style="4" bestFit="1" customWidth="1"/>
    <col min="1036" max="1036" width="21.5703125" style="4" bestFit="1" customWidth="1"/>
    <col min="1037" max="1037" width="22.140625" style="4" bestFit="1" customWidth="1"/>
    <col min="1038" max="1045" width="22.85546875" style="4" bestFit="1" customWidth="1"/>
    <col min="1046" max="1046" width="22.140625" style="4" bestFit="1" customWidth="1"/>
    <col min="1047" max="1048" width="22.140625" style="4" customWidth="1"/>
    <col min="1049" max="1049" width="9.140625" style="4"/>
    <col min="1050" max="1050" width="21.140625" style="4" bestFit="1" customWidth="1"/>
    <col min="1051" max="1051" width="21" style="4" bestFit="1" customWidth="1"/>
    <col min="1052" max="1052" width="15.7109375" style="4" bestFit="1" customWidth="1"/>
    <col min="1053" max="1053" width="14" style="4" bestFit="1" customWidth="1"/>
    <col min="1054" max="1054" width="12.85546875" style="4" bestFit="1" customWidth="1"/>
    <col min="1055" max="1055" width="26" style="4" bestFit="1" customWidth="1"/>
    <col min="1056" max="1057" width="22.140625" style="4" customWidth="1"/>
    <col min="1058" max="1245" width="9.140625" style="4"/>
    <col min="1246" max="1246" width="24.7109375" style="4" customWidth="1"/>
    <col min="1247" max="1247" width="12.42578125" style="4" customWidth="1"/>
    <col min="1248" max="1248" width="10.85546875" style="4" customWidth="1"/>
    <col min="1249" max="1249" width="14.28515625" style="4" customWidth="1"/>
    <col min="1250" max="1250" width="11.85546875" style="4" customWidth="1"/>
    <col min="1251" max="1252" width="9.140625" style="4"/>
    <col min="1253" max="1253" width="21.140625" style="4" bestFit="1" customWidth="1"/>
    <col min="1254" max="1254" width="24.140625" style="4" customWidth="1"/>
    <col min="1255" max="1255" width="21" style="4" bestFit="1" customWidth="1"/>
    <col min="1256" max="1256" width="16.42578125" style="4" bestFit="1" customWidth="1"/>
    <col min="1257" max="1257" width="15.7109375" style="4" bestFit="1" customWidth="1"/>
    <col min="1258" max="1258" width="14" style="4" bestFit="1" customWidth="1"/>
    <col min="1259" max="1259" width="12.85546875" style="4" bestFit="1" customWidth="1"/>
    <col min="1260" max="1260" width="15.7109375" style="4" bestFit="1" customWidth="1"/>
    <col min="1261" max="1261" width="18.5703125" style="4" bestFit="1" customWidth="1"/>
    <col min="1262" max="1262" width="15" style="4" bestFit="1" customWidth="1"/>
    <col min="1263" max="1263" width="20.140625" style="4" bestFit="1" customWidth="1"/>
    <col min="1264" max="1264" width="15.85546875" style="4" bestFit="1" customWidth="1"/>
    <col min="1265" max="1265" width="26" style="4" bestFit="1" customWidth="1"/>
    <col min="1266" max="1266" width="21.5703125" style="4" bestFit="1" customWidth="1"/>
    <col min="1267" max="1267" width="22.140625" style="4" bestFit="1" customWidth="1"/>
    <col min="1268" max="1275" width="22.85546875" style="4" bestFit="1" customWidth="1"/>
    <col min="1276" max="1276" width="22.140625" style="4" bestFit="1" customWidth="1"/>
    <col min="1277" max="1278" width="22.140625" style="4" customWidth="1"/>
    <col min="1279" max="1279" width="21.140625" style="4" bestFit="1" customWidth="1"/>
    <col min="1280" max="1280" width="24.140625" style="4" customWidth="1"/>
    <col min="1281" max="1281" width="21" style="4" bestFit="1" customWidth="1"/>
    <col min="1282" max="1282" width="16.42578125" style="4" bestFit="1" customWidth="1"/>
    <col min="1283" max="1283" width="15.7109375" style="4" bestFit="1" customWidth="1"/>
    <col min="1284" max="1284" width="14" style="4" bestFit="1" customWidth="1"/>
    <col min="1285" max="1285" width="12.85546875" style="4" bestFit="1" customWidth="1"/>
    <col min="1286" max="1286" width="15.7109375" style="4" bestFit="1" customWidth="1"/>
    <col min="1287" max="1287" width="18.5703125" style="4" bestFit="1" customWidth="1"/>
    <col min="1288" max="1288" width="15" style="4" bestFit="1" customWidth="1"/>
    <col min="1289" max="1289" width="20.140625" style="4" bestFit="1" customWidth="1"/>
    <col min="1290" max="1290" width="15.85546875" style="4" bestFit="1" customWidth="1"/>
    <col min="1291" max="1291" width="26" style="4" bestFit="1" customWidth="1"/>
    <col min="1292" max="1292" width="21.5703125" style="4" bestFit="1" customWidth="1"/>
    <col min="1293" max="1293" width="22.140625" style="4" bestFit="1" customWidth="1"/>
    <col min="1294" max="1301" width="22.85546875" style="4" bestFit="1" customWidth="1"/>
    <col min="1302" max="1302" width="22.140625" style="4" bestFit="1" customWidth="1"/>
    <col min="1303" max="1304" width="22.140625" style="4" customWidth="1"/>
    <col min="1305" max="1305" width="9.140625" style="4"/>
    <col min="1306" max="1306" width="21.140625" style="4" bestFit="1" customWidth="1"/>
    <col min="1307" max="1307" width="21" style="4" bestFit="1" customWidth="1"/>
    <col min="1308" max="1308" width="15.7109375" style="4" bestFit="1" customWidth="1"/>
    <col min="1309" max="1309" width="14" style="4" bestFit="1" customWidth="1"/>
    <col min="1310" max="1310" width="12.85546875" style="4" bestFit="1" customWidth="1"/>
    <col min="1311" max="1311" width="26" style="4" bestFit="1" customWidth="1"/>
    <col min="1312" max="1313" width="22.140625" style="4" customWidth="1"/>
    <col min="1314" max="1501" width="9.140625" style="4"/>
    <col min="1502" max="1502" width="24.7109375" style="4" customWidth="1"/>
    <col min="1503" max="1503" width="12.42578125" style="4" customWidth="1"/>
    <col min="1504" max="1504" width="10.85546875" style="4" customWidth="1"/>
    <col min="1505" max="1505" width="14.28515625" style="4" customWidth="1"/>
    <col min="1506" max="1506" width="11.85546875" style="4" customWidth="1"/>
    <col min="1507" max="1508" width="9.140625" style="4"/>
    <col min="1509" max="1509" width="21.140625" style="4" bestFit="1" customWidth="1"/>
    <col min="1510" max="1510" width="24.140625" style="4" customWidth="1"/>
    <col min="1511" max="1511" width="21" style="4" bestFit="1" customWidth="1"/>
    <col min="1512" max="1512" width="16.42578125" style="4" bestFit="1" customWidth="1"/>
    <col min="1513" max="1513" width="15.7109375" style="4" bestFit="1" customWidth="1"/>
    <col min="1514" max="1514" width="14" style="4" bestFit="1" customWidth="1"/>
    <col min="1515" max="1515" width="12.85546875" style="4" bestFit="1" customWidth="1"/>
    <col min="1516" max="1516" width="15.7109375" style="4" bestFit="1" customWidth="1"/>
    <col min="1517" max="1517" width="18.5703125" style="4" bestFit="1" customWidth="1"/>
    <col min="1518" max="1518" width="15" style="4" bestFit="1" customWidth="1"/>
    <col min="1519" max="1519" width="20.140625" style="4" bestFit="1" customWidth="1"/>
    <col min="1520" max="1520" width="15.85546875" style="4" bestFit="1" customWidth="1"/>
    <col min="1521" max="1521" width="26" style="4" bestFit="1" customWidth="1"/>
    <col min="1522" max="1522" width="21.5703125" style="4" bestFit="1" customWidth="1"/>
    <col min="1523" max="1523" width="22.140625" style="4" bestFit="1" customWidth="1"/>
    <col min="1524" max="1531" width="22.85546875" style="4" bestFit="1" customWidth="1"/>
    <col min="1532" max="1532" width="22.140625" style="4" bestFit="1" customWidth="1"/>
    <col min="1533" max="1534" width="22.140625" style="4" customWidth="1"/>
    <col min="1535" max="1535" width="21.140625" style="4" bestFit="1" customWidth="1"/>
    <col min="1536" max="1536" width="24.140625" style="4" customWidth="1"/>
    <col min="1537" max="1537" width="21" style="4" bestFit="1" customWidth="1"/>
    <col min="1538" max="1538" width="16.42578125" style="4" bestFit="1" customWidth="1"/>
    <col min="1539" max="1539" width="15.7109375" style="4" bestFit="1" customWidth="1"/>
    <col min="1540" max="1540" width="14" style="4" bestFit="1" customWidth="1"/>
    <col min="1541" max="1541" width="12.85546875" style="4" bestFit="1" customWidth="1"/>
    <col min="1542" max="1542" width="15.7109375" style="4" bestFit="1" customWidth="1"/>
    <col min="1543" max="1543" width="18.5703125" style="4" bestFit="1" customWidth="1"/>
    <col min="1544" max="1544" width="15" style="4" bestFit="1" customWidth="1"/>
    <col min="1545" max="1545" width="20.140625" style="4" bestFit="1" customWidth="1"/>
    <col min="1546" max="1546" width="15.85546875" style="4" bestFit="1" customWidth="1"/>
    <col min="1547" max="1547" width="26" style="4" bestFit="1" customWidth="1"/>
    <col min="1548" max="1548" width="21.5703125" style="4" bestFit="1" customWidth="1"/>
    <col min="1549" max="1549" width="22.140625" style="4" bestFit="1" customWidth="1"/>
    <col min="1550" max="1557" width="22.85546875" style="4" bestFit="1" customWidth="1"/>
    <col min="1558" max="1558" width="22.140625" style="4" bestFit="1" customWidth="1"/>
    <col min="1559" max="1560" width="22.140625" style="4" customWidth="1"/>
    <col min="1561" max="1561" width="9.140625" style="4"/>
    <col min="1562" max="1562" width="21.140625" style="4" bestFit="1" customWidth="1"/>
    <col min="1563" max="1563" width="21" style="4" bestFit="1" customWidth="1"/>
    <col min="1564" max="1564" width="15.7109375" style="4" bestFit="1" customWidth="1"/>
    <col min="1565" max="1565" width="14" style="4" bestFit="1" customWidth="1"/>
    <col min="1566" max="1566" width="12.85546875" style="4" bestFit="1" customWidth="1"/>
    <col min="1567" max="1567" width="26" style="4" bestFit="1" customWidth="1"/>
    <col min="1568" max="1569" width="22.140625" style="4" customWidth="1"/>
    <col min="1570" max="1757" width="9.140625" style="4"/>
    <col min="1758" max="1758" width="24.7109375" style="4" customWidth="1"/>
    <col min="1759" max="1759" width="12.42578125" style="4" customWidth="1"/>
    <col min="1760" max="1760" width="10.85546875" style="4" customWidth="1"/>
    <col min="1761" max="1761" width="14.28515625" style="4" customWidth="1"/>
    <col min="1762" max="1762" width="11.85546875" style="4" customWidth="1"/>
    <col min="1763" max="1764" width="9.140625" style="4"/>
    <col min="1765" max="1765" width="21.140625" style="4" bestFit="1" customWidth="1"/>
    <col min="1766" max="1766" width="24.140625" style="4" customWidth="1"/>
    <col min="1767" max="1767" width="21" style="4" bestFit="1" customWidth="1"/>
    <col min="1768" max="1768" width="16.42578125" style="4" bestFit="1" customWidth="1"/>
    <col min="1769" max="1769" width="15.7109375" style="4" bestFit="1" customWidth="1"/>
    <col min="1770" max="1770" width="14" style="4" bestFit="1" customWidth="1"/>
    <col min="1771" max="1771" width="12.85546875" style="4" bestFit="1" customWidth="1"/>
    <col min="1772" max="1772" width="15.7109375" style="4" bestFit="1" customWidth="1"/>
    <col min="1773" max="1773" width="18.5703125" style="4" bestFit="1" customWidth="1"/>
    <col min="1774" max="1774" width="15" style="4" bestFit="1" customWidth="1"/>
    <col min="1775" max="1775" width="20.140625" style="4" bestFit="1" customWidth="1"/>
    <col min="1776" max="1776" width="15.85546875" style="4" bestFit="1" customWidth="1"/>
    <col min="1777" max="1777" width="26" style="4" bestFit="1" customWidth="1"/>
    <col min="1778" max="1778" width="21.5703125" style="4" bestFit="1" customWidth="1"/>
    <col min="1779" max="1779" width="22.140625" style="4" bestFit="1" customWidth="1"/>
    <col min="1780" max="1787" width="22.85546875" style="4" bestFit="1" customWidth="1"/>
    <col min="1788" max="1788" width="22.140625" style="4" bestFit="1" customWidth="1"/>
    <col min="1789" max="1790" width="22.140625" style="4" customWidth="1"/>
    <col min="1791" max="1791" width="21.140625" style="4" bestFit="1" customWidth="1"/>
    <col min="1792" max="1792" width="24.140625" style="4" customWidth="1"/>
    <col min="1793" max="1793" width="21" style="4" bestFit="1" customWidth="1"/>
    <col min="1794" max="1794" width="16.42578125" style="4" bestFit="1" customWidth="1"/>
    <col min="1795" max="1795" width="15.7109375" style="4" bestFit="1" customWidth="1"/>
    <col min="1796" max="1796" width="14" style="4" bestFit="1" customWidth="1"/>
    <col min="1797" max="1797" width="12.85546875" style="4" bestFit="1" customWidth="1"/>
    <col min="1798" max="1798" width="15.7109375" style="4" bestFit="1" customWidth="1"/>
    <col min="1799" max="1799" width="18.5703125" style="4" bestFit="1" customWidth="1"/>
    <col min="1800" max="1800" width="15" style="4" bestFit="1" customWidth="1"/>
    <col min="1801" max="1801" width="20.140625" style="4" bestFit="1" customWidth="1"/>
    <col min="1802" max="1802" width="15.85546875" style="4" bestFit="1" customWidth="1"/>
    <col min="1803" max="1803" width="26" style="4" bestFit="1" customWidth="1"/>
    <col min="1804" max="1804" width="21.5703125" style="4" bestFit="1" customWidth="1"/>
    <col min="1805" max="1805" width="22.140625" style="4" bestFit="1" customWidth="1"/>
    <col min="1806" max="1813" width="22.85546875" style="4" bestFit="1" customWidth="1"/>
    <col min="1814" max="1814" width="22.140625" style="4" bestFit="1" customWidth="1"/>
    <col min="1815" max="1816" width="22.140625" style="4" customWidth="1"/>
    <col min="1817" max="1817" width="9.140625" style="4"/>
    <col min="1818" max="1818" width="21.140625" style="4" bestFit="1" customWidth="1"/>
    <col min="1819" max="1819" width="21" style="4" bestFit="1" customWidth="1"/>
    <col min="1820" max="1820" width="15.7109375" style="4" bestFit="1" customWidth="1"/>
    <col min="1821" max="1821" width="14" style="4" bestFit="1" customWidth="1"/>
    <col min="1822" max="1822" width="12.85546875" style="4" bestFit="1" customWidth="1"/>
    <col min="1823" max="1823" width="26" style="4" bestFit="1" customWidth="1"/>
    <col min="1824" max="1825" width="22.140625" style="4" customWidth="1"/>
    <col min="1826" max="2013" width="9.140625" style="4"/>
    <col min="2014" max="2014" width="24.7109375" style="4" customWidth="1"/>
    <col min="2015" max="2015" width="12.42578125" style="4" customWidth="1"/>
    <col min="2016" max="2016" width="10.85546875" style="4" customWidth="1"/>
    <col min="2017" max="2017" width="14.28515625" style="4" customWidth="1"/>
    <col min="2018" max="2018" width="11.85546875" style="4" customWidth="1"/>
    <col min="2019" max="2020" width="9.140625" style="4"/>
    <col min="2021" max="2021" width="21.140625" style="4" bestFit="1" customWidth="1"/>
    <col min="2022" max="2022" width="24.140625" style="4" customWidth="1"/>
    <col min="2023" max="2023" width="21" style="4" bestFit="1" customWidth="1"/>
    <col min="2024" max="2024" width="16.42578125" style="4" bestFit="1" customWidth="1"/>
    <col min="2025" max="2025" width="15.7109375" style="4" bestFit="1" customWidth="1"/>
    <col min="2026" max="2026" width="14" style="4" bestFit="1" customWidth="1"/>
    <col min="2027" max="2027" width="12.85546875" style="4" bestFit="1" customWidth="1"/>
    <col min="2028" max="2028" width="15.7109375" style="4" bestFit="1" customWidth="1"/>
    <col min="2029" max="2029" width="18.5703125" style="4" bestFit="1" customWidth="1"/>
    <col min="2030" max="2030" width="15" style="4" bestFit="1" customWidth="1"/>
    <col min="2031" max="2031" width="20.140625" style="4" bestFit="1" customWidth="1"/>
    <col min="2032" max="2032" width="15.85546875" style="4" bestFit="1" customWidth="1"/>
    <col min="2033" max="2033" width="26" style="4" bestFit="1" customWidth="1"/>
    <col min="2034" max="2034" width="21.5703125" style="4" bestFit="1" customWidth="1"/>
    <col min="2035" max="2035" width="22.140625" style="4" bestFit="1" customWidth="1"/>
    <col min="2036" max="2043" width="22.85546875" style="4" bestFit="1" customWidth="1"/>
    <col min="2044" max="2044" width="22.140625" style="4" bestFit="1" customWidth="1"/>
    <col min="2045" max="2046" width="22.140625" style="4" customWidth="1"/>
    <col min="2047" max="2047" width="21.140625" style="4" bestFit="1" customWidth="1"/>
    <col min="2048" max="2048" width="24.140625" style="4" customWidth="1"/>
    <col min="2049" max="2049" width="21" style="4" bestFit="1" customWidth="1"/>
    <col min="2050" max="2050" width="16.42578125" style="4" bestFit="1" customWidth="1"/>
    <col min="2051" max="2051" width="15.7109375" style="4" bestFit="1" customWidth="1"/>
    <col min="2052" max="2052" width="14" style="4" bestFit="1" customWidth="1"/>
    <col min="2053" max="2053" width="12.85546875" style="4" bestFit="1" customWidth="1"/>
    <col min="2054" max="2054" width="15.7109375" style="4" bestFit="1" customWidth="1"/>
    <col min="2055" max="2055" width="18.5703125" style="4" bestFit="1" customWidth="1"/>
    <col min="2056" max="2056" width="15" style="4" bestFit="1" customWidth="1"/>
    <col min="2057" max="2057" width="20.140625" style="4" bestFit="1" customWidth="1"/>
    <col min="2058" max="2058" width="15.85546875" style="4" bestFit="1" customWidth="1"/>
    <col min="2059" max="2059" width="26" style="4" bestFit="1" customWidth="1"/>
    <col min="2060" max="2060" width="21.5703125" style="4" bestFit="1" customWidth="1"/>
    <col min="2061" max="2061" width="22.140625" style="4" bestFit="1" customWidth="1"/>
    <col min="2062" max="2069" width="22.85546875" style="4" bestFit="1" customWidth="1"/>
    <col min="2070" max="2070" width="22.140625" style="4" bestFit="1" customWidth="1"/>
    <col min="2071" max="2072" width="22.140625" style="4" customWidth="1"/>
    <col min="2073" max="2073" width="9.140625" style="4"/>
    <col min="2074" max="2074" width="21.140625" style="4" bestFit="1" customWidth="1"/>
    <col min="2075" max="2075" width="21" style="4" bestFit="1" customWidth="1"/>
    <col min="2076" max="2076" width="15.7109375" style="4" bestFit="1" customWidth="1"/>
    <col min="2077" max="2077" width="14" style="4" bestFit="1" customWidth="1"/>
    <col min="2078" max="2078" width="12.85546875" style="4" bestFit="1" customWidth="1"/>
    <col min="2079" max="2079" width="26" style="4" bestFit="1" customWidth="1"/>
    <col min="2080" max="2081" width="22.140625" style="4" customWidth="1"/>
    <col min="2082" max="2269" width="9.140625" style="4"/>
    <col min="2270" max="2270" width="24.7109375" style="4" customWidth="1"/>
    <col min="2271" max="2271" width="12.42578125" style="4" customWidth="1"/>
    <col min="2272" max="2272" width="10.85546875" style="4" customWidth="1"/>
    <col min="2273" max="2273" width="14.28515625" style="4" customWidth="1"/>
    <col min="2274" max="2274" width="11.85546875" style="4" customWidth="1"/>
    <col min="2275" max="2276" width="9.140625" style="4"/>
    <col min="2277" max="2277" width="21.140625" style="4" bestFit="1" customWidth="1"/>
    <col min="2278" max="2278" width="24.140625" style="4" customWidth="1"/>
    <col min="2279" max="2279" width="21" style="4" bestFit="1" customWidth="1"/>
    <col min="2280" max="2280" width="16.42578125" style="4" bestFit="1" customWidth="1"/>
    <col min="2281" max="2281" width="15.7109375" style="4" bestFit="1" customWidth="1"/>
    <col min="2282" max="2282" width="14" style="4" bestFit="1" customWidth="1"/>
    <col min="2283" max="2283" width="12.85546875" style="4" bestFit="1" customWidth="1"/>
    <col min="2284" max="2284" width="15.7109375" style="4" bestFit="1" customWidth="1"/>
    <col min="2285" max="2285" width="18.5703125" style="4" bestFit="1" customWidth="1"/>
    <col min="2286" max="2286" width="15" style="4" bestFit="1" customWidth="1"/>
    <col min="2287" max="2287" width="20.140625" style="4" bestFit="1" customWidth="1"/>
    <col min="2288" max="2288" width="15.85546875" style="4" bestFit="1" customWidth="1"/>
    <col min="2289" max="2289" width="26" style="4" bestFit="1" customWidth="1"/>
    <col min="2290" max="2290" width="21.5703125" style="4" bestFit="1" customWidth="1"/>
    <col min="2291" max="2291" width="22.140625" style="4" bestFit="1" customWidth="1"/>
    <col min="2292" max="2299" width="22.85546875" style="4" bestFit="1" customWidth="1"/>
    <col min="2300" max="2300" width="22.140625" style="4" bestFit="1" customWidth="1"/>
    <col min="2301" max="2302" width="22.140625" style="4" customWidth="1"/>
    <col min="2303" max="2303" width="21.140625" style="4" bestFit="1" customWidth="1"/>
    <col min="2304" max="2304" width="24.140625" style="4" customWidth="1"/>
    <col min="2305" max="2305" width="21" style="4" bestFit="1" customWidth="1"/>
    <col min="2306" max="2306" width="16.42578125" style="4" bestFit="1" customWidth="1"/>
    <col min="2307" max="2307" width="15.7109375" style="4" bestFit="1" customWidth="1"/>
    <col min="2308" max="2308" width="14" style="4" bestFit="1" customWidth="1"/>
    <col min="2309" max="2309" width="12.85546875" style="4" bestFit="1" customWidth="1"/>
    <col min="2310" max="2310" width="15.7109375" style="4" bestFit="1" customWidth="1"/>
    <col min="2311" max="2311" width="18.5703125" style="4" bestFit="1" customWidth="1"/>
    <col min="2312" max="2312" width="15" style="4" bestFit="1" customWidth="1"/>
    <col min="2313" max="2313" width="20.140625" style="4" bestFit="1" customWidth="1"/>
    <col min="2314" max="2314" width="15.85546875" style="4" bestFit="1" customWidth="1"/>
    <col min="2315" max="2315" width="26" style="4" bestFit="1" customWidth="1"/>
    <col min="2316" max="2316" width="21.5703125" style="4" bestFit="1" customWidth="1"/>
    <col min="2317" max="2317" width="22.140625" style="4" bestFit="1" customWidth="1"/>
    <col min="2318" max="2325" width="22.85546875" style="4" bestFit="1" customWidth="1"/>
    <col min="2326" max="2326" width="22.140625" style="4" bestFit="1" customWidth="1"/>
    <col min="2327" max="2328" width="22.140625" style="4" customWidth="1"/>
    <col min="2329" max="2329" width="9.140625" style="4"/>
    <col min="2330" max="2330" width="21.140625" style="4" bestFit="1" customWidth="1"/>
    <col min="2331" max="2331" width="21" style="4" bestFit="1" customWidth="1"/>
    <col min="2332" max="2332" width="15.7109375" style="4" bestFit="1" customWidth="1"/>
    <col min="2333" max="2333" width="14" style="4" bestFit="1" customWidth="1"/>
    <col min="2334" max="2334" width="12.85546875" style="4" bestFit="1" customWidth="1"/>
    <col min="2335" max="2335" width="26" style="4" bestFit="1" customWidth="1"/>
    <col min="2336" max="2337" width="22.140625" style="4" customWidth="1"/>
    <col min="2338" max="2525" width="9.140625" style="4"/>
    <col min="2526" max="2526" width="24.7109375" style="4" customWidth="1"/>
    <col min="2527" max="2527" width="12.42578125" style="4" customWidth="1"/>
    <col min="2528" max="2528" width="10.85546875" style="4" customWidth="1"/>
    <col min="2529" max="2529" width="14.28515625" style="4" customWidth="1"/>
    <col min="2530" max="2530" width="11.85546875" style="4" customWidth="1"/>
    <col min="2531" max="2532" width="9.140625" style="4"/>
    <col min="2533" max="2533" width="21.140625" style="4" bestFit="1" customWidth="1"/>
    <col min="2534" max="2534" width="24.140625" style="4" customWidth="1"/>
    <col min="2535" max="2535" width="21" style="4" bestFit="1" customWidth="1"/>
    <col min="2536" max="2536" width="16.42578125" style="4" bestFit="1" customWidth="1"/>
    <col min="2537" max="2537" width="15.7109375" style="4" bestFit="1" customWidth="1"/>
    <col min="2538" max="2538" width="14" style="4" bestFit="1" customWidth="1"/>
    <col min="2539" max="2539" width="12.85546875" style="4" bestFit="1" customWidth="1"/>
    <col min="2540" max="2540" width="15.7109375" style="4" bestFit="1" customWidth="1"/>
    <col min="2541" max="2541" width="18.5703125" style="4" bestFit="1" customWidth="1"/>
    <col min="2542" max="2542" width="15" style="4" bestFit="1" customWidth="1"/>
    <col min="2543" max="2543" width="20.140625" style="4" bestFit="1" customWidth="1"/>
    <col min="2544" max="2544" width="15.85546875" style="4" bestFit="1" customWidth="1"/>
    <col min="2545" max="2545" width="26" style="4" bestFit="1" customWidth="1"/>
    <col min="2546" max="2546" width="21.5703125" style="4" bestFit="1" customWidth="1"/>
    <col min="2547" max="2547" width="22.140625" style="4" bestFit="1" customWidth="1"/>
    <col min="2548" max="2555" width="22.85546875" style="4" bestFit="1" customWidth="1"/>
    <col min="2556" max="2556" width="22.140625" style="4" bestFit="1" customWidth="1"/>
    <col min="2557" max="2558" width="22.140625" style="4" customWidth="1"/>
    <col min="2559" max="2559" width="21.140625" style="4" bestFit="1" customWidth="1"/>
    <col min="2560" max="2560" width="24.140625" style="4" customWidth="1"/>
    <col min="2561" max="2561" width="21" style="4" bestFit="1" customWidth="1"/>
    <col min="2562" max="2562" width="16.42578125" style="4" bestFit="1" customWidth="1"/>
    <col min="2563" max="2563" width="15.7109375" style="4" bestFit="1" customWidth="1"/>
    <col min="2564" max="2564" width="14" style="4" bestFit="1" customWidth="1"/>
    <col min="2565" max="2565" width="12.85546875" style="4" bestFit="1" customWidth="1"/>
    <col min="2566" max="2566" width="15.7109375" style="4" bestFit="1" customWidth="1"/>
    <col min="2567" max="2567" width="18.5703125" style="4" bestFit="1" customWidth="1"/>
    <col min="2568" max="2568" width="15" style="4" bestFit="1" customWidth="1"/>
    <col min="2569" max="2569" width="20.140625" style="4" bestFit="1" customWidth="1"/>
    <col min="2570" max="2570" width="15.85546875" style="4" bestFit="1" customWidth="1"/>
    <col min="2571" max="2571" width="26" style="4" bestFit="1" customWidth="1"/>
    <col min="2572" max="2572" width="21.5703125" style="4" bestFit="1" customWidth="1"/>
    <col min="2573" max="2573" width="22.140625" style="4" bestFit="1" customWidth="1"/>
    <col min="2574" max="2581" width="22.85546875" style="4" bestFit="1" customWidth="1"/>
    <col min="2582" max="2582" width="22.140625" style="4" bestFit="1" customWidth="1"/>
    <col min="2583" max="2584" width="22.140625" style="4" customWidth="1"/>
    <col min="2585" max="2585" width="9.140625" style="4"/>
    <col min="2586" max="2586" width="21.140625" style="4" bestFit="1" customWidth="1"/>
    <col min="2587" max="2587" width="21" style="4" bestFit="1" customWidth="1"/>
    <col min="2588" max="2588" width="15.7109375" style="4" bestFit="1" customWidth="1"/>
    <col min="2589" max="2589" width="14" style="4" bestFit="1" customWidth="1"/>
    <col min="2590" max="2590" width="12.85546875" style="4" bestFit="1" customWidth="1"/>
    <col min="2591" max="2591" width="26" style="4" bestFit="1" customWidth="1"/>
    <col min="2592" max="2593" width="22.140625" style="4" customWidth="1"/>
    <col min="2594" max="2781" width="9.140625" style="4"/>
    <col min="2782" max="2782" width="24.7109375" style="4" customWidth="1"/>
    <col min="2783" max="2783" width="12.42578125" style="4" customWidth="1"/>
    <col min="2784" max="2784" width="10.85546875" style="4" customWidth="1"/>
    <col min="2785" max="2785" width="14.28515625" style="4" customWidth="1"/>
    <col min="2786" max="2786" width="11.85546875" style="4" customWidth="1"/>
    <col min="2787" max="2788" width="9.140625" style="4"/>
    <col min="2789" max="2789" width="21.140625" style="4" bestFit="1" customWidth="1"/>
    <col min="2790" max="2790" width="24.140625" style="4" customWidth="1"/>
    <col min="2791" max="2791" width="21" style="4" bestFit="1" customWidth="1"/>
    <col min="2792" max="2792" width="16.42578125" style="4" bestFit="1" customWidth="1"/>
    <col min="2793" max="2793" width="15.7109375" style="4" bestFit="1" customWidth="1"/>
    <col min="2794" max="2794" width="14" style="4" bestFit="1" customWidth="1"/>
    <col min="2795" max="2795" width="12.85546875" style="4" bestFit="1" customWidth="1"/>
    <col min="2796" max="2796" width="15.7109375" style="4" bestFit="1" customWidth="1"/>
    <col min="2797" max="2797" width="18.5703125" style="4" bestFit="1" customWidth="1"/>
    <col min="2798" max="2798" width="15" style="4" bestFit="1" customWidth="1"/>
    <col min="2799" max="2799" width="20.140625" style="4" bestFit="1" customWidth="1"/>
    <col min="2800" max="2800" width="15.85546875" style="4" bestFit="1" customWidth="1"/>
    <col min="2801" max="2801" width="26" style="4" bestFit="1" customWidth="1"/>
    <col min="2802" max="2802" width="21.5703125" style="4" bestFit="1" customWidth="1"/>
    <col min="2803" max="2803" width="22.140625" style="4" bestFit="1" customWidth="1"/>
    <col min="2804" max="2811" width="22.85546875" style="4" bestFit="1" customWidth="1"/>
    <col min="2812" max="2812" width="22.140625" style="4" bestFit="1" customWidth="1"/>
    <col min="2813" max="2814" width="22.140625" style="4" customWidth="1"/>
    <col min="2815" max="2815" width="21.140625" style="4" bestFit="1" customWidth="1"/>
    <col min="2816" max="2816" width="24.140625" style="4" customWidth="1"/>
    <col min="2817" max="2817" width="21" style="4" bestFit="1" customWidth="1"/>
    <col min="2818" max="2818" width="16.42578125" style="4" bestFit="1" customWidth="1"/>
    <col min="2819" max="2819" width="15.7109375" style="4" bestFit="1" customWidth="1"/>
    <col min="2820" max="2820" width="14" style="4" bestFit="1" customWidth="1"/>
    <col min="2821" max="2821" width="12.85546875" style="4" bestFit="1" customWidth="1"/>
    <col min="2822" max="2822" width="15.7109375" style="4" bestFit="1" customWidth="1"/>
    <col min="2823" max="2823" width="18.5703125" style="4" bestFit="1" customWidth="1"/>
    <col min="2824" max="2824" width="15" style="4" bestFit="1" customWidth="1"/>
    <col min="2825" max="2825" width="20.140625" style="4" bestFit="1" customWidth="1"/>
    <col min="2826" max="2826" width="15.85546875" style="4" bestFit="1" customWidth="1"/>
    <col min="2827" max="2827" width="26" style="4" bestFit="1" customWidth="1"/>
    <col min="2828" max="2828" width="21.5703125" style="4" bestFit="1" customWidth="1"/>
    <col min="2829" max="2829" width="22.140625" style="4" bestFit="1" customWidth="1"/>
    <col min="2830" max="2837" width="22.85546875" style="4" bestFit="1" customWidth="1"/>
    <col min="2838" max="2838" width="22.140625" style="4" bestFit="1" customWidth="1"/>
    <col min="2839" max="2840" width="22.140625" style="4" customWidth="1"/>
    <col min="2841" max="2841" width="9.140625" style="4"/>
    <col min="2842" max="2842" width="21.140625" style="4" bestFit="1" customWidth="1"/>
    <col min="2843" max="2843" width="21" style="4" bestFit="1" customWidth="1"/>
    <col min="2844" max="2844" width="15.7109375" style="4" bestFit="1" customWidth="1"/>
    <col min="2845" max="2845" width="14" style="4" bestFit="1" customWidth="1"/>
    <col min="2846" max="2846" width="12.85546875" style="4" bestFit="1" customWidth="1"/>
    <col min="2847" max="2847" width="26" style="4" bestFit="1" customWidth="1"/>
    <col min="2848" max="2849" width="22.140625" style="4" customWidth="1"/>
    <col min="2850" max="3037" width="9.140625" style="4"/>
    <col min="3038" max="3038" width="24.7109375" style="4" customWidth="1"/>
    <col min="3039" max="3039" width="12.42578125" style="4" customWidth="1"/>
    <col min="3040" max="3040" width="10.85546875" style="4" customWidth="1"/>
    <col min="3041" max="3041" width="14.28515625" style="4" customWidth="1"/>
    <col min="3042" max="3042" width="11.85546875" style="4" customWidth="1"/>
    <col min="3043" max="3044" width="9.140625" style="4"/>
    <col min="3045" max="3045" width="21.140625" style="4" bestFit="1" customWidth="1"/>
    <col min="3046" max="3046" width="24.140625" style="4" customWidth="1"/>
    <col min="3047" max="3047" width="21" style="4" bestFit="1" customWidth="1"/>
    <col min="3048" max="3048" width="16.42578125" style="4" bestFit="1" customWidth="1"/>
    <col min="3049" max="3049" width="15.7109375" style="4" bestFit="1" customWidth="1"/>
    <col min="3050" max="3050" width="14" style="4" bestFit="1" customWidth="1"/>
    <col min="3051" max="3051" width="12.85546875" style="4" bestFit="1" customWidth="1"/>
    <col min="3052" max="3052" width="15.7109375" style="4" bestFit="1" customWidth="1"/>
    <col min="3053" max="3053" width="18.5703125" style="4" bestFit="1" customWidth="1"/>
    <col min="3054" max="3054" width="15" style="4" bestFit="1" customWidth="1"/>
    <col min="3055" max="3055" width="20.140625" style="4" bestFit="1" customWidth="1"/>
    <col min="3056" max="3056" width="15.85546875" style="4" bestFit="1" customWidth="1"/>
    <col min="3057" max="3057" width="26" style="4" bestFit="1" customWidth="1"/>
    <col min="3058" max="3058" width="21.5703125" style="4" bestFit="1" customWidth="1"/>
    <col min="3059" max="3059" width="22.140625" style="4" bestFit="1" customWidth="1"/>
    <col min="3060" max="3067" width="22.85546875" style="4" bestFit="1" customWidth="1"/>
    <col min="3068" max="3068" width="22.140625" style="4" bestFit="1" customWidth="1"/>
    <col min="3069" max="3070" width="22.140625" style="4" customWidth="1"/>
    <col min="3071" max="3071" width="21.140625" style="4" bestFit="1" customWidth="1"/>
    <col min="3072" max="3072" width="24.140625" style="4" customWidth="1"/>
    <col min="3073" max="3073" width="21" style="4" bestFit="1" customWidth="1"/>
    <col min="3074" max="3074" width="16.42578125" style="4" bestFit="1" customWidth="1"/>
    <col min="3075" max="3075" width="15.7109375" style="4" bestFit="1" customWidth="1"/>
    <col min="3076" max="3076" width="14" style="4" bestFit="1" customWidth="1"/>
    <col min="3077" max="3077" width="12.85546875" style="4" bestFit="1" customWidth="1"/>
    <col min="3078" max="3078" width="15.7109375" style="4" bestFit="1" customWidth="1"/>
    <col min="3079" max="3079" width="18.5703125" style="4" bestFit="1" customWidth="1"/>
    <col min="3080" max="3080" width="15" style="4" bestFit="1" customWidth="1"/>
    <col min="3081" max="3081" width="20.140625" style="4" bestFit="1" customWidth="1"/>
    <col min="3082" max="3082" width="15.85546875" style="4" bestFit="1" customWidth="1"/>
    <col min="3083" max="3083" width="26" style="4" bestFit="1" customWidth="1"/>
    <col min="3084" max="3084" width="21.5703125" style="4" bestFit="1" customWidth="1"/>
    <col min="3085" max="3085" width="22.140625" style="4" bestFit="1" customWidth="1"/>
    <col min="3086" max="3093" width="22.85546875" style="4" bestFit="1" customWidth="1"/>
    <col min="3094" max="3094" width="22.140625" style="4" bestFit="1" customWidth="1"/>
    <col min="3095" max="3096" width="22.140625" style="4" customWidth="1"/>
    <col min="3097" max="3097" width="9.140625" style="4"/>
    <col min="3098" max="3098" width="21.140625" style="4" bestFit="1" customWidth="1"/>
    <col min="3099" max="3099" width="21" style="4" bestFit="1" customWidth="1"/>
    <col min="3100" max="3100" width="15.7109375" style="4" bestFit="1" customWidth="1"/>
    <col min="3101" max="3101" width="14" style="4" bestFit="1" customWidth="1"/>
    <col min="3102" max="3102" width="12.85546875" style="4" bestFit="1" customWidth="1"/>
    <col min="3103" max="3103" width="26" style="4" bestFit="1" customWidth="1"/>
    <col min="3104" max="3105" width="22.140625" style="4" customWidth="1"/>
    <col min="3106" max="3293" width="9.140625" style="4"/>
    <col min="3294" max="3294" width="24.7109375" style="4" customWidth="1"/>
    <col min="3295" max="3295" width="12.42578125" style="4" customWidth="1"/>
    <col min="3296" max="3296" width="10.85546875" style="4" customWidth="1"/>
    <col min="3297" max="3297" width="14.28515625" style="4" customWidth="1"/>
    <col min="3298" max="3298" width="11.85546875" style="4" customWidth="1"/>
    <col min="3299" max="3300" width="9.140625" style="4"/>
    <col min="3301" max="3301" width="21.140625" style="4" bestFit="1" customWidth="1"/>
    <col min="3302" max="3302" width="24.140625" style="4" customWidth="1"/>
    <col min="3303" max="3303" width="21" style="4" bestFit="1" customWidth="1"/>
    <col min="3304" max="3304" width="16.42578125" style="4" bestFit="1" customWidth="1"/>
    <col min="3305" max="3305" width="15.7109375" style="4" bestFit="1" customWidth="1"/>
    <col min="3306" max="3306" width="14" style="4" bestFit="1" customWidth="1"/>
    <col min="3307" max="3307" width="12.85546875" style="4" bestFit="1" customWidth="1"/>
    <col min="3308" max="3308" width="15.7109375" style="4" bestFit="1" customWidth="1"/>
    <col min="3309" max="3309" width="18.5703125" style="4" bestFit="1" customWidth="1"/>
    <col min="3310" max="3310" width="15" style="4" bestFit="1" customWidth="1"/>
    <col min="3311" max="3311" width="20.140625" style="4" bestFit="1" customWidth="1"/>
    <col min="3312" max="3312" width="15.85546875" style="4" bestFit="1" customWidth="1"/>
    <col min="3313" max="3313" width="26" style="4" bestFit="1" customWidth="1"/>
    <col min="3314" max="3314" width="21.5703125" style="4" bestFit="1" customWidth="1"/>
    <col min="3315" max="3315" width="22.140625" style="4" bestFit="1" customWidth="1"/>
    <col min="3316" max="3323" width="22.85546875" style="4" bestFit="1" customWidth="1"/>
    <col min="3324" max="3324" width="22.140625" style="4" bestFit="1" customWidth="1"/>
    <col min="3325" max="3326" width="22.140625" style="4" customWidth="1"/>
    <col min="3327" max="3327" width="21.140625" style="4" bestFit="1" customWidth="1"/>
    <col min="3328" max="3328" width="24.140625" style="4" customWidth="1"/>
    <col min="3329" max="3329" width="21" style="4" bestFit="1" customWidth="1"/>
    <col min="3330" max="3330" width="16.42578125" style="4" bestFit="1" customWidth="1"/>
    <col min="3331" max="3331" width="15.7109375" style="4" bestFit="1" customWidth="1"/>
    <col min="3332" max="3332" width="14" style="4" bestFit="1" customWidth="1"/>
    <col min="3333" max="3333" width="12.85546875" style="4" bestFit="1" customWidth="1"/>
    <col min="3334" max="3334" width="15.7109375" style="4" bestFit="1" customWidth="1"/>
    <col min="3335" max="3335" width="18.5703125" style="4" bestFit="1" customWidth="1"/>
    <col min="3336" max="3336" width="15" style="4" bestFit="1" customWidth="1"/>
    <col min="3337" max="3337" width="20.140625" style="4" bestFit="1" customWidth="1"/>
    <col min="3338" max="3338" width="15.85546875" style="4" bestFit="1" customWidth="1"/>
    <col min="3339" max="3339" width="26" style="4" bestFit="1" customWidth="1"/>
    <col min="3340" max="3340" width="21.5703125" style="4" bestFit="1" customWidth="1"/>
    <col min="3341" max="3341" width="22.140625" style="4" bestFit="1" customWidth="1"/>
    <col min="3342" max="3349" width="22.85546875" style="4" bestFit="1" customWidth="1"/>
    <col min="3350" max="3350" width="22.140625" style="4" bestFit="1" customWidth="1"/>
    <col min="3351" max="3352" width="22.140625" style="4" customWidth="1"/>
    <col min="3353" max="3353" width="9.140625" style="4"/>
    <col min="3354" max="3354" width="21.140625" style="4" bestFit="1" customWidth="1"/>
    <col min="3355" max="3355" width="21" style="4" bestFit="1" customWidth="1"/>
    <col min="3356" max="3356" width="15.7109375" style="4" bestFit="1" customWidth="1"/>
    <col min="3357" max="3357" width="14" style="4" bestFit="1" customWidth="1"/>
    <col min="3358" max="3358" width="12.85546875" style="4" bestFit="1" customWidth="1"/>
    <col min="3359" max="3359" width="26" style="4" bestFit="1" customWidth="1"/>
    <col min="3360" max="3361" width="22.140625" style="4" customWidth="1"/>
    <col min="3362" max="3549" width="9.140625" style="4"/>
    <col min="3550" max="3550" width="24.7109375" style="4" customWidth="1"/>
    <col min="3551" max="3551" width="12.42578125" style="4" customWidth="1"/>
    <col min="3552" max="3552" width="10.85546875" style="4" customWidth="1"/>
    <col min="3553" max="3553" width="14.28515625" style="4" customWidth="1"/>
    <col min="3554" max="3554" width="11.85546875" style="4" customWidth="1"/>
    <col min="3555" max="3556" width="9.140625" style="4"/>
    <col min="3557" max="3557" width="21.140625" style="4" bestFit="1" customWidth="1"/>
    <col min="3558" max="3558" width="24.140625" style="4" customWidth="1"/>
    <col min="3559" max="3559" width="21" style="4" bestFit="1" customWidth="1"/>
    <col min="3560" max="3560" width="16.42578125" style="4" bestFit="1" customWidth="1"/>
    <col min="3561" max="3561" width="15.7109375" style="4" bestFit="1" customWidth="1"/>
    <col min="3562" max="3562" width="14" style="4" bestFit="1" customWidth="1"/>
    <col min="3563" max="3563" width="12.85546875" style="4" bestFit="1" customWidth="1"/>
    <col min="3564" max="3564" width="15.7109375" style="4" bestFit="1" customWidth="1"/>
    <col min="3565" max="3565" width="18.5703125" style="4" bestFit="1" customWidth="1"/>
    <col min="3566" max="3566" width="15" style="4" bestFit="1" customWidth="1"/>
    <col min="3567" max="3567" width="20.140625" style="4" bestFit="1" customWidth="1"/>
    <col min="3568" max="3568" width="15.85546875" style="4" bestFit="1" customWidth="1"/>
    <col min="3569" max="3569" width="26" style="4" bestFit="1" customWidth="1"/>
    <col min="3570" max="3570" width="21.5703125" style="4" bestFit="1" customWidth="1"/>
    <col min="3571" max="3571" width="22.140625" style="4" bestFit="1" customWidth="1"/>
    <col min="3572" max="3579" width="22.85546875" style="4" bestFit="1" customWidth="1"/>
    <col min="3580" max="3580" width="22.140625" style="4" bestFit="1" customWidth="1"/>
    <col min="3581" max="3582" width="22.140625" style="4" customWidth="1"/>
    <col min="3583" max="3583" width="21.140625" style="4" bestFit="1" customWidth="1"/>
    <col min="3584" max="3584" width="24.140625" style="4" customWidth="1"/>
    <col min="3585" max="3585" width="21" style="4" bestFit="1" customWidth="1"/>
    <col min="3586" max="3586" width="16.42578125" style="4" bestFit="1" customWidth="1"/>
    <col min="3587" max="3587" width="15.7109375" style="4" bestFit="1" customWidth="1"/>
    <col min="3588" max="3588" width="14" style="4" bestFit="1" customWidth="1"/>
    <col min="3589" max="3589" width="12.85546875" style="4" bestFit="1" customWidth="1"/>
    <col min="3590" max="3590" width="15.7109375" style="4" bestFit="1" customWidth="1"/>
    <col min="3591" max="3591" width="18.5703125" style="4" bestFit="1" customWidth="1"/>
    <col min="3592" max="3592" width="15" style="4" bestFit="1" customWidth="1"/>
    <col min="3593" max="3593" width="20.140625" style="4" bestFit="1" customWidth="1"/>
    <col min="3594" max="3594" width="15.85546875" style="4" bestFit="1" customWidth="1"/>
    <col min="3595" max="3595" width="26" style="4" bestFit="1" customWidth="1"/>
    <col min="3596" max="3596" width="21.5703125" style="4" bestFit="1" customWidth="1"/>
    <col min="3597" max="3597" width="22.140625" style="4" bestFit="1" customWidth="1"/>
    <col min="3598" max="3605" width="22.85546875" style="4" bestFit="1" customWidth="1"/>
    <col min="3606" max="3606" width="22.140625" style="4" bestFit="1" customWidth="1"/>
    <col min="3607" max="3608" width="22.140625" style="4" customWidth="1"/>
    <col min="3609" max="3609" width="9.140625" style="4"/>
    <col min="3610" max="3610" width="21.140625" style="4" bestFit="1" customWidth="1"/>
    <col min="3611" max="3611" width="21" style="4" bestFit="1" customWidth="1"/>
    <col min="3612" max="3612" width="15.7109375" style="4" bestFit="1" customWidth="1"/>
    <col min="3613" max="3613" width="14" style="4" bestFit="1" customWidth="1"/>
    <col min="3614" max="3614" width="12.85546875" style="4" bestFit="1" customWidth="1"/>
    <col min="3615" max="3615" width="26" style="4" bestFit="1" customWidth="1"/>
    <col min="3616" max="3617" width="22.140625" style="4" customWidth="1"/>
    <col min="3618" max="3805" width="9.140625" style="4"/>
    <col min="3806" max="3806" width="24.7109375" style="4" customWidth="1"/>
    <col min="3807" max="3807" width="12.42578125" style="4" customWidth="1"/>
    <col min="3808" max="3808" width="10.85546875" style="4" customWidth="1"/>
    <col min="3809" max="3809" width="14.28515625" style="4" customWidth="1"/>
    <col min="3810" max="3810" width="11.85546875" style="4" customWidth="1"/>
    <col min="3811" max="3812" width="9.140625" style="4"/>
    <col min="3813" max="3813" width="21.140625" style="4" bestFit="1" customWidth="1"/>
    <col min="3814" max="3814" width="24.140625" style="4" customWidth="1"/>
    <col min="3815" max="3815" width="21" style="4" bestFit="1" customWidth="1"/>
    <col min="3816" max="3816" width="16.42578125" style="4" bestFit="1" customWidth="1"/>
    <col min="3817" max="3817" width="15.7109375" style="4" bestFit="1" customWidth="1"/>
    <col min="3818" max="3818" width="14" style="4" bestFit="1" customWidth="1"/>
    <col min="3819" max="3819" width="12.85546875" style="4" bestFit="1" customWidth="1"/>
    <col min="3820" max="3820" width="15.7109375" style="4" bestFit="1" customWidth="1"/>
    <col min="3821" max="3821" width="18.5703125" style="4" bestFit="1" customWidth="1"/>
    <col min="3822" max="3822" width="15" style="4" bestFit="1" customWidth="1"/>
    <col min="3823" max="3823" width="20.140625" style="4" bestFit="1" customWidth="1"/>
    <col min="3824" max="3824" width="15.85546875" style="4" bestFit="1" customWidth="1"/>
    <col min="3825" max="3825" width="26" style="4" bestFit="1" customWidth="1"/>
    <col min="3826" max="3826" width="21.5703125" style="4" bestFit="1" customWidth="1"/>
    <col min="3827" max="3827" width="22.140625" style="4" bestFit="1" customWidth="1"/>
    <col min="3828" max="3835" width="22.85546875" style="4" bestFit="1" customWidth="1"/>
    <col min="3836" max="3836" width="22.140625" style="4" bestFit="1" customWidth="1"/>
    <col min="3837" max="3838" width="22.140625" style="4" customWidth="1"/>
    <col min="3839" max="3839" width="21.140625" style="4" bestFit="1" customWidth="1"/>
    <col min="3840" max="3840" width="24.140625" style="4" customWidth="1"/>
    <col min="3841" max="3841" width="21" style="4" bestFit="1" customWidth="1"/>
    <col min="3842" max="3842" width="16.42578125" style="4" bestFit="1" customWidth="1"/>
    <col min="3843" max="3843" width="15.7109375" style="4" bestFit="1" customWidth="1"/>
    <col min="3844" max="3844" width="14" style="4" bestFit="1" customWidth="1"/>
    <col min="3845" max="3845" width="12.85546875" style="4" bestFit="1" customWidth="1"/>
    <col min="3846" max="3846" width="15.7109375" style="4" bestFit="1" customWidth="1"/>
    <col min="3847" max="3847" width="18.5703125" style="4" bestFit="1" customWidth="1"/>
    <col min="3848" max="3848" width="15" style="4" bestFit="1" customWidth="1"/>
    <col min="3849" max="3849" width="20.140625" style="4" bestFit="1" customWidth="1"/>
    <col min="3850" max="3850" width="15.85546875" style="4" bestFit="1" customWidth="1"/>
    <col min="3851" max="3851" width="26" style="4" bestFit="1" customWidth="1"/>
    <col min="3852" max="3852" width="21.5703125" style="4" bestFit="1" customWidth="1"/>
    <col min="3853" max="3853" width="22.140625" style="4" bestFit="1" customWidth="1"/>
    <col min="3854" max="3861" width="22.85546875" style="4" bestFit="1" customWidth="1"/>
    <col min="3862" max="3862" width="22.140625" style="4" bestFit="1" customWidth="1"/>
    <col min="3863" max="3864" width="22.140625" style="4" customWidth="1"/>
    <col min="3865" max="3865" width="9.140625" style="4"/>
    <col min="3866" max="3866" width="21.140625" style="4" bestFit="1" customWidth="1"/>
    <col min="3867" max="3867" width="21" style="4" bestFit="1" customWidth="1"/>
    <col min="3868" max="3868" width="15.7109375" style="4" bestFit="1" customWidth="1"/>
    <col min="3869" max="3869" width="14" style="4" bestFit="1" customWidth="1"/>
    <col min="3870" max="3870" width="12.85546875" style="4" bestFit="1" customWidth="1"/>
    <col min="3871" max="3871" width="26" style="4" bestFit="1" customWidth="1"/>
    <col min="3872" max="3873" width="22.140625" style="4" customWidth="1"/>
    <col min="3874" max="4061" width="9.140625" style="4"/>
    <col min="4062" max="4062" width="24.7109375" style="4" customWidth="1"/>
    <col min="4063" max="4063" width="12.42578125" style="4" customWidth="1"/>
    <col min="4064" max="4064" width="10.85546875" style="4" customWidth="1"/>
    <col min="4065" max="4065" width="14.28515625" style="4" customWidth="1"/>
    <col min="4066" max="4066" width="11.85546875" style="4" customWidth="1"/>
    <col min="4067" max="4068" width="9.140625" style="4"/>
    <col min="4069" max="4069" width="21.140625" style="4" bestFit="1" customWidth="1"/>
    <col min="4070" max="4070" width="24.140625" style="4" customWidth="1"/>
    <col min="4071" max="4071" width="21" style="4" bestFit="1" customWidth="1"/>
    <col min="4072" max="4072" width="16.42578125" style="4" bestFit="1" customWidth="1"/>
    <col min="4073" max="4073" width="15.7109375" style="4" bestFit="1" customWidth="1"/>
    <col min="4074" max="4074" width="14" style="4" bestFit="1" customWidth="1"/>
    <col min="4075" max="4075" width="12.85546875" style="4" bestFit="1" customWidth="1"/>
    <col min="4076" max="4076" width="15.7109375" style="4" bestFit="1" customWidth="1"/>
    <col min="4077" max="4077" width="18.5703125" style="4" bestFit="1" customWidth="1"/>
    <col min="4078" max="4078" width="15" style="4" bestFit="1" customWidth="1"/>
    <col min="4079" max="4079" width="20.140625" style="4" bestFit="1" customWidth="1"/>
    <col min="4080" max="4080" width="15.85546875" style="4" bestFit="1" customWidth="1"/>
    <col min="4081" max="4081" width="26" style="4" bestFit="1" customWidth="1"/>
    <col min="4082" max="4082" width="21.5703125" style="4" bestFit="1" customWidth="1"/>
    <col min="4083" max="4083" width="22.140625" style="4" bestFit="1" customWidth="1"/>
    <col min="4084" max="4091" width="22.85546875" style="4" bestFit="1" customWidth="1"/>
    <col min="4092" max="4092" width="22.140625" style="4" bestFit="1" customWidth="1"/>
    <col min="4093" max="4094" width="22.140625" style="4" customWidth="1"/>
    <col min="4095" max="4095" width="21.140625" style="4" bestFit="1" customWidth="1"/>
    <col min="4096" max="4096" width="24.140625" style="4" customWidth="1"/>
    <col min="4097" max="4097" width="21" style="4" bestFit="1" customWidth="1"/>
    <col min="4098" max="4098" width="16.42578125" style="4" bestFit="1" customWidth="1"/>
    <col min="4099" max="4099" width="15.7109375" style="4" bestFit="1" customWidth="1"/>
    <col min="4100" max="4100" width="14" style="4" bestFit="1" customWidth="1"/>
    <col min="4101" max="4101" width="12.85546875" style="4" bestFit="1" customWidth="1"/>
    <col min="4102" max="4102" width="15.7109375" style="4" bestFit="1" customWidth="1"/>
    <col min="4103" max="4103" width="18.5703125" style="4" bestFit="1" customWidth="1"/>
    <col min="4104" max="4104" width="15" style="4" bestFit="1" customWidth="1"/>
    <col min="4105" max="4105" width="20.140625" style="4" bestFit="1" customWidth="1"/>
    <col min="4106" max="4106" width="15.85546875" style="4" bestFit="1" customWidth="1"/>
    <col min="4107" max="4107" width="26" style="4" bestFit="1" customWidth="1"/>
    <col min="4108" max="4108" width="21.5703125" style="4" bestFit="1" customWidth="1"/>
    <col min="4109" max="4109" width="22.140625" style="4" bestFit="1" customWidth="1"/>
    <col min="4110" max="4117" width="22.85546875" style="4" bestFit="1" customWidth="1"/>
    <col min="4118" max="4118" width="22.140625" style="4" bestFit="1" customWidth="1"/>
    <col min="4119" max="4120" width="22.140625" style="4" customWidth="1"/>
    <col min="4121" max="4121" width="9.140625" style="4"/>
    <col min="4122" max="4122" width="21.140625" style="4" bestFit="1" customWidth="1"/>
    <col min="4123" max="4123" width="21" style="4" bestFit="1" customWidth="1"/>
    <col min="4124" max="4124" width="15.7109375" style="4" bestFit="1" customWidth="1"/>
    <col min="4125" max="4125" width="14" style="4" bestFit="1" customWidth="1"/>
    <col min="4126" max="4126" width="12.85546875" style="4" bestFit="1" customWidth="1"/>
    <col min="4127" max="4127" width="26" style="4" bestFit="1" customWidth="1"/>
    <col min="4128" max="4129" width="22.140625" style="4" customWidth="1"/>
    <col min="4130" max="4317" width="9.140625" style="4"/>
    <col min="4318" max="4318" width="24.7109375" style="4" customWidth="1"/>
    <col min="4319" max="4319" width="12.42578125" style="4" customWidth="1"/>
    <col min="4320" max="4320" width="10.85546875" style="4" customWidth="1"/>
    <col min="4321" max="4321" width="14.28515625" style="4" customWidth="1"/>
    <col min="4322" max="4322" width="11.85546875" style="4" customWidth="1"/>
    <col min="4323" max="4324" width="9.140625" style="4"/>
    <col min="4325" max="4325" width="21.140625" style="4" bestFit="1" customWidth="1"/>
    <col min="4326" max="4326" width="24.140625" style="4" customWidth="1"/>
    <col min="4327" max="4327" width="21" style="4" bestFit="1" customWidth="1"/>
    <col min="4328" max="4328" width="16.42578125" style="4" bestFit="1" customWidth="1"/>
    <col min="4329" max="4329" width="15.7109375" style="4" bestFit="1" customWidth="1"/>
    <col min="4330" max="4330" width="14" style="4" bestFit="1" customWidth="1"/>
    <col min="4331" max="4331" width="12.85546875" style="4" bestFit="1" customWidth="1"/>
    <col min="4332" max="4332" width="15.7109375" style="4" bestFit="1" customWidth="1"/>
    <col min="4333" max="4333" width="18.5703125" style="4" bestFit="1" customWidth="1"/>
    <col min="4334" max="4334" width="15" style="4" bestFit="1" customWidth="1"/>
    <col min="4335" max="4335" width="20.140625" style="4" bestFit="1" customWidth="1"/>
    <col min="4336" max="4336" width="15.85546875" style="4" bestFit="1" customWidth="1"/>
    <col min="4337" max="4337" width="26" style="4" bestFit="1" customWidth="1"/>
    <col min="4338" max="4338" width="21.5703125" style="4" bestFit="1" customWidth="1"/>
    <col min="4339" max="4339" width="22.140625" style="4" bestFit="1" customWidth="1"/>
    <col min="4340" max="4347" width="22.85546875" style="4" bestFit="1" customWidth="1"/>
    <col min="4348" max="4348" width="22.140625" style="4" bestFit="1" customWidth="1"/>
    <col min="4349" max="4350" width="22.140625" style="4" customWidth="1"/>
    <col min="4351" max="4351" width="21.140625" style="4" bestFit="1" customWidth="1"/>
    <col min="4352" max="4352" width="24.140625" style="4" customWidth="1"/>
    <col min="4353" max="4353" width="21" style="4" bestFit="1" customWidth="1"/>
    <col min="4354" max="4354" width="16.42578125" style="4" bestFit="1" customWidth="1"/>
    <col min="4355" max="4355" width="15.7109375" style="4" bestFit="1" customWidth="1"/>
    <col min="4356" max="4356" width="14" style="4" bestFit="1" customWidth="1"/>
    <col min="4357" max="4357" width="12.85546875" style="4" bestFit="1" customWidth="1"/>
    <col min="4358" max="4358" width="15.7109375" style="4" bestFit="1" customWidth="1"/>
    <col min="4359" max="4359" width="18.5703125" style="4" bestFit="1" customWidth="1"/>
    <col min="4360" max="4360" width="15" style="4" bestFit="1" customWidth="1"/>
    <col min="4361" max="4361" width="20.140625" style="4" bestFit="1" customWidth="1"/>
    <col min="4362" max="4362" width="15.85546875" style="4" bestFit="1" customWidth="1"/>
    <col min="4363" max="4363" width="26" style="4" bestFit="1" customWidth="1"/>
    <col min="4364" max="4364" width="21.5703125" style="4" bestFit="1" customWidth="1"/>
    <col min="4365" max="4365" width="22.140625" style="4" bestFit="1" customWidth="1"/>
    <col min="4366" max="4373" width="22.85546875" style="4" bestFit="1" customWidth="1"/>
    <col min="4374" max="4374" width="22.140625" style="4" bestFit="1" customWidth="1"/>
    <col min="4375" max="4376" width="22.140625" style="4" customWidth="1"/>
    <col min="4377" max="4377" width="9.140625" style="4"/>
    <col min="4378" max="4378" width="21.140625" style="4" bestFit="1" customWidth="1"/>
    <col min="4379" max="4379" width="21" style="4" bestFit="1" customWidth="1"/>
    <col min="4380" max="4380" width="15.7109375" style="4" bestFit="1" customWidth="1"/>
    <col min="4381" max="4381" width="14" style="4" bestFit="1" customWidth="1"/>
    <col min="4382" max="4382" width="12.85546875" style="4" bestFit="1" customWidth="1"/>
    <col min="4383" max="4383" width="26" style="4" bestFit="1" customWidth="1"/>
    <col min="4384" max="4385" width="22.140625" style="4" customWidth="1"/>
    <col min="4386" max="4573" width="9.140625" style="4"/>
    <col min="4574" max="4574" width="24.7109375" style="4" customWidth="1"/>
    <col min="4575" max="4575" width="12.42578125" style="4" customWidth="1"/>
    <col min="4576" max="4576" width="10.85546875" style="4" customWidth="1"/>
    <col min="4577" max="4577" width="14.28515625" style="4" customWidth="1"/>
    <col min="4578" max="4578" width="11.85546875" style="4" customWidth="1"/>
    <col min="4579" max="4580" width="9.140625" style="4"/>
    <col min="4581" max="4581" width="21.140625" style="4" bestFit="1" customWidth="1"/>
    <col min="4582" max="4582" width="24.140625" style="4" customWidth="1"/>
    <col min="4583" max="4583" width="21" style="4" bestFit="1" customWidth="1"/>
    <col min="4584" max="4584" width="16.42578125" style="4" bestFit="1" customWidth="1"/>
    <col min="4585" max="4585" width="15.7109375" style="4" bestFit="1" customWidth="1"/>
    <col min="4586" max="4586" width="14" style="4" bestFit="1" customWidth="1"/>
    <col min="4587" max="4587" width="12.85546875" style="4" bestFit="1" customWidth="1"/>
    <col min="4588" max="4588" width="15.7109375" style="4" bestFit="1" customWidth="1"/>
    <col min="4589" max="4589" width="18.5703125" style="4" bestFit="1" customWidth="1"/>
    <col min="4590" max="4590" width="15" style="4" bestFit="1" customWidth="1"/>
    <col min="4591" max="4591" width="20.140625" style="4" bestFit="1" customWidth="1"/>
    <col min="4592" max="4592" width="15.85546875" style="4" bestFit="1" customWidth="1"/>
    <col min="4593" max="4593" width="26" style="4" bestFit="1" customWidth="1"/>
    <col min="4594" max="4594" width="21.5703125" style="4" bestFit="1" customWidth="1"/>
    <col min="4595" max="4595" width="22.140625" style="4" bestFit="1" customWidth="1"/>
    <col min="4596" max="4603" width="22.85546875" style="4" bestFit="1" customWidth="1"/>
    <col min="4604" max="4604" width="22.140625" style="4" bestFit="1" customWidth="1"/>
    <col min="4605" max="4606" width="22.140625" style="4" customWidth="1"/>
    <col min="4607" max="4607" width="21.140625" style="4" bestFit="1" customWidth="1"/>
    <col min="4608" max="4608" width="24.140625" style="4" customWidth="1"/>
    <col min="4609" max="4609" width="21" style="4" bestFit="1" customWidth="1"/>
    <col min="4610" max="4610" width="16.42578125" style="4" bestFit="1" customWidth="1"/>
    <col min="4611" max="4611" width="15.7109375" style="4" bestFit="1" customWidth="1"/>
    <col min="4612" max="4612" width="14" style="4" bestFit="1" customWidth="1"/>
    <col min="4613" max="4613" width="12.85546875" style="4" bestFit="1" customWidth="1"/>
    <col min="4614" max="4614" width="15.7109375" style="4" bestFit="1" customWidth="1"/>
    <col min="4615" max="4615" width="18.5703125" style="4" bestFit="1" customWidth="1"/>
    <col min="4616" max="4616" width="15" style="4" bestFit="1" customWidth="1"/>
    <col min="4617" max="4617" width="20.140625" style="4" bestFit="1" customWidth="1"/>
    <col min="4618" max="4618" width="15.85546875" style="4" bestFit="1" customWidth="1"/>
    <col min="4619" max="4619" width="26" style="4" bestFit="1" customWidth="1"/>
    <col min="4620" max="4620" width="21.5703125" style="4" bestFit="1" customWidth="1"/>
    <col min="4621" max="4621" width="22.140625" style="4" bestFit="1" customWidth="1"/>
    <col min="4622" max="4629" width="22.85546875" style="4" bestFit="1" customWidth="1"/>
    <col min="4630" max="4630" width="22.140625" style="4" bestFit="1" customWidth="1"/>
    <col min="4631" max="4632" width="22.140625" style="4" customWidth="1"/>
    <col min="4633" max="4633" width="9.140625" style="4"/>
    <col min="4634" max="4634" width="21.140625" style="4" bestFit="1" customWidth="1"/>
    <col min="4635" max="4635" width="21" style="4" bestFit="1" customWidth="1"/>
    <col min="4636" max="4636" width="15.7109375" style="4" bestFit="1" customWidth="1"/>
    <col min="4637" max="4637" width="14" style="4" bestFit="1" customWidth="1"/>
    <col min="4638" max="4638" width="12.85546875" style="4" bestFit="1" customWidth="1"/>
    <col min="4639" max="4639" width="26" style="4" bestFit="1" customWidth="1"/>
    <col min="4640" max="4641" width="22.140625" style="4" customWidth="1"/>
    <col min="4642" max="4829" width="9.140625" style="4"/>
    <col min="4830" max="4830" width="24.7109375" style="4" customWidth="1"/>
    <col min="4831" max="4831" width="12.42578125" style="4" customWidth="1"/>
    <col min="4832" max="4832" width="10.85546875" style="4" customWidth="1"/>
    <col min="4833" max="4833" width="14.28515625" style="4" customWidth="1"/>
    <col min="4834" max="4834" width="11.85546875" style="4" customWidth="1"/>
    <col min="4835" max="4836" width="9.140625" style="4"/>
    <col min="4837" max="4837" width="21.140625" style="4" bestFit="1" customWidth="1"/>
    <col min="4838" max="4838" width="24.140625" style="4" customWidth="1"/>
    <col min="4839" max="4839" width="21" style="4" bestFit="1" customWidth="1"/>
    <col min="4840" max="4840" width="16.42578125" style="4" bestFit="1" customWidth="1"/>
    <col min="4841" max="4841" width="15.7109375" style="4" bestFit="1" customWidth="1"/>
    <col min="4842" max="4842" width="14" style="4" bestFit="1" customWidth="1"/>
    <col min="4843" max="4843" width="12.85546875" style="4" bestFit="1" customWidth="1"/>
    <col min="4844" max="4844" width="15.7109375" style="4" bestFit="1" customWidth="1"/>
    <col min="4845" max="4845" width="18.5703125" style="4" bestFit="1" customWidth="1"/>
    <col min="4846" max="4846" width="15" style="4" bestFit="1" customWidth="1"/>
    <col min="4847" max="4847" width="20.140625" style="4" bestFit="1" customWidth="1"/>
    <col min="4848" max="4848" width="15.85546875" style="4" bestFit="1" customWidth="1"/>
    <col min="4849" max="4849" width="26" style="4" bestFit="1" customWidth="1"/>
    <col min="4850" max="4850" width="21.5703125" style="4" bestFit="1" customWidth="1"/>
    <col min="4851" max="4851" width="22.140625" style="4" bestFit="1" customWidth="1"/>
    <col min="4852" max="4859" width="22.85546875" style="4" bestFit="1" customWidth="1"/>
    <col min="4860" max="4860" width="22.140625" style="4" bestFit="1" customWidth="1"/>
    <col min="4861" max="4862" width="22.140625" style="4" customWidth="1"/>
    <col min="4863" max="4863" width="21.140625" style="4" bestFit="1" customWidth="1"/>
    <col min="4864" max="4864" width="24.140625" style="4" customWidth="1"/>
    <col min="4865" max="4865" width="21" style="4" bestFit="1" customWidth="1"/>
    <col min="4866" max="4866" width="16.42578125" style="4" bestFit="1" customWidth="1"/>
    <col min="4867" max="4867" width="15.7109375" style="4" bestFit="1" customWidth="1"/>
    <col min="4868" max="4868" width="14" style="4" bestFit="1" customWidth="1"/>
    <col min="4869" max="4869" width="12.85546875" style="4" bestFit="1" customWidth="1"/>
    <col min="4870" max="4870" width="15.7109375" style="4" bestFit="1" customWidth="1"/>
    <col min="4871" max="4871" width="18.5703125" style="4" bestFit="1" customWidth="1"/>
    <col min="4872" max="4872" width="15" style="4" bestFit="1" customWidth="1"/>
    <col min="4873" max="4873" width="20.140625" style="4" bestFit="1" customWidth="1"/>
    <col min="4874" max="4874" width="15.85546875" style="4" bestFit="1" customWidth="1"/>
    <col min="4875" max="4875" width="26" style="4" bestFit="1" customWidth="1"/>
    <col min="4876" max="4876" width="21.5703125" style="4" bestFit="1" customWidth="1"/>
    <col min="4877" max="4877" width="22.140625" style="4" bestFit="1" customWidth="1"/>
    <col min="4878" max="4885" width="22.85546875" style="4" bestFit="1" customWidth="1"/>
    <col min="4886" max="4886" width="22.140625" style="4" bestFit="1" customWidth="1"/>
    <col min="4887" max="4888" width="22.140625" style="4" customWidth="1"/>
    <col min="4889" max="4889" width="9.140625" style="4"/>
    <col min="4890" max="4890" width="21.140625" style="4" bestFit="1" customWidth="1"/>
    <col min="4891" max="4891" width="21" style="4" bestFit="1" customWidth="1"/>
    <col min="4892" max="4892" width="15.7109375" style="4" bestFit="1" customWidth="1"/>
    <col min="4893" max="4893" width="14" style="4" bestFit="1" customWidth="1"/>
    <col min="4894" max="4894" width="12.85546875" style="4" bestFit="1" customWidth="1"/>
    <col min="4895" max="4895" width="26" style="4" bestFit="1" customWidth="1"/>
    <col min="4896" max="4897" width="22.140625" style="4" customWidth="1"/>
    <col min="4898" max="5085" width="9.140625" style="4"/>
    <col min="5086" max="5086" width="24.7109375" style="4" customWidth="1"/>
    <col min="5087" max="5087" width="12.42578125" style="4" customWidth="1"/>
    <col min="5088" max="5088" width="10.85546875" style="4" customWidth="1"/>
    <col min="5089" max="5089" width="14.28515625" style="4" customWidth="1"/>
    <col min="5090" max="5090" width="11.85546875" style="4" customWidth="1"/>
    <col min="5091" max="5092" width="9.140625" style="4"/>
    <col min="5093" max="5093" width="21.140625" style="4" bestFit="1" customWidth="1"/>
    <col min="5094" max="5094" width="24.140625" style="4" customWidth="1"/>
    <col min="5095" max="5095" width="21" style="4" bestFit="1" customWidth="1"/>
    <col min="5096" max="5096" width="16.42578125" style="4" bestFit="1" customWidth="1"/>
    <col min="5097" max="5097" width="15.7109375" style="4" bestFit="1" customWidth="1"/>
    <col min="5098" max="5098" width="14" style="4" bestFit="1" customWidth="1"/>
    <col min="5099" max="5099" width="12.85546875" style="4" bestFit="1" customWidth="1"/>
    <col min="5100" max="5100" width="15.7109375" style="4" bestFit="1" customWidth="1"/>
    <col min="5101" max="5101" width="18.5703125" style="4" bestFit="1" customWidth="1"/>
    <col min="5102" max="5102" width="15" style="4" bestFit="1" customWidth="1"/>
    <col min="5103" max="5103" width="20.140625" style="4" bestFit="1" customWidth="1"/>
    <col min="5104" max="5104" width="15.85546875" style="4" bestFit="1" customWidth="1"/>
    <col min="5105" max="5105" width="26" style="4" bestFit="1" customWidth="1"/>
    <col min="5106" max="5106" width="21.5703125" style="4" bestFit="1" customWidth="1"/>
    <col min="5107" max="5107" width="22.140625" style="4" bestFit="1" customWidth="1"/>
    <col min="5108" max="5115" width="22.85546875" style="4" bestFit="1" customWidth="1"/>
    <col min="5116" max="5116" width="22.140625" style="4" bestFit="1" customWidth="1"/>
    <col min="5117" max="5118" width="22.140625" style="4" customWidth="1"/>
    <col min="5119" max="5119" width="21.140625" style="4" bestFit="1" customWidth="1"/>
    <col min="5120" max="5120" width="24.140625" style="4" customWidth="1"/>
    <col min="5121" max="5121" width="21" style="4" bestFit="1" customWidth="1"/>
    <col min="5122" max="5122" width="16.42578125" style="4" bestFit="1" customWidth="1"/>
    <col min="5123" max="5123" width="15.7109375" style="4" bestFit="1" customWidth="1"/>
    <col min="5124" max="5124" width="14" style="4" bestFit="1" customWidth="1"/>
    <col min="5125" max="5125" width="12.85546875" style="4" bestFit="1" customWidth="1"/>
    <col min="5126" max="5126" width="15.7109375" style="4" bestFit="1" customWidth="1"/>
    <col min="5127" max="5127" width="18.5703125" style="4" bestFit="1" customWidth="1"/>
    <col min="5128" max="5128" width="15" style="4" bestFit="1" customWidth="1"/>
    <col min="5129" max="5129" width="20.140625" style="4" bestFit="1" customWidth="1"/>
    <col min="5130" max="5130" width="15.85546875" style="4" bestFit="1" customWidth="1"/>
    <col min="5131" max="5131" width="26" style="4" bestFit="1" customWidth="1"/>
    <col min="5132" max="5132" width="21.5703125" style="4" bestFit="1" customWidth="1"/>
    <col min="5133" max="5133" width="22.140625" style="4" bestFit="1" customWidth="1"/>
    <col min="5134" max="5141" width="22.85546875" style="4" bestFit="1" customWidth="1"/>
    <col min="5142" max="5142" width="22.140625" style="4" bestFit="1" customWidth="1"/>
    <col min="5143" max="5144" width="22.140625" style="4" customWidth="1"/>
    <col min="5145" max="5145" width="9.140625" style="4"/>
    <col min="5146" max="5146" width="21.140625" style="4" bestFit="1" customWidth="1"/>
    <col min="5147" max="5147" width="21" style="4" bestFit="1" customWidth="1"/>
    <col min="5148" max="5148" width="15.7109375" style="4" bestFit="1" customWidth="1"/>
    <col min="5149" max="5149" width="14" style="4" bestFit="1" customWidth="1"/>
    <col min="5150" max="5150" width="12.85546875" style="4" bestFit="1" customWidth="1"/>
    <col min="5151" max="5151" width="26" style="4" bestFit="1" customWidth="1"/>
    <col min="5152" max="5153" width="22.140625" style="4" customWidth="1"/>
    <col min="5154" max="5341" width="9.140625" style="4"/>
    <col min="5342" max="5342" width="24.7109375" style="4" customWidth="1"/>
    <col min="5343" max="5343" width="12.42578125" style="4" customWidth="1"/>
    <col min="5344" max="5344" width="10.85546875" style="4" customWidth="1"/>
    <col min="5345" max="5345" width="14.28515625" style="4" customWidth="1"/>
    <col min="5346" max="5346" width="11.85546875" style="4" customWidth="1"/>
    <col min="5347" max="5348" width="9.140625" style="4"/>
    <col min="5349" max="5349" width="21.140625" style="4" bestFit="1" customWidth="1"/>
    <col min="5350" max="5350" width="24.140625" style="4" customWidth="1"/>
    <col min="5351" max="5351" width="21" style="4" bestFit="1" customWidth="1"/>
    <col min="5352" max="5352" width="16.42578125" style="4" bestFit="1" customWidth="1"/>
    <col min="5353" max="5353" width="15.7109375" style="4" bestFit="1" customWidth="1"/>
    <col min="5354" max="5354" width="14" style="4" bestFit="1" customWidth="1"/>
    <col min="5355" max="5355" width="12.85546875" style="4" bestFit="1" customWidth="1"/>
    <col min="5356" max="5356" width="15.7109375" style="4" bestFit="1" customWidth="1"/>
    <col min="5357" max="5357" width="18.5703125" style="4" bestFit="1" customWidth="1"/>
    <col min="5358" max="5358" width="15" style="4" bestFit="1" customWidth="1"/>
    <col min="5359" max="5359" width="20.140625" style="4" bestFit="1" customWidth="1"/>
    <col min="5360" max="5360" width="15.85546875" style="4" bestFit="1" customWidth="1"/>
    <col min="5361" max="5361" width="26" style="4" bestFit="1" customWidth="1"/>
    <col min="5362" max="5362" width="21.5703125" style="4" bestFit="1" customWidth="1"/>
    <col min="5363" max="5363" width="22.140625" style="4" bestFit="1" customWidth="1"/>
    <col min="5364" max="5371" width="22.85546875" style="4" bestFit="1" customWidth="1"/>
    <col min="5372" max="5372" width="22.140625" style="4" bestFit="1" customWidth="1"/>
    <col min="5373" max="5374" width="22.140625" style="4" customWidth="1"/>
    <col min="5375" max="5375" width="21.140625" style="4" bestFit="1" customWidth="1"/>
    <col min="5376" max="5376" width="24.140625" style="4" customWidth="1"/>
    <col min="5377" max="5377" width="21" style="4" bestFit="1" customWidth="1"/>
    <col min="5378" max="5378" width="16.42578125" style="4" bestFit="1" customWidth="1"/>
    <col min="5379" max="5379" width="15.7109375" style="4" bestFit="1" customWidth="1"/>
    <col min="5380" max="5380" width="14" style="4" bestFit="1" customWidth="1"/>
    <col min="5381" max="5381" width="12.85546875" style="4" bestFit="1" customWidth="1"/>
    <col min="5382" max="5382" width="15.7109375" style="4" bestFit="1" customWidth="1"/>
    <col min="5383" max="5383" width="18.5703125" style="4" bestFit="1" customWidth="1"/>
    <col min="5384" max="5384" width="15" style="4" bestFit="1" customWidth="1"/>
    <col min="5385" max="5385" width="20.140625" style="4" bestFit="1" customWidth="1"/>
    <col min="5386" max="5386" width="15.85546875" style="4" bestFit="1" customWidth="1"/>
    <col min="5387" max="5387" width="26" style="4" bestFit="1" customWidth="1"/>
    <col min="5388" max="5388" width="21.5703125" style="4" bestFit="1" customWidth="1"/>
    <col min="5389" max="5389" width="22.140625" style="4" bestFit="1" customWidth="1"/>
    <col min="5390" max="5397" width="22.85546875" style="4" bestFit="1" customWidth="1"/>
    <col min="5398" max="5398" width="22.140625" style="4" bestFit="1" customWidth="1"/>
    <col min="5399" max="5400" width="22.140625" style="4" customWidth="1"/>
    <col min="5401" max="5401" width="9.140625" style="4"/>
    <col min="5402" max="5402" width="21.140625" style="4" bestFit="1" customWidth="1"/>
    <col min="5403" max="5403" width="21" style="4" bestFit="1" customWidth="1"/>
    <col min="5404" max="5404" width="15.7109375" style="4" bestFit="1" customWidth="1"/>
    <col min="5405" max="5405" width="14" style="4" bestFit="1" customWidth="1"/>
    <col min="5406" max="5406" width="12.85546875" style="4" bestFit="1" customWidth="1"/>
    <col min="5407" max="5407" width="26" style="4" bestFit="1" customWidth="1"/>
    <col min="5408" max="5409" width="22.140625" style="4" customWidth="1"/>
    <col min="5410" max="5597" width="9.140625" style="4"/>
    <col min="5598" max="5598" width="24.7109375" style="4" customWidth="1"/>
    <col min="5599" max="5599" width="12.42578125" style="4" customWidth="1"/>
    <col min="5600" max="5600" width="10.85546875" style="4" customWidth="1"/>
    <col min="5601" max="5601" width="14.28515625" style="4" customWidth="1"/>
    <col min="5602" max="5602" width="11.85546875" style="4" customWidth="1"/>
    <col min="5603" max="5604" width="9.140625" style="4"/>
    <col min="5605" max="5605" width="21.140625" style="4" bestFit="1" customWidth="1"/>
    <col min="5606" max="5606" width="24.140625" style="4" customWidth="1"/>
    <col min="5607" max="5607" width="21" style="4" bestFit="1" customWidth="1"/>
    <col min="5608" max="5608" width="16.42578125" style="4" bestFit="1" customWidth="1"/>
    <col min="5609" max="5609" width="15.7109375" style="4" bestFit="1" customWidth="1"/>
    <col min="5610" max="5610" width="14" style="4" bestFit="1" customWidth="1"/>
    <col min="5611" max="5611" width="12.85546875" style="4" bestFit="1" customWidth="1"/>
    <col min="5612" max="5612" width="15.7109375" style="4" bestFit="1" customWidth="1"/>
    <col min="5613" max="5613" width="18.5703125" style="4" bestFit="1" customWidth="1"/>
    <col min="5614" max="5614" width="15" style="4" bestFit="1" customWidth="1"/>
    <col min="5615" max="5615" width="20.140625" style="4" bestFit="1" customWidth="1"/>
    <col min="5616" max="5616" width="15.85546875" style="4" bestFit="1" customWidth="1"/>
    <col min="5617" max="5617" width="26" style="4" bestFit="1" customWidth="1"/>
    <col min="5618" max="5618" width="21.5703125" style="4" bestFit="1" customWidth="1"/>
    <col min="5619" max="5619" width="22.140625" style="4" bestFit="1" customWidth="1"/>
    <col min="5620" max="5627" width="22.85546875" style="4" bestFit="1" customWidth="1"/>
    <col min="5628" max="5628" width="22.140625" style="4" bestFit="1" customWidth="1"/>
    <col min="5629" max="5630" width="22.140625" style="4" customWidth="1"/>
    <col min="5631" max="5631" width="21.140625" style="4" bestFit="1" customWidth="1"/>
    <col min="5632" max="5632" width="24.140625" style="4" customWidth="1"/>
    <col min="5633" max="5633" width="21" style="4" bestFit="1" customWidth="1"/>
    <col min="5634" max="5634" width="16.42578125" style="4" bestFit="1" customWidth="1"/>
    <col min="5635" max="5635" width="15.7109375" style="4" bestFit="1" customWidth="1"/>
    <col min="5636" max="5636" width="14" style="4" bestFit="1" customWidth="1"/>
    <col min="5637" max="5637" width="12.85546875" style="4" bestFit="1" customWidth="1"/>
    <col min="5638" max="5638" width="15.7109375" style="4" bestFit="1" customWidth="1"/>
    <col min="5639" max="5639" width="18.5703125" style="4" bestFit="1" customWidth="1"/>
    <col min="5640" max="5640" width="15" style="4" bestFit="1" customWidth="1"/>
    <col min="5641" max="5641" width="20.140625" style="4" bestFit="1" customWidth="1"/>
    <col min="5642" max="5642" width="15.85546875" style="4" bestFit="1" customWidth="1"/>
    <col min="5643" max="5643" width="26" style="4" bestFit="1" customWidth="1"/>
    <col min="5644" max="5644" width="21.5703125" style="4" bestFit="1" customWidth="1"/>
    <col min="5645" max="5645" width="22.140625" style="4" bestFit="1" customWidth="1"/>
    <col min="5646" max="5653" width="22.85546875" style="4" bestFit="1" customWidth="1"/>
    <col min="5654" max="5654" width="22.140625" style="4" bestFit="1" customWidth="1"/>
    <col min="5655" max="5656" width="22.140625" style="4" customWidth="1"/>
    <col min="5657" max="5657" width="9.140625" style="4"/>
    <col min="5658" max="5658" width="21.140625" style="4" bestFit="1" customWidth="1"/>
    <col min="5659" max="5659" width="21" style="4" bestFit="1" customWidth="1"/>
    <col min="5660" max="5660" width="15.7109375" style="4" bestFit="1" customWidth="1"/>
    <col min="5661" max="5661" width="14" style="4" bestFit="1" customWidth="1"/>
    <col min="5662" max="5662" width="12.85546875" style="4" bestFit="1" customWidth="1"/>
    <col min="5663" max="5663" width="26" style="4" bestFit="1" customWidth="1"/>
    <col min="5664" max="5665" width="22.140625" style="4" customWidth="1"/>
    <col min="5666" max="5853" width="9.140625" style="4"/>
    <col min="5854" max="5854" width="24.7109375" style="4" customWidth="1"/>
    <col min="5855" max="5855" width="12.42578125" style="4" customWidth="1"/>
    <col min="5856" max="5856" width="10.85546875" style="4" customWidth="1"/>
    <col min="5857" max="5857" width="14.28515625" style="4" customWidth="1"/>
    <col min="5858" max="5858" width="11.85546875" style="4" customWidth="1"/>
    <col min="5859" max="5860" width="9.140625" style="4"/>
    <col min="5861" max="5861" width="21.140625" style="4" bestFit="1" customWidth="1"/>
    <col min="5862" max="5862" width="24.140625" style="4" customWidth="1"/>
    <col min="5863" max="5863" width="21" style="4" bestFit="1" customWidth="1"/>
    <col min="5864" max="5864" width="16.42578125" style="4" bestFit="1" customWidth="1"/>
    <col min="5865" max="5865" width="15.7109375" style="4" bestFit="1" customWidth="1"/>
    <col min="5866" max="5866" width="14" style="4" bestFit="1" customWidth="1"/>
    <col min="5867" max="5867" width="12.85546875" style="4" bestFit="1" customWidth="1"/>
    <col min="5868" max="5868" width="15.7109375" style="4" bestFit="1" customWidth="1"/>
    <col min="5869" max="5869" width="18.5703125" style="4" bestFit="1" customWidth="1"/>
    <col min="5870" max="5870" width="15" style="4" bestFit="1" customWidth="1"/>
    <col min="5871" max="5871" width="20.140625" style="4" bestFit="1" customWidth="1"/>
    <col min="5872" max="5872" width="15.85546875" style="4" bestFit="1" customWidth="1"/>
    <col min="5873" max="5873" width="26" style="4" bestFit="1" customWidth="1"/>
    <col min="5874" max="5874" width="21.5703125" style="4" bestFit="1" customWidth="1"/>
    <col min="5875" max="5875" width="22.140625" style="4" bestFit="1" customWidth="1"/>
    <col min="5876" max="5883" width="22.85546875" style="4" bestFit="1" customWidth="1"/>
    <col min="5884" max="5884" width="22.140625" style="4" bestFit="1" customWidth="1"/>
    <col min="5885" max="5886" width="22.140625" style="4" customWidth="1"/>
    <col min="5887" max="5887" width="21.140625" style="4" bestFit="1" customWidth="1"/>
    <col min="5888" max="5888" width="24.140625" style="4" customWidth="1"/>
    <col min="5889" max="5889" width="21" style="4" bestFit="1" customWidth="1"/>
    <col min="5890" max="5890" width="16.42578125" style="4" bestFit="1" customWidth="1"/>
    <col min="5891" max="5891" width="15.7109375" style="4" bestFit="1" customWidth="1"/>
    <col min="5892" max="5892" width="14" style="4" bestFit="1" customWidth="1"/>
    <col min="5893" max="5893" width="12.85546875" style="4" bestFit="1" customWidth="1"/>
    <col min="5894" max="5894" width="15.7109375" style="4" bestFit="1" customWidth="1"/>
    <col min="5895" max="5895" width="18.5703125" style="4" bestFit="1" customWidth="1"/>
    <col min="5896" max="5896" width="15" style="4" bestFit="1" customWidth="1"/>
    <col min="5897" max="5897" width="20.140625" style="4" bestFit="1" customWidth="1"/>
    <col min="5898" max="5898" width="15.85546875" style="4" bestFit="1" customWidth="1"/>
    <col min="5899" max="5899" width="26" style="4" bestFit="1" customWidth="1"/>
    <col min="5900" max="5900" width="21.5703125" style="4" bestFit="1" customWidth="1"/>
    <col min="5901" max="5901" width="22.140625" style="4" bestFit="1" customWidth="1"/>
    <col min="5902" max="5909" width="22.85546875" style="4" bestFit="1" customWidth="1"/>
    <col min="5910" max="5910" width="22.140625" style="4" bestFit="1" customWidth="1"/>
    <col min="5911" max="5912" width="22.140625" style="4" customWidth="1"/>
    <col min="5913" max="5913" width="9.140625" style="4"/>
    <col min="5914" max="5914" width="21.140625" style="4" bestFit="1" customWidth="1"/>
    <col min="5915" max="5915" width="21" style="4" bestFit="1" customWidth="1"/>
    <col min="5916" max="5916" width="15.7109375" style="4" bestFit="1" customWidth="1"/>
    <col min="5917" max="5917" width="14" style="4" bestFit="1" customWidth="1"/>
    <col min="5918" max="5918" width="12.85546875" style="4" bestFit="1" customWidth="1"/>
    <col min="5919" max="5919" width="26" style="4" bestFit="1" customWidth="1"/>
    <col min="5920" max="5921" width="22.140625" style="4" customWidth="1"/>
    <col min="5922" max="6109" width="9.140625" style="4"/>
    <col min="6110" max="6110" width="24.7109375" style="4" customWidth="1"/>
    <col min="6111" max="6111" width="12.42578125" style="4" customWidth="1"/>
    <col min="6112" max="6112" width="10.85546875" style="4" customWidth="1"/>
    <col min="6113" max="6113" width="14.28515625" style="4" customWidth="1"/>
    <col min="6114" max="6114" width="11.85546875" style="4" customWidth="1"/>
    <col min="6115" max="6116" width="9.140625" style="4"/>
    <col min="6117" max="6117" width="21.140625" style="4" bestFit="1" customWidth="1"/>
    <col min="6118" max="6118" width="24.140625" style="4" customWidth="1"/>
    <col min="6119" max="6119" width="21" style="4" bestFit="1" customWidth="1"/>
    <col min="6120" max="6120" width="16.42578125" style="4" bestFit="1" customWidth="1"/>
    <col min="6121" max="6121" width="15.7109375" style="4" bestFit="1" customWidth="1"/>
    <col min="6122" max="6122" width="14" style="4" bestFit="1" customWidth="1"/>
    <col min="6123" max="6123" width="12.85546875" style="4" bestFit="1" customWidth="1"/>
    <col min="6124" max="6124" width="15.7109375" style="4" bestFit="1" customWidth="1"/>
    <col min="6125" max="6125" width="18.5703125" style="4" bestFit="1" customWidth="1"/>
    <col min="6126" max="6126" width="15" style="4" bestFit="1" customWidth="1"/>
    <col min="6127" max="6127" width="20.140625" style="4" bestFit="1" customWidth="1"/>
    <col min="6128" max="6128" width="15.85546875" style="4" bestFit="1" customWidth="1"/>
    <col min="6129" max="6129" width="26" style="4" bestFit="1" customWidth="1"/>
    <col min="6130" max="6130" width="21.5703125" style="4" bestFit="1" customWidth="1"/>
    <col min="6131" max="6131" width="22.140625" style="4" bestFit="1" customWidth="1"/>
    <col min="6132" max="6139" width="22.85546875" style="4" bestFit="1" customWidth="1"/>
    <col min="6140" max="6140" width="22.140625" style="4" bestFit="1" customWidth="1"/>
    <col min="6141" max="6142" width="22.140625" style="4" customWidth="1"/>
    <col min="6143" max="6143" width="21.140625" style="4" bestFit="1" customWidth="1"/>
    <col min="6144" max="6144" width="24.140625" style="4" customWidth="1"/>
    <col min="6145" max="6145" width="21" style="4" bestFit="1" customWidth="1"/>
    <col min="6146" max="6146" width="16.42578125" style="4" bestFit="1" customWidth="1"/>
    <col min="6147" max="6147" width="15.7109375" style="4" bestFit="1" customWidth="1"/>
    <col min="6148" max="6148" width="14" style="4" bestFit="1" customWidth="1"/>
    <col min="6149" max="6149" width="12.85546875" style="4" bestFit="1" customWidth="1"/>
    <col min="6150" max="6150" width="15.7109375" style="4" bestFit="1" customWidth="1"/>
    <col min="6151" max="6151" width="18.5703125" style="4" bestFit="1" customWidth="1"/>
    <col min="6152" max="6152" width="15" style="4" bestFit="1" customWidth="1"/>
    <col min="6153" max="6153" width="20.140625" style="4" bestFit="1" customWidth="1"/>
    <col min="6154" max="6154" width="15.85546875" style="4" bestFit="1" customWidth="1"/>
    <col min="6155" max="6155" width="26" style="4" bestFit="1" customWidth="1"/>
    <col min="6156" max="6156" width="21.5703125" style="4" bestFit="1" customWidth="1"/>
    <col min="6157" max="6157" width="22.140625" style="4" bestFit="1" customWidth="1"/>
    <col min="6158" max="6165" width="22.85546875" style="4" bestFit="1" customWidth="1"/>
    <col min="6166" max="6166" width="22.140625" style="4" bestFit="1" customWidth="1"/>
    <col min="6167" max="6168" width="22.140625" style="4" customWidth="1"/>
    <col min="6169" max="6169" width="9.140625" style="4"/>
    <col min="6170" max="6170" width="21.140625" style="4" bestFit="1" customWidth="1"/>
    <col min="6171" max="6171" width="21" style="4" bestFit="1" customWidth="1"/>
    <col min="6172" max="6172" width="15.7109375" style="4" bestFit="1" customWidth="1"/>
    <col min="6173" max="6173" width="14" style="4" bestFit="1" customWidth="1"/>
    <col min="6174" max="6174" width="12.85546875" style="4" bestFit="1" customWidth="1"/>
    <col min="6175" max="6175" width="26" style="4" bestFit="1" customWidth="1"/>
    <col min="6176" max="6177" width="22.140625" style="4" customWidth="1"/>
    <col min="6178" max="6365" width="9.140625" style="4"/>
    <col min="6366" max="6366" width="24.7109375" style="4" customWidth="1"/>
    <col min="6367" max="6367" width="12.42578125" style="4" customWidth="1"/>
    <col min="6368" max="6368" width="10.85546875" style="4" customWidth="1"/>
    <col min="6369" max="6369" width="14.28515625" style="4" customWidth="1"/>
    <col min="6370" max="6370" width="11.85546875" style="4" customWidth="1"/>
    <col min="6371" max="6372" width="9.140625" style="4"/>
    <col min="6373" max="6373" width="21.140625" style="4" bestFit="1" customWidth="1"/>
    <col min="6374" max="6374" width="24.140625" style="4" customWidth="1"/>
    <col min="6375" max="6375" width="21" style="4" bestFit="1" customWidth="1"/>
    <col min="6376" max="6376" width="16.42578125" style="4" bestFit="1" customWidth="1"/>
    <col min="6377" max="6377" width="15.7109375" style="4" bestFit="1" customWidth="1"/>
    <col min="6378" max="6378" width="14" style="4" bestFit="1" customWidth="1"/>
    <col min="6379" max="6379" width="12.85546875" style="4" bestFit="1" customWidth="1"/>
    <col min="6380" max="6380" width="15.7109375" style="4" bestFit="1" customWidth="1"/>
    <col min="6381" max="6381" width="18.5703125" style="4" bestFit="1" customWidth="1"/>
    <col min="6382" max="6382" width="15" style="4" bestFit="1" customWidth="1"/>
    <col min="6383" max="6383" width="20.140625" style="4" bestFit="1" customWidth="1"/>
    <col min="6384" max="6384" width="15.85546875" style="4" bestFit="1" customWidth="1"/>
    <col min="6385" max="6385" width="26" style="4" bestFit="1" customWidth="1"/>
    <col min="6386" max="6386" width="21.5703125" style="4" bestFit="1" customWidth="1"/>
    <col min="6387" max="6387" width="22.140625" style="4" bestFit="1" customWidth="1"/>
    <col min="6388" max="6395" width="22.85546875" style="4" bestFit="1" customWidth="1"/>
    <col min="6396" max="6396" width="22.140625" style="4" bestFit="1" customWidth="1"/>
    <col min="6397" max="6398" width="22.140625" style="4" customWidth="1"/>
    <col min="6399" max="6399" width="21.140625" style="4" bestFit="1" customWidth="1"/>
    <col min="6400" max="6400" width="24.140625" style="4" customWidth="1"/>
    <col min="6401" max="6401" width="21" style="4" bestFit="1" customWidth="1"/>
    <col min="6402" max="6402" width="16.42578125" style="4" bestFit="1" customWidth="1"/>
    <col min="6403" max="6403" width="15.7109375" style="4" bestFit="1" customWidth="1"/>
    <col min="6404" max="6404" width="14" style="4" bestFit="1" customWidth="1"/>
    <col min="6405" max="6405" width="12.85546875" style="4" bestFit="1" customWidth="1"/>
    <col min="6406" max="6406" width="15.7109375" style="4" bestFit="1" customWidth="1"/>
    <col min="6407" max="6407" width="18.5703125" style="4" bestFit="1" customWidth="1"/>
    <col min="6408" max="6408" width="15" style="4" bestFit="1" customWidth="1"/>
    <col min="6409" max="6409" width="20.140625" style="4" bestFit="1" customWidth="1"/>
    <col min="6410" max="6410" width="15.85546875" style="4" bestFit="1" customWidth="1"/>
    <col min="6411" max="6411" width="26" style="4" bestFit="1" customWidth="1"/>
    <col min="6412" max="6412" width="21.5703125" style="4" bestFit="1" customWidth="1"/>
    <col min="6413" max="6413" width="22.140625" style="4" bestFit="1" customWidth="1"/>
    <col min="6414" max="6421" width="22.85546875" style="4" bestFit="1" customWidth="1"/>
    <col min="6422" max="6422" width="22.140625" style="4" bestFit="1" customWidth="1"/>
    <col min="6423" max="6424" width="22.140625" style="4" customWidth="1"/>
    <col min="6425" max="6425" width="9.140625" style="4"/>
    <col min="6426" max="6426" width="21.140625" style="4" bestFit="1" customWidth="1"/>
    <col min="6427" max="6427" width="21" style="4" bestFit="1" customWidth="1"/>
    <col min="6428" max="6428" width="15.7109375" style="4" bestFit="1" customWidth="1"/>
    <col min="6429" max="6429" width="14" style="4" bestFit="1" customWidth="1"/>
    <col min="6430" max="6430" width="12.85546875" style="4" bestFit="1" customWidth="1"/>
    <col min="6431" max="6431" width="26" style="4" bestFit="1" customWidth="1"/>
    <col min="6432" max="6433" width="22.140625" style="4" customWidth="1"/>
    <col min="6434" max="6621" width="9.140625" style="4"/>
    <col min="6622" max="6622" width="24.7109375" style="4" customWidth="1"/>
    <col min="6623" max="6623" width="12.42578125" style="4" customWidth="1"/>
    <col min="6624" max="6624" width="10.85546875" style="4" customWidth="1"/>
    <col min="6625" max="6625" width="14.28515625" style="4" customWidth="1"/>
    <col min="6626" max="6626" width="11.85546875" style="4" customWidth="1"/>
    <col min="6627" max="6628" width="9.140625" style="4"/>
    <col min="6629" max="6629" width="21.140625" style="4" bestFit="1" customWidth="1"/>
    <col min="6630" max="6630" width="24.140625" style="4" customWidth="1"/>
    <col min="6631" max="6631" width="21" style="4" bestFit="1" customWidth="1"/>
    <col min="6632" max="6632" width="16.42578125" style="4" bestFit="1" customWidth="1"/>
    <col min="6633" max="6633" width="15.7109375" style="4" bestFit="1" customWidth="1"/>
    <col min="6634" max="6634" width="14" style="4" bestFit="1" customWidth="1"/>
    <col min="6635" max="6635" width="12.85546875" style="4" bestFit="1" customWidth="1"/>
    <col min="6636" max="6636" width="15.7109375" style="4" bestFit="1" customWidth="1"/>
    <col min="6637" max="6637" width="18.5703125" style="4" bestFit="1" customWidth="1"/>
    <col min="6638" max="6638" width="15" style="4" bestFit="1" customWidth="1"/>
    <col min="6639" max="6639" width="20.140625" style="4" bestFit="1" customWidth="1"/>
    <col min="6640" max="6640" width="15.85546875" style="4" bestFit="1" customWidth="1"/>
    <col min="6641" max="6641" width="26" style="4" bestFit="1" customWidth="1"/>
    <col min="6642" max="6642" width="21.5703125" style="4" bestFit="1" customWidth="1"/>
    <col min="6643" max="6643" width="22.140625" style="4" bestFit="1" customWidth="1"/>
    <col min="6644" max="6651" width="22.85546875" style="4" bestFit="1" customWidth="1"/>
    <col min="6652" max="6652" width="22.140625" style="4" bestFit="1" customWidth="1"/>
    <col min="6653" max="6654" width="22.140625" style="4" customWidth="1"/>
    <col min="6655" max="6655" width="21.140625" style="4" bestFit="1" customWidth="1"/>
    <col min="6656" max="6656" width="24.140625" style="4" customWidth="1"/>
    <col min="6657" max="6657" width="21" style="4" bestFit="1" customWidth="1"/>
    <col min="6658" max="6658" width="16.42578125" style="4" bestFit="1" customWidth="1"/>
    <col min="6659" max="6659" width="15.7109375" style="4" bestFit="1" customWidth="1"/>
    <col min="6660" max="6660" width="14" style="4" bestFit="1" customWidth="1"/>
    <col min="6661" max="6661" width="12.85546875" style="4" bestFit="1" customWidth="1"/>
    <col min="6662" max="6662" width="15.7109375" style="4" bestFit="1" customWidth="1"/>
    <col min="6663" max="6663" width="18.5703125" style="4" bestFit="1" customWidth="1"/>
    <col min="6664" max="6664" width="15" style="4" bestFit="1" customWidth="1"/>
    <col min="6665" max="6665" width="20.140625" style="4" bestFit="1" customWidth="1"/>
    <col min="6666" max="6666" width="15.85546875" style="4" bestFit="1" customWidth="1"/>
    <col min="6667" max="6667" width="26" style="4" bestFit="1" customWidth="1"/>
    <col min="6668" max="6668" width="21.5703125" style="4" bestFit="1" customWidth="1"/>
    <col min="6669" max="6669" width="22.140625" style="4" bestFit="1" customWidth="1"/>
    <col min="6670" max="6677" width="22.85546875" style="4" bestFit="1" customWidth="1"/>
    <col min="6678" max="6678" width="22.140625" style="4" bestFit="1" customWidth="1"/>
    <col min="6679" max="6680" width="22.140625" style="4" customWidth="1"/>
    <col min="6681" max="6681" width="9.140625" style="4"/>
    <col min="6682" max="6682" width="21.140625" style="4" bestFit="1" customWidth="1"/>
    <col min="6683" max="6683" width="21" style="4" bestFit="1" customWidth="1"/>
    <col min="6684" max="6684" width="15.7109375" style="4" bestFit="1" customWidth="1"/>
    <col min="6685" max="6685" width="14" style="4" bestFit="1" customWidth="1"/>
    <col min="6686" max="6686" width="12.85546875" style="4" bestFit="1" customWidth="1"/>
    <col min="6687" max="6687" width="26" style="4" bestFit="1" customWidth="1"/>
    <col min="6688" max="6689" width="22.140625" style="4" customWidth="1"/>
    <col min="6690" max="6877" width="9.140625" style="4"/>
    <col min="6878" max="6878" width="24.7109375" style="4" customWidth="1"/>
    <col min="6879" max="6879" width="12.42578125" style="4" customWidth="1"/>
    <col min="6880" max="6880" width="10.85546875" style="4" customWidth="1"/>
    <col min="6881" max="6881" width="14.28515625" style="4" customWidth="1"/>
    <col min="6882" max="6882" width="11.85546875" style="4" customWidth="1"/>
    <col min="6883" max="6884" width="9.140625" style="4"/>
    <col min="6885" max="6885" width="21.140625" style="4" bestFit="1" customWidth="1"/>
    <col min="6886" max="6886" width="24.140625" style="4" customWidth="1"/>
    <col min="6887" max="6887" width="21" style="4" bestFit="1" customWidth="1"/>
    <col min="6888" max="6888" width="16.42578125" style="4" bestFit="1" customWidth="1"/>
    <col min="6889" max="6889" width="15.7109375" style="4" bestFit="1" customWidth="1"/>
    <col min="6890" max="6890" width="14" style="4" bestFit="1" customWidth="1"/>
    <col min="6891" max="6891" width="12.85546875" style="4" bestFit="1" customWidth="1"/>
    <col min="6892" max="6892" width="15.7109375" style="4" bestFit="1" customWidth="1"/>
    <col min="6893" max="6893" width="18.5703125" style="4" bestFit="1" customWidth="1"/>
    <col min="6894" max="6894" width="15" style="4" bestFit="1" customWidth="1"/>
    <col min="6895" max="6895" width="20.140625" style="4" bestFit="1" customWidth="1"/>
    <col min="6896" max="6896" width="15.85546875" style="4" bestFit="1" customWidth="1"/>
    <col min="6897" max="6897" width="26" style="4" bestFit="1" customWidth="1"/>
    <col min="6898" max="6898" width="21.5703125" style="4" bestFit="1" customWidth="1"/>
    <col min="6899" max="6899" width="22.140625" style="4" bestFit="1" customWidth="1"/>
    <col min="6900" max="6907" width="22.85546875" style="4" bestFit="1" customWidth="1"/>
    <col min="6908" max="6908" width="22.140625" style="4" bestFit="1" customWidth="1"/>
    <col min="6909" max="6910" width="22.140625" style="4" customWidth="1"/>
    <col min="6911" max="6911" width="21.140625" style="4" bestFit="1" customWidth="1"/>
    <col min="6912" max="6912" width="24.140625" style="4" customWidth="1"/>
    <col min="6913" max="6913" width="21" style="4" bestFit="1" customWidth="1"/>
    <col min="6914" max="6914" width="16.42578125" style="4" bestFit="1" customWidth="1"/>
    <col min="6915" max="6915" width="15.7109375" style="4" bestFit="1" customWidth="1"/>
    <col min="6916" max="6916" width="14" style="4" bestFit="1" customWidth="1"/>
    <col min="6917" max="6917" width="12.85546875" style="4" bestFit="1" customWidth="1"/>
    <col min="6918" max="6918" width="15.7109375" style="4" bestFit="1" customWidth="1"/>
    <col min="6919" max="6919" width="18.5703125" style="4" bestFit="1" customWidth="1"/>
    <col min="6920" max="6920" width="15" style="4" bestFit="1" customWidth="1"/>
    <col min="6921" max="6921" width="20.140625" style="4" bestFit="1" customWidth="1"/>
    <col min="6922" max="6922" width="15.85546875" style="4" bestFit="1" customWidth="1"/>
    <col min="6923" max="6923" width="26" style="4" bestFit="1" customWidth="1"/>
    <col min="6924" max="6924" width="21.5703125" style="4" bestFit="1" customWidth="1"/>
    <col min="6925" max="6925" width="22.140625" style="4" bestFit="1" customWidth="1"/>
    <col min="6926" max="6933" width="22.85546875" style="4" bestFit="1" customWidth="1"/>
    <col min="6934" max="6934" width="22.140625" style="4" bestFit="1" customWidth="1"/>
    <col min="6935" max="6936" width="22.140625" style="4" customWidth="1"/>
    <col min="6937" max="6937" width="9.140625" style="4"/>
    <col min="6938" max="6938" width="21.140625" style="4" bestFit="1" customWidth="1"/>
    <col min="6939" max="6939" width="21" style="4" bestFit="1" customWidth="1"/>
    <col min="6940" max="6940" width="15.7109375" style="4" bestFit="1" customWidth="1"/>
    <col min="6941" max="6941" width="14" style="4" bestFit="1" customWidth="1"/>
    <col min="6942" max="6942" width="12.85546875" style="4" bestFit="1" customWidth="1"/>
    <col min="6943" max="6943" width="26" style="4" bestFit="1" customWidth="1"/>
    <col min="6944" max="6945" width="22.140625" style="4" customWidth="1"/>
    <col min="6946" max="7133" width="9.140625" style="4"/>
    <col min="7134" max="7134" width="24.7109375" style="4" customWidth="1"/>
    <col min="7135" max="7135" width="12.42578125" style="4" customWidth="1"/>
    <col min="7136" max="7136" width="10.85546875" style="4" customWidth="1"/>
    <col min="7137" max="7137" width="14.28515625" style="4" customWidth="1"/>
    <col min="7138" max="7138" width="11.85546875" style="4" customWidth="1"/>
    <col min="7139" max="7140" width="9.140625" style="4"/>
    <col min="7141" max="7141" width="21.140625" style="4" bestFit="1" customWidth="1"/>
    <col min="7142" max="7142" width="24.140625" style="4" customWidth="1"/>
    <col min="7143" max="7143" width="21" style="4" bestFit="1" customWidth="1"/>
    <col min="7144" max="7144" width="16.42578125" style="4" bestFit="1" customWidth="1"/>
    <col min="7145" max="7145" width="15.7109375" style="4" bestFit="1" customWidth="1"/>
    <col min="7146" max="7146" width="14" style="4" bestFit="1" customWidth="1"/>
    <col min="7147" max="7147" width="12.85546875" style="4" bestFit="1" customWidth="1"/>
    <col min="7148" max="7148" width="15.7109375" style="4" bestFit="1" customWidth="1"/>
    <col min="7149" max="7149" width="18.5703125" style="4" bestFit="1" customWidth="1"/>
    <col min="7150" max="7150" width="15" style="4" bestFit="1" customWidth="1"/>
    <col min="7151" max="7151" width="20.140625" style="4" bestFit="1" customWidth="1"/>
    <col min="7152" max="7152" width="15.85546875" style="4" bestFit="1" customWidth="1"/>
    <col min="7153" max="7153" width="26" style="4" bestFit="1" customWidth="1"/>
    <col min="7154" max="7154" width="21.5703125" style="4" bestFit="1" customWidth="1"/>
    <col min="7155" max="7155" width="22.140625" style="4" bestFit="1" customWidth="1"/>
    <col min="7156" max="7163" width="22.85546875" style="4" bestFit="1" customWidth="1"/>
    <col min="7164" max="7164" width="22.140625" style="4" bestFit="1" customWidth="1"/>
    <col min="7165" max="7166" width="22.140625" style="4" customWidth="1"/>
    <col min="7167" max="7167" width="21.140625" style="4" bestFit="1" customWidth="1"/>
    <col min="7168" max="7168" width="24.140625" style="4" customWidth="1"/>
    <col min="7169" max="7169" width="21" style="4" bestFit="1" customWidth="1"/>
    <col min="7170" max="7170" width="16.42578125" style="4" bestFit="1" customWidth="1"/>
    <col min="7171" max="7171" width="15.7109375" style="4" bestFit="1" customWidth="1"/>
    <col min="7172" max="7172" width="14" style="4" bestFit="1" customWidth="1"/>
    <col min="7173" max="7173" width="12.85546875" style="4" bestFit="1" customWidth="1"/>
    <col min="7174" max="7174" width="15.7109375" style="4" bestFit="1" customWidth="1"/>
    <col min="7175" max="7175" width="18.5703125" style="4" bestFit="1" customWidth="1"/>
    <col min="7176" max="7176" width="15" style="4" bestFit="1" customWidth="1"/>
    <col min="7177" max="7177" width="20.140625" style="4" bestFit="1" customWidth="1"/>
    <col min="7178" max="7178" width="15.85546875" style="4" bestFit="1" customWidth="1"/>
    <col min="7179" max="7179" width="26" style="4" bestFit="1" customWidth="1"/>
    <col min="7180" max="7180" width="21.5703125" style="4" bestFit="1" customWidth="1"/>
    <col min="7181" max="7181" width="22.140625" style="4" bestFit="1" customWidth="1"/>
    <col min="7182" max="7189" width="22.85546875" style="4" bestFit="1" customWidth="1"/>
    <col min="7190" max="7190" width="22.140625" style="4" bestFit="1" customWidth="1"/>
    <col min="7191" max="7192" width="22.140625" style="4" customWidth="1"/>
    <col min="7193" max="7193" width="9.140625" style="4"/>
    <col min="7194" max="7194" width="21.140625" style="4" bestFit="1" customWidth="1"/>
    <col min="7195" max="7195" width="21" style="4" bestFit="1" customWidth="1"/>
    <col min="7196" max="7196" width="15.7109375" style="4" bestFit="1" customWidth="1"/>
    <col min="7197" max="7197" width="14" style="4" bestFit="1" customWidth="1"/>
    <col min="7198" max="7198" width="12.85546875" style="4" bestFit="1" customWidth="1"/>
    <col min="7199" max="7199" width="26" style="4" bestFit="1" customWidth="1"/>
    <col min="7200" max="7201" width="22.140625" style="4" customWidth="1"/>
    <col min="7202" max="7389" width="9.140625" style="4"/>
    <col min="7390" max="7390" width="24.7109375" style="4" customWidth="1"/>
    <col min="7391" max="7391" width="12.42578125" style="4" customWidth="1"/>
    <col min="7392" max="7392" width="10.85546875" style="4" customWidth="1"/>
    <col min="7393" max="7393" width="14.28515625" style="4" customWidth="1"/>
    <col min="7394" max="7394" width="11.85546875" style="4" customWidth="1"/>
    <col min="7395" max="7396" width="9.140625" style="4"/>
    <col min="7397" max="7397" width="21.140625" style="4" bestFit="1" customWidth="1"/>
    <col min="7398" max="7398" width="24.140625" style="4" customWidth="1"/>
    <col min="7399" max="7399" width="21" style="4" bestFit="1" customWidth="1"/>
    <col min="7400" max="7400" width="16.42578125" style="4" bestFit="1" customWidth="1"/>
    <col min="7401" max="7401" width="15.7109375" style="4" bestFit="1" customWidth="1"/>
    <col min="7402" max="7402" width="14" style="4" bestFit="1" customWidth="1"/>
    <col min="7403" max="7403" width="12.85546875" style="4" bestFit="1" customWidth="1"/>
    <col min="7404" max="7404" width="15.7109375" style="4" bestFit="1" customWidth="1"/>
    <col min="7405" max="7405" width="18.5703125" style="4" bestFit="1" customWidth="1"/>
    <col min="7406" max="7406" width="15" style="4" bestFit="1" customWidth="1"/>
    <col min="7407" max="7407" width="20.140625" style="4" bestFit="1" customWidth="1"/>
    <col min="7408" max="7408" width="15.85546875" style="4" bestFit="1" customWidth="1"/>
    <col min="7409" max="7409" width="26" style="4" bestFit="1" customWidth="1"/>
    <col min="7410" max="7410" width="21.5703125" style="4" bestFit="1" customWidth="1"/>
    <col min="7411" max="7411" width="22.140625" style="4" bestFit="1" customWidth="1"/>
    <col min="7412" max="7419" width="22.85546875" style="4" bestFit="1" customWidth="1"/>
    <col min="7420" max="7420" width="22.140625" style="4" bestFit="1" customWidth="1"/>
    <col min="7421" max="7422" width="22.140625" style="4" customWidth="1"/>
    <col min="7423" max="7423" width="21.140625" style="4" bestFit="1" customWidth="1"/>
    <col min="7424" max="7424" width="24.140625" style="4" customWidth="1"/>
    <col min="7425" max="7425" width="21" style="4" bestFit="1" customWidth="1"/>
    <col min="7426" max="7426" width="16.42578125" style="4" bestFit="1" customWidth="1"/>
    <col min="7427" max="7427" width="15.7109375" style="4" bestFit="1" customWidth="1"/>
    <col min="7428" max="7428" width="14" style="4" bestFit="1" customWidth="1"/>
    <col min="7429" max="7429" width="12.85546875" style="4" bestFit="1" customWidth="1"/>
    <col min="7430" max="7430" width="15.7109375" style="4" bestFit="1" customWidth="1"/>
    <col min="7431" max="7431" width="18.5703125" style="4" bestFit="1" customWidth="1"/>
    <col min="7432" max="7432" width="15" style="4" bestFit="1" customWidth="1"/>
    <col min="7433" max="7433" width="20.140625" style="4" bestFit="1" customWidth="1"/>
    <col min="7434" max="7434" width="15.85546875" style="4" bestFit="1" customWidth="1"/>
    <col min="7435" max="7435" width="26" style="4" bestFit="1" customWidth="1"/>
    <col min="7436" max="7436" width="21.5703125" style="4" bestFit="1" customWidth="1"/>
    <col min="7437" max="7437" width="22.140625" style="4" bestFit="1" customWidth="1"/>
    <col min="7438" max="7445" width="22.85546875" style="4" bestFit="1" customWidth="1"/>
    <col min="7446" max="7446" width="22.140625" style="4" bestFit="1" customWidth="1"/>
    <col min="7447" max="7448" width="22.140625" style="4" customWidth="1"/>
    <col min="7449" max="7449" width="9.140625" style="4"/>
    <col min="7450" max="7450" width="21.140625" style="4" bestFit="1" customWidth="1"/>
    <col min="7451" max="7451" width="21" style="4" bestFit="1" customWidth="1"/>
    <col min="7452" max="7452" width="15.7109375" style="4" bestFit="1" customWidth="1"/>
    <col min="7453" max="7453" width="14" style="4" bestFit="1" customWidth="1"/>
    <col min="7454" max="7454" width="12.85546875" style="4" bestFit="1" customWidth="1"/>
    <col min="7455" max="7455" width="26" style="4" bestFit="1" customWidth="1"/>
    <col min="7456" max="7457" width="22.140625" style="4" customWidth="1"/>
    <col min="7458" max="7645" width="9.140625" style="4"/>
    <col min="7646" max="7646" width="24.7109375" style="4" customWidth="1"/>
    <col min="7647" max="7647" width="12.42578125" style="4" customWidth="1"/>
    <col min="7648" max="7648" width="10.85546875" style="4" customWidth="1"/>
    <col min="7649" max="7649" width="14.28515625" style="4" customWidth="1"/>
    <col min="7650" max="7650" width="11.85546875" style="4" customWidth="1"/>
    <col min="7651" max="7652" width="9.140625" style="4"/>
    <col min="7653" max="7653" width="21.140625" style="4" bestFit="1" customWidth="1"/>
    <col min="7654" max="7654" width="24.140625" style="4" customWidth="1"/>
    <col min="7655" max="7655" width="21" style="4" bestFit="1" customWidth="1"/>
    <col min="7656" max="7656" width="16.42578125" style="4" bestFit="1" customWidth="1"/>
    <col min="7657" max="7657" width="15.7109375" style="4" bestFit="1" customWidth="1"/>
    <col min="7658" max="7658" width="14" style="4" bestFit="1" customWidth="1"/>
    <col min="7659" max="7659" width="12.85546875" style="4" bestFit="1" customWidth="1"/>
    <col min="7660" max="7660" width="15.7109375" style="4" bestFit="1" customWidth="1"/>
    <col min="7661" max="7661" width="18.5703125" style="4" bestFit="1" customWidth="1"/>
    <col min="7662" max="7662" width="15" style="4" bestFit="1" customWidth="1"/>
    <col min="7663" max="7663" width="20.140625" style="4" bestFit="1" customWidth="1"/>
    <col min="7664" max="7664" width="15.85546875" style="4" bestFit="1" customWidth="1"/>
    <col min="7665" max="7665" width="26" style="4" bestFit="1" customWidth="1"/>
    <col min="7666" max="7666" width="21.5703125" style="4" bestFit="1" customWidth="1"/>
    <col min="7667" max="7667" width="22.140625" style="4" bestFit="1" customWidth="1"/>
    <col min="7668" max="7675" width="22.85546875" style="4" bestFit="1" customWidth="1"/>
    <col min="7676" max="7676" width="22.140625" style="4" bestFit="1" customWidth="1"/>
    <col min="7677" max="7678" width="22.140625" style="4" customWidth="1"/>
    <col min="7679" max="7679" width="21.140625" style="4" bestFit="1" customWidth="1"/>
    <col min="7680" max="7680" width="24.140625" style="4" customWidth="1"/>
    <col min="7681" max="7681" width="21" style="4" bestFit="1" customWidth="1"/>
    <col min="7682" max="7682" width="16.42578125" style="4" bestFit="1" customWidth="1"/>
    <col min="7683" max="7683" width="15.7109375" style="4" bestFit="1" customWidth="1"/>
    <col min="7684" max="7684" width="14" style="4" bestFit="1" customWidth="1"/>
    <col min="7685" max="7685" width="12.85546875" style="4" bestFit="1" customWidth="1"/>
    <col min="7686" max="7686" width="15.7109375" style="4" bestFit="1" customWidth="1"/>
    <col min="7687" max="7687" width="18.5703125" style="4" bestFit="1" customWidth="1"/>
    <col min="7688" max="7688" width="15" style="4" bestFit="1" customWidth="1"/>
    <col min="7689" max="7689" width="20.140625" style="4" bestFit="1" customWidth="1"/>
    <col min="7690" max="7690" width="15.85546875" style="4" bestFit="1" customWidth="1"/>
    <col min="7691" max="7691" width="26" style="4" bestFit="1" customWidth="1"/>
    <col min="7692" max="7692" width="21.5703125" style="4" bestFit="1" customWidth="1"/>
    <col min="7693" max="7693" width="22.140625" style="4" bestFit="1" customWidth="1"/>
    <col min="7694" max="7701" width="22.85546875" style="4" bestFit="1" customWidth="1"/>
    <col min="7702" max="7702" width="22.140625" style="4" bestFit="1" customWidth="1"/>
    <col min="7703" max="7704" width="22.140625" style="4" customWidth="1"/>
    <col min="7705" max="7705" width="9.140625" style="4"/>
    <col min="7706" max="7706" width="21.140625" style="4" bestFit="1" customWidth="1"/>
    <col min="7707" max="7707" width="21" style="4" bestFit="1" customWidth="1"/>
    <col min="7708" max="7708" width="15.7109375" style="4" bestFit="1" customWidth="1"/>
    <col min="7709" max="7709" width="14" style="4" bestFit="1" customWidth="1"/>
    <col min="7710" max="7710" width="12.85546875" style="4" bestFit="1" customWidth="1"/>
    <col min="7711" max="7711" width="26" style="4" bestFit="1" customWidth="1"/>
    <col min="7712" max="7713" width="22.140625" style="4" customWidth="1"/>
    <col min="7714" max="7901" width="9.140625" style="4"/>
    <col min="7902" max="7902" width="24.7109375" style="4" customWidth="1"/>
    <col min="7903" max="7903" width="12.42578125" style="4" customWidth="1"/>
    <col min="7904" max="7904" width="10.85546875" style="4" customWidth="1"/>
    <col min="7905" max="7905" width="14.28515625" style="4" customWidth="1"/>
    <col min="7906" max="7906" width="11.85546875" style="4" customWidth="1"/>
    <col min="7907" max="7908" width="9.140625" style="4"/>
    <col min="7909" max="7909" width="21.140625" style="4" bestFit="1" customWidth="1"/>
    <col min="7910" max="7910" width="24.140625" style="4" customWidth="1"/>
    <col min="7911" max="7911" width="21" style="4" bestFit="1" customWidth="1"/>
    <col min="7912" max="7912" width="16.42578125" style="4" bestFit="1" customWidth="1"/>
    <col min="7913" max="7913" width="15.7109375" style="4" bestFit="1" customWidth="1"/>
    <col min="7914" max="7914" width="14" style="4" bestFit="1" customWidth="1"/>
    <col min="7915" max="7915" width="12.85546875" style="4" bestFit="1" customWidth="1"/>
    <col min="7916" max="7916" width="15.7109375" style="4" bestFit="1" customWidth="1"/>
    <col min="7917" max="7917" width="18.5703125" style="4" bestFit="1" customWidth="1"/>
    <col min="7918" max="7918" width="15" style="4" bestFit="1" customWidth="1"/>
    <col min="7919" max="7919" width="20.140625" style="4" bestFit="1" customWidth="1"/>
    <col min="7920" max="7920" width="15.85546875" style="4" bestFit="1" customWidth="1"/>
    <col min="7921" max="7921" width="26" style="4" bestFit="1" customWidth="1"/>
    <col min="7922" max="7922" width="21.5703125" style="4" bestFit="1" customWidth="1"/>
    <col min="7923" max="7923" width="22.140625" style="4" bestFit="1" customWidth="1"/>
    <col min="7924" max="7931" width="22.85546875" style="4" bestFit="1" customWidth="1"/>
    <col min="7932" max="7932" width="22.140625" style="4" bestFit="1" customWidth="1"/>
    <col min="7933" max="7934" width="22.140625" style="4" customWidth="1"/>
    <col min="7935" max="7935" width="21.140625" style="4" bestFit="1" customWidth="1"/>
    <col min="7936" max="7936" width="24.140625" style="4" customWidth="1"/>
    <col min="7937" max="7937" width="21" style="4" bestFit="1" customWidth="1"/>
    <col min="7938" max="7938" width="16.42578125" style="4" bestFit="1" customWidth="1"/>
    <col min="7939" max="7939" width="15.7109375" style="4" bestFit="1" customWidth="1"/>
    <col min="7940" max="7940" width="14" style="4" bestFit="1" customWidth="1"/>
    <col min="7941" max="7941" width="12.85546875" style="4" bestFit="1" customWidth="1"/>
    <col min="7942" max="7942" width="15.7109375" style="4" bestFit="1" customWidth="1"/>
    <col min="7943" max="7943" width="18.5703125" style="4" bestFit="1" customWidth="1"/>
    <col min="7944" max="7944" width="15" style="4" bestFit="1" customWidth="1"/>
    <col min="7945" max="7945" width="20.140625" style="4" bestFit="1" customWidth="1"/>
    <col min="7946" max="7946" width="15.85546875" style="4" bestFit="1" customWidth="1"/>
    <col min="7947" max="7947" width="26" style="4" bestFit="1" customWidth="1"/>
    <col min="7948" max="7948" width="21.5703125" style="4" bestFit="1" customWidth="1"/>
    <col min="7949" max="7949" width="22.140625" style="4" bestFit="1" customWidth="1"/>
    <col min="7950" max="7957" width="22.85546875" style="4" bestFit="1" customWidth="1"/>
    <col min="7958" max="7958" width="22.140625" style="4" bestFit="1" customWidth="1"/>
    <col min="7959" max="7960" width="22.140625" style="4" customWidth="1"/>
    <col min="7961" max="7961" width="9.140625" style="4"/>
    <col min="7962" max="7962" width="21.140625" style="4" bestFit="1" customWidth="1"/>
    <col min="7963" max="7963" width="21" style="4" bestFit="1" customWidth="1"/>
    <col min="7964" max="7964" width="15.7109375" style="4" bestFit="1" customWidth="1"/>
    <col min="7965" max="7965" width="14" style="4" bestFit="1" customWidth="1"/>
    <col min="7966" max="7966" width="12.85546875" style="4" bestFit="1" customWidth="1"/>
    <col min="7967" max="7967" width="26" style="4" bestFit="1" customWidth="1"/>
    <col min="7968" max="7969" width="22.140625" style="4" customWidth="1"/>
    <col min="7970" max="8157" width="9.140625" style="4"/>
    <col min="8158" max="8158" width="24.7109375" style="4" customWidth="1"/>
    <col min="8159" max="8159" width="12.42578125" style="4" customWidth="1"/>
    <col min="8160" max="8160" width="10.85546875" style="4" customWidth="1"/>
    <col min="8161" max="8161" width="14.28515625" style="4" customWidth="1"/>
    <col min="8162" max="8162" width="11.85546875" style="4" customWidth="1"/>
    <col min="8163" max="8164" width="9.140625" style="4"/>
    <col min="8165" max="8165" width="21.140625" style="4" bestFit="1" customWidth="1"/>
    <col min="8166" max="8166" width="24.140625" style="4" customWidth="1"/>
    <col min="8167" max="8167" width="21" style="4" bestFit="1" customWidth="1"/>
    <col min="8168" max="8168" width="16.42578125" style="4" bestFit="1" customWidth="1"/>
    <col min="8169" max="8169" width="15.7109375" style="4" bestFit="1" customWidth="1"/>
    <col min="8170" max="8170" width="14" style="4" bestFit="1" customWidth="1"/>
    <col min="8171" max="8171" width="12.85546875" style="4" bestFit="1" customWidth="1"/>
    <col min="8172" max="8172" width="15.7109375" style="4" bestFit="1" customWidth="1"/>
    <col min="8173" max="8173" width="18.5703125" style="4" bestFit="1" customWidth="1"/>
    <col min="8174" max="8174" width="15" style="4" bestFit="1" customWidth="1"/>
    <col min="8175" max="8175" width="20.140625" style="4" bestFit="1" customWidth="1"/>
    <col min="8176" max="8176" width="15.85546875" style="4" bestFit="1" customWidth="1"/>
    <col min="8177" max="8177" width="26" style="4" bestFit="1" customWidth="1"/>
    <col min="8178" max="8178" width="21.5703125" style="4" bestFit="1" customWidth="1"/>
    <col min="8179" max="8179" width="22.140625" style="4" bestFit="1" customWidth="1"/>
    <col min="8180" max="8187" width="22.85546875" style="4" bestFit="1" customWidth="1"/>
    <col min="8188" max="8188" width="22.140625" style="4" bestFit="1" customWidth="1"/>
    <col min="8189" max="8190" width="22.140625" style="4" customWidth="1"/>
    <col min="8191" max="8191" width="21.140625" style="4" bestFit="1" customWidth="1"/>
    <col min="8192" max="8192" width="24.140625" style="4" customWidth="1"/>
    <col min="8193" max="8193" width="21" style="4" bestFit="1" customWidth="1"/>
    <col min="8194" max="8194" width="16.42578125" style="4" bestFit="1" customWidth="1"/>
    <col min="8195" max="8195" width="15.7109375" style="4" bestFit="1" customWidth="1"/>
    <col min="8196" max="8196" width="14" style="4" bestFit="1" customWidth="1"/>
    <col min="8197" max="8197" width="12.85546875" style="4" bestFit="1" customWidth="1"/>
    <col min="8198" max="8198" width="15.7109375" style="4" bestFit="1" customWidth="1"/>
    <col min="8199" max="8199" width="18.5703125" style="4" bestFit="1" customWidth="1"/>
    <col min="8200" max="8200" width="15" style="4" bestFit="1" customWidth="1"/>
    <col min="8201" max="8201" width="20.140625" style="4" bestFit="1" customWidth="1"/>
    <col min="8202" max="8202" width="15.85546875" style="4" bestFit="1" customWidth="1"/>
    <col min="8203" max="8203" width="26" style="4" bestFit="1" customWidth="1"/>
    <col min="8204" max="8204" width="21.5703125" style="4" bestFit="1" customWidth="1"/>
    <col min="8205" max="8205" width="22.140625" style="4" bestFit="1" customWidth="1"/>
    <col min="8206" max="8213" width="22.85546875" style="4" bestFit="1" customWidth="1"/>
    <col min="8214" max="8214" width="22.140625" style="4" bestFit="1" customWidth="1"/>
    <col min="8215" max="8216" width="22.140625" style="4" customWidth="1"/>
    <col min="8217" max="8217" width="9.140625" style="4"/>
    <col min="8218" max="8218" width="21.140625" style="4" bestFit="1" customWidth="1"/>
    <col min="8219" max="8219" width="21" style="4" bestFit="1" customWidth="1"/>
    <col min="8220" max="8220" width="15.7109375" style="4" bestFit="1" customWidth="1"/>
    <col min="8221" max="8221" width="14" style="4" bestFit="1" customWidth="1"/>
    <col min="8222" max="8222" width="12.85546875" style="4" bestFit="1" customWidth="1"/>
    <col min="8223" max="8223" width="26" style="4" bestFit="1" customWidth="1"/>
    <col min="8224" max="8225" width="22.140625" style="4" customWidth="1"/>
    <col min="8226" max="8413" width="9.140625" style="4"/>
    <col min="8414" max="8414" width="24.7109375" style="4" customWidth="1"/>
    <col min="8415" max="8415" width="12.42578125" style="4" customWidth="1"/>
    <col min="8416" max="8416" width="10.85546875" style="4" customWidth="1"/>
    <col min="8417" max="8417" width="14.28515625" style="4" customWidth="1"/>
    <col min="8418" max="8418" width="11.85546875" style="4" customWidth="1"/>
    <col min="8419" max="8420" width="9.140625" style="4"/>
    <col min="8421" max="8421" width="21.140625" style="4" bestFit="1" customWidth="1"/>
    <col min="8422" max="8422" width="24.140625" style="4" customWidth="1"/>
    <col min="8423" max="8423" width="21" style="4" bestFit="1" customWidth="1"/>
    <col min="8424" max="8424" width="16.42578125" style="4" bestFit="1" customWidth="1"/>
    <col min="8425" max="8425" width="15.7109375" style="4" bestFit="1" customWidth="1"/>
    <col min="8426" max="8426" width="14" style="4" bestFit="1" customWidth="1"/>
    <col min="8427" max="8427" width="12.85546875" style="4" bestFit="1" customWidth="1"/>
    <col min="8428" max="8428" width="15.7109375" style="4" bestFit="1" customWidth="1"/>
    <col min="8429" max="8429" width="18.5703125" style="4" bestFit="1" customWidth="1"/>
    <col min="8430" max="8430" width="15" style="4" bestFit="1" customWidth="1"/>
    <col min="8431" max="8431" width="20.140625" style="4" bestFit="1" customWidth="1"/>
    <col min="8432" max="8432" width="15.85546875" style="4" bestFit="1" customWidth="1"/>
    <col min="8433" max="8433" width="26" style="4" bestFit="1" customWidth="1"/>
    <col min="8434" max="8434" width="21.5703125" style="4" bestFit="1" customWidth="1"/>
    <col min="8435" max="8435" width="22.140625" style="4" bestFit="1" customWidth="1"/>
    <col min="8436" max="8443" width="22.85546875" style="4" bestFit="1" customWidth="1"/>
    <col min="8444" max="8444" width="22.140625" style="4" bestFit="1" customWidth="1"/>
    <col min="8445" max="8446" width="22.140625" style="4" customWidth="1"/>
    <col min="8447" max="8447" width="21.140625" style="4" bestFit="1" customWidth="1"/>
    <col min="8448" max="8448" width="24.140625" style="4" customWidth="1"/>
    <col min="8449" max="8449" width="21" style="4" bestFit="1" customWidth="1"/>
    <col min="8450" max="8450" width="16.42578125" style="4" bestFit="1" customWidth="1"/>
    <col min="8451" max="8451" width="15.7109375" style="4" bestFit="1" customWidth="1"/>
    <col min="8452" max="8452" width="14" style="4" bestFit="1" customWidth="1"/>
    <col min="8453" max="8453" width="12.85546875" style="4" bestFit="1" customWidth="1"/>
    <col min="8454" max="8454" width="15.7109375" style="4" bestFit="1" customWidth="1"/>
    <col min="8455" max="8455" width="18.5703125" style="4" bestFit="1" customWidth="1"/>
    <col min="8456" max="8456" width="15" style="4" bestFit="1" customWidth="1"/>
    <col min="8457" max="8457" width="20.140625" style="4" bestFit="1" customWidth="1"/>
    <col min="8458" max="8458" width="15.85546875" style="4" bestFit="1" customWidth="1"/>
    <col min="8459" max="8459" width="26" style="4" bestFit="1" customWidth="1"/>
    <col min="8460" max="8460" width="21.5703125" style="4" bestFit="1" customWidth="1"/>
    <col min="8461" max="8461" width="22.140625" style="4" bestFit="1" customWidth="1"/>
    <col min="8462" max="8469" width="22.85546875" style="4" bestFit="1" customWidth="1"/>
    <col min="8470" max="8470" width="22.140625" style="4" bestFit="1" customWidth="1"/>
    <col min="8471" max="8472" width="22.140625" style="4" customWidth="1"/>
    <col min="8473" max="8473" width="9.140625" style="4"/>
    <col min="8474" max="8474" width="21.140625" style="4" bestFit="1" customWidth="1"/>
    <col min="8475" max="8475" width="21" style="4" bestFit="1" customWidth="1"/>
    <col min="8476" max="8476" width="15.7109375" style="4" bestFit="1" customWidth="1"/>
    <col min="8477" max="8477" width="14" style="4" bestFit="1" customWidth="1"/>
    <col min="8478" max="8478" width="12.85546875" style="4" bestFit="1" customWidth="1"/>
    <col min="8479" max="8479" width="26" style="4" bestFit="1" customWidth="1"/>
    <col min="8480" max="8481" width="22.140625" style="4" customWidth="1"/>
    <col min="8482" max="8669" width="9.140625" style="4"/>
    <col min="8670" max="8670" width="24.7109375" style="4" customWidth="1"/>
    <col min="8671" max="8671" width="12.42578125" style="4" customWidth="1"/>
    <col min="8672" max="8672" width="10.85546875" style="4" customWidth="1"/>
    <col min="8673" max="8673" width="14.28515625" style="4" customWidth="1"/>
    <col min="8674" max="8674" width="11.85546875" style="4" customWidth="1"/>
    <col min="8675" max="8676" width="9.140625" style="4"/>
    <col min="8677" max="8677" width="21.140625" style="4" bestFit="1" customWidth="1"/>
    <col min="8678" max="8678" width="24.140625" style="4" customWidth="1"/>
    <col min="8679" max="8679" width="21" style="4" bestFit="1" customWidth="1"/>
    <col min="8680" max="8680" width="16.42578125" style="4" bestFit="1" customWidth="1"/>
    <col min="8681" max="8681" width="15.7109375" style="4" bestFit="1" customWidth="1"/>
    <col min="8682" max="8682" width="14" style="4" bestFit="1" customWidth="1"/>
    <col min="8683" max="8683" width="12.85546875" style="4" bestFit="1" customWidth="1"/>
    <col min="8684" max="8684" width="15.7109375" style="4" bestFit="1" customWidth="1"/>
    <col min="8685" max="8685" width="18.5703125" style="4" bestFit="1" customWidth="1"/>
    <col min="8686" max="8686" width="15" style="4" bestFit="1" customWidth="1"/>
    <col min="8687" max="8687" width="20.140625" style="4" bestFit="1" customWidth="1"/>
    <col min="8688" max="8688" width="15.85546875" style="4" bestFit="1" customWidth="1"/>
    <col min="8689" max="8689" width="26" style="4" bestFit="1" customWidth="1"/>
    <col min="8690" max="8690" width="21.5703125" style="4" bestFit="1" customWidth="1"/>
    <col min="8691" max="8691" width="22.140625" style="4" bestFit="1" customWidth="1"/>
    <col min="8692" max="8699" width="22.85546875" style="4" bestFit="1" customWidth="1"/>
    <col min="8700" max="8700" width="22.140625" style="4" bestFit="1" customWidth="1"/>
    <col min="8701" max="8702" width="22.140625" style="4" customWidth="1"/>
    <col min="8703" max="8703" width="21.140625" style="4" bestFit="1" customWidth="1"/>
    <col min="8704" max="8704" width="24.140625" style="4" customWidth="1"/>
    <col min="8705" max="8705" width="21" style="4" bestFit="1" customWidth="1"/>
    <col min="8706" max="8706" width="16.42578125" style="4" bestFit="1" customWidth="1"/>
    <col min="8707" max="8707" width="15.7109375" style="4" bestFit="1" customWidth="1"/>
    <col min="8708" max="8708" width="14" style="4" bestFit="1" customWidth="1"/>
    <col min="8709" max="8709" width="12.85546875" style="4" bestFit="1" customWidth="1"/>
    <col min="8710" max="8710" width="15.7109375" style="4" bestFit="1" customWidth="1"/>
    <col min="8711" max="8711" width="18.5703125" style="4" bestFit="1" customWidth="1"/>
    <col min="8712" max="8712" width="15" style="4" bestFit="1" customWidth="1"/>
    <col min="8713" max="8713" width="20.140625" style="4" bestFit="1" customWidth="1"/>
    <col min="8714" max="8714" width="15.85546875" style="4" bestFit="1" customWidth="1"/>
    <col min="8715" max="8715" width="26" style="4" bestFit="1" customWidth="1"/>
    <col min="8716" max="8716" width="21.5703125" style="4" bestFit="1" customWidth="1"/>
    <col min="8717" max="8717" width="22.140625" style="4" bestFit="1" customWidth="1"/>
    <col min="8718" max="8725" width="22.85546875" style="4" bestFit="1" customWidth="1"/>
    <col min="8726" max="8726" width="22.140625" style="4" bestFit="1" customWidth="1"/>
    <col min="8727" max="8728" width="22.140625" style="4" customWidth="1"/>
    <col min="8729" max="8729" width="9.140625" style="4"/>
    <col min="8730" max="8730" width="21.140625" style="4" bestFit="1" customWidth="1"/>
    <col min="8731" max="8731" width="21" style="4" bestFit="1" customWidth="1"/>
    <col min="8732" max="8732" width="15.7109375" style="4" bestFit="1" customWidth="1"/>
    <col min="8733" max="8733" width="14" style="4" bestFit="1" customWidth="1"/>
    <col min="8734" max="8734" width="12.85546875" style="4" bestFit="1" customWidth="1"/>
    <col min="8735" max="8735" width="26" style="4" bestFit="1" customWidth="1"/>
    <col min="8736" max="8737" width="22.140625" style="4" customWidth="1"/>
    <col min="8738" max="8925" width="9.140625" style="4"/>
    <col min="8926" max="8926" width="24.7109375" style="4" customWidth="1"/>
    <col min="8927" max="8927" width="12.42578125" style="4" customWidth="1"/>
    <col min="8928" max="8928" width="10.85546875" style="4" customWidth="1"/>
    <col min="8929" max="8929" width="14.28515625" style="4" customWidth="1"/>
    <col min="8930" max="8930" width="11.85546875" style="4" customWidth="1"/>
    <col min="8931" max="8932" width="9.140625" style="4"/>
    <col min="8933" max="8933" width="21.140625" style="4" bestFit="1" customWidth="1"/>
    <col min="8934" max="8934" width="24.140625" style="4" customWidth="1"/>
    <col min="8935" max="8935" width="21" style="4" bestFit="1" customWidth="1"/>
    <col min="8936" max="8936" width="16.42578125" style="4" bestFit="1" customWidth="1"/>
    <col min="8937" max="8937" width="15.7109375" style="4" bestFit="1" customWidth="1"/>
    <col min="8938" max="8938" width="14" style="4" bestFit="1" customWidth="1"/>
    <col min="8939" max="8939" width="12.85546875" style="4" bestFit="1" customWidth="1"/>
    <col min="8940" max="8940" width="15.7109375" style="4" bestFit="1" customWidth="1"/>
    <col min="8941" max="8941" width="18.5703125" style="4" bestFit="1" customWidth="1"/>
    <col min="8942" max="8942" width="15" style="4" bestFit="1" customWidth="1"/>
    <col min="8943" max="8943" width="20.140625" style="4" bestFit="1" customWidth="1"/>
    <col min="8944" max="8944" width="15.85546875" style="4" bestFit="1" customWidth="1"/>
    <col min="8945" max="8945" width="26" style="4" bestFit="1" customWidth="1"/>
    <col min="8946" max="8946" width="21.5703125" style="4" bestFit="1" customWidth="1"/>
    <col min="8947" max="8947" width="22.140625" style="4" bestFit="1" customWidth="1"/>
    <col min="8948" max="8955" width="22.85546875" style="4" bestFit="1" customWidth="1"/>
    <col min="8956" max="8956" width="22.140625" style="4" bestFit="1" customWidth="1"/>
    <col min="8957" max="8958" width="22.140625" style="4" customWidth="1"/>
    <col min="8959" max="8959" width="21.140625" style="4" bestFit="1" customWidth="1"/>
    <col min="8960" max="8960" width="24.140625" style="4" customWidth="1"/>
    <col min="8961" max="8961" width="21" style="4" bestFit="1" customWidth="1"/>
    <col min="8962" max="8962" width="16.42578125" style="4" bestFit="1" customWidth="1"/>
    <col min="8963" max="8963" width="15.7109375" style="4" bestFit="1" customWidth="1"/>
    <col min="8964" max="8964" width="14" style="4" bestFit="1" customWidth="1"/>
    <col min="8965" max="8965" width="12.85546875" style="4" bestFit="1" customWidth="1"/>
    <col min="8966" max="8966" width="15.7109375" style="4" bestFit="1" customWidth="1"/>
    <col min="8967" max="8967" width="18.5703125" style="4" bestFit="1" customWidth="1"/>
    <col min="8968" max="8968" width="15" style="4" bestFit="1" customWidth="1"/>
    <col min="8969" max="8969" width="20.140625" style="4" bestFit="1" customWidth="1"/>
    <col min="8970" max="8970" width="15.85546875" style="4" bestFit="1" customWidth="1"/>
    <col min="8971" max="8971" width="26" style="4" bestFit="1" customWidth="1"/>
    <col min="8972" max="8972" width="21.5703125" style="4" bestFit="1" customWidth="1"/>
    <col min="8973" max="8973" width="22.140625" style="4" bestFit="1" customWidth="1"/>
    <col min="8974" max="8981" width="22.85546875" style="4" bestFit="1" customWidth="1"/>
    <col min="8982" max="8982" width="22.140625" style="4" bestFit="1" customWidth="1"/>
    <col min="8983" max="8984" width="22.140625" style="4" customWidth="1"/>
    <col min="8985" max="8985" width="9.140625" style="4"/>
    <col min="8986" max="8986" width="21.140625" style="4" bestFit="1" customWidth="1"/>
    <col min="8987" max="8987" width="21" style="4" bestFit="1" customWidth="1"/>
    <col min="8988" max="8988" width="15.7109375" style="4" bestFit="1" customWidth="1"/>
    <col min="8989" max="8989" width="14" style="4" bestFit="1" customWidth="1"/>
    <col min="8990" max="8990" width="12.85546875" style="4" bestFit="1" customWidth="1"/>
    <col min="8991" max="8991" width="26" style="4" bestFit="1" customWidth="1"/>
    <col min="8992" max="8993" width="22.140625" style="4" customWidth="1"/>
    <col min="8994" max="9181" width="9.140625" style="4"/>
    <col min="9182" max="9182" width="24.7109375" style="4" customWidth="1"/>
    <col min="9183" max="9183" width="12.42578125" style="4" customWidth="1"/>
    <col min="9184" max="9184" width="10.85546875" style="4" customWidth="1"/>
    <col min="9185" max="9185" width="14.28515625" style="4" customWidth="1"/>
    <col min="9186" max="9186" width="11.85546875" style="4" customWidth="1"/>
    <col min="9187" max="9188" width="9.140625" style="4"/>
    <col min="9189" max="9189" width="21.140625" style="4" bestFit="1" customWidth="1"/>
    <col min="9190" max="9190" width="24.140625" style="4" customWidth="1"/>
    <col min="9191" max="9191" width="21" style="4" bestFit="1" customWidth="1"/>
    <col min="9192" max="9192" width="16.42578125" style="4" bestFit="1" customWidth="1"/>
    <col min="9193" max="9193" width="15.7109375" style="4" bestFit="1" customWidth="1"/>
    <col min="9194" max="9194" width="14" style="4" bestFit="1" customWidth="1"/>
    <col min="9195" max="9195" width="12.85546875" style="4" bestFit="1" customWidth="1"/>
    <col min="9196" max="9196" width="15.7109375" style="4" bestFit="1" customWidth="1"/>
    <col min="9197" max="9197" width="18.5703125" style="4" bestFit="1" customWidth="1"/>
    <col min="9198" max="9198" width="15" style="4" bestFit="1" customWidth="1"/>
    <col min="9199" max="9199" width="20.140625" style="4" bestFit="1" customWidth="1"/>
    <col min="9200" max="9200" width="15.85546875" style="4" bestFit="1" customWidth="1"/>
    <col min="9201" max="9201" width="26" style="4" bestFit="1" customWidth="1"/>
    <col min="9202" max="9202" width="21.5703125" style="4" bestFit="1" customWidth="1"/>
    <col min="9203" max="9203" width="22.140625" style="4" bestFit="1" customWidth="1"/>
    <col min="9204" max="9211" width="22.85546875" style="4" bestFit="1" customWidth="1"/>
    <col min="9212" max="9212" width="22.140625" style="4" bestFit="1" customWidth="1"/>
    <col min="9213" max="9214" width="22.140625" style="4" customWidth="1"/>
    <col min="9215" max="9215" width="21.140625" style="4" bestFit="1" customWidth="1"/>
    <col min="9216" max="9216" width="24.140625" style="4" customWidth="1"/>
    <col min="9217" max="9217" width="21" style="4" bestFit="1" customWidth="1"/>
    <col min="9218" max="9218" width="16.42578125" style="4" bestFit="1" customWidth="1"/>
    <col min="9219" max="9219" width="15.7109375" style="4" bestFit="1" customWidth="1"/>
    <col min="9220" max="9220" width="14" style="4" bestFit="1" customWidth="1"/>
    <col min="9221" max="9221" width="12.85546875" style="4" bestFit="1" customWidth="1"/>
    <col min="9222" max="9222" width="15.7109375" style="4" bestFit="1" customWidth="1"/>
    <col min="9223" max="9223" width="18.5703125" style="4" bestFit="1" customWidth="1"/>
    <col min="9224" max="9224" width="15" style="4" bestFit="1" customWidth="1"/>
    <col min="9225" max="9225" width="20.140625" style="4" bestFit="1" customWidth="1"/>
    <col min="9226" max="9226" width="15.85546875" style="4" bestFit="1" customWidth="1"/>
    <col min="9227" max="9227" width="26" style="4" bestFit="1" customWidth="1"/>
    <col min="9228" max="9228" width="21.5703125" style="4" bestFit="1" customWidth="1"/>
    <col min="9229" max="9229" width="22.140625" style="4" bestFit="1" customWidth="1"/>
    <col min="9230" max="9237" width="22.85546875" style="4" bestFit="1" customWidth="1"/>
    <col min="9238" max="9238" width="22.140625" style="4" bestFit="1" customWidth="1"/>
    <col min="9239" max="9240" width="22.140625" style="4" customWidth="1"/>
    <col min="9241" max="9241" width="9.140625" style="4"/>
    <col min="9242" max="9242" width="21.140625" style="4" bestFit="1" customWidth="1"/>
    <col min="9243" max="9243" width="21" style="4" bestFit="1" customWidth="1"/>
    <col min="9244" max="9244" width="15.7109375" style="4" bestFit="1" customWidth="1"/>
    <col min="9245" max="9245" width="14" style="4" bestFit="1" customWidth="1"/>
    <col min="9246" max="9246" width="12.85546875" style="4" bestFit="1" customWidth="1"/>
    <col min="9247" max="9247" width="26" style="4" bestFit="1" customWidth="1"/>
    <col min="9248" max="9249" width="22.140625" style="4" customWidth="1"/>
    <col min="9250" max="9437" width="9.140625" style="4"/>
    <col min="9438" max="9438" width="24.7109375" style="4" customWidth="1"/>
    <col min="9439" max="9439" width="12.42578125" style="4" customWidth="1"/>
    <col min="9440" max="9440" width="10.85546875" style="4" customWidth="1"/>
    <col min="9441" max="9441" width="14.28515625" style="4" customWidth="1"/>
    <col min="9442" max="9442" width="11.85546875" style="4" customWidth="1"/>
    <col min="9443" max="9444" width="9.140625" style="4"/>
    <col min="9445" max="9445" width="21.140625" style="4" bestFit="1" customWidth="1"/>
    <col min="9446" max="9446" width="24.140625" style="4" customWidth="1"/>
    <col min="9447" max="9447" width="21" style="4" bestFit="1" customWidth="1"/>
    <col min="9448" max="9448" width="16.42578125" style="4" bestFit="1" customWidth="1"/>
    <col min="9449" max="9449" width="15.7109375" style="4" bestFit="1" customWidth="1"/>
    <col min="9450" max="9450" width="14" style="4" bestFit="1" customWidth="1"/>
    <col min="9451" max="9451" width="12.85546875" style="4" bestFit="1" customWidth="1"/>
    <col min="9452" max="9452" width="15.7109375" style="4" bestFit="1" customWidth="1"/>
    <col min="9453" max="9453" width="18.5703125" style="4" bestFit="1" customWidth="1"/>
    <col min="9454" max="9454" width="15" style="4" bestFit="1" customWidth="1"/>
    <col min="9455" max="9455" width="20.140625" style="4" bestFit="1" customWidth="1"/>
    <col min="9456" max="9456" width="15.85546875" style="4" bestFit="1" customWidth="1"/>
    <col min="9457" max="9457" width="26" style="4" bestFit="1" customWidth="1"/>
    <col min="9458" max="9458" width="21.5703125" style="4" bestFit="1" customWidth="1"/>
    <col min="9459" max="9459" width="22.140625" style="4" bestFit="1" customWidth="1"/>
    <col min="9460" max="9467" width="22.85546875" style="4" bestFit="1" customWidth="1"/>
    <col min="9468" max="9468" width="22.140625" style="4" bestFit="1" customWidth="1"/>
    <col min="9469" max="9470" width="22.140625" style="4" customWidth="1"/>
    <col min="9471" max="9471" width="21.140625" style="4" bestFit="1" customWidth="1"/>
    <col min="9472" max="9472" width="24.140625" style="4" customWidth="1"/>
    <col min="9473" max="9473" width="21" style="4" bestFit="1" customWidth="1"/>
    <col min="9474" max="9474" width="16.42578125" style="4" bestFit="1" customWidth="1"/>
    <col min="9475" max="9475" width="15.7109375" style="4" bestFit="1" customWidth="1"/>
    <col min="9476" max="9476" width="14" style="4" bestFit="1" customWidth="1"/>
    <col min="9477" max="9477" width="12.85546875" style="4" bestFit="1" customWidth="1"/>
    <col min="9478" max="9478" width="15.7109375" style="4" bestFit="1" customWidth="1"/>
    <col min="9479" max="9479" width="18.5703125" style="4" bestFit="1" customWidth="1"/>
    <col min="9480" max="9480" width="15" style="4" bestFit="1" customWidth="1"/>
    <col min="9481" max="9481" width="20.140625" style="4" bestFit="1" customWidth="1"/>
    <col min="9482" max="9482" width="15.85546875" style="4" bestFit="1" customWidth="1"/>
    <col min="9483" max="9483" width="26" style="4" bestFit="1" customWidth="1"/>
    <col min="9484" max="9484" width="21.5703125" style="4" bestFit="1" customWidth="1"/>
    <col min="9485" max="9485" width="22.140625" style="4" bestFit="1" customWidth="1"/>
    <col min="9486" max="9493" width="22.85546875" style="4" bestFit="1" customWidth="1"/>
    <col min="9494" max="9494" width="22.140625" style="4" bestFit="1" customWidth="1"/>
    <col min="9495" max="9496" width="22.140625" style="4" customWidth="1"/>
    <col min="9497" max="9497" width="9.140625" style="4"/>
    <col min="9498" max="9498" width="21.140625" style="4" bestFit="1" customWidth="1"/>
    <col min="9499" max="9499" width="21" style="4" bestFit="1" customWidth="1"/>
    <col min="9500" max="9500" width="15.7109375" style="4" bestFit="1" customWidth="1"/>
    <col min="9501" max="9501" width="14" style="4" bestFit="1" customWidth="1"/>
    <col min="9502" max="9502" width="12.85546875" style="4" bestFit="1" customWidth="1"/>
    <col min="9503" max="9503" width="26" style="4" bestFit="1" customWidth="1"/>
    <col min="9504" max="9505" width="22.140625" style="4" customWidth="1"/>
    <col min="9506" max="9693" width="9.140625" style="4"/>
    <col min="9694" max="9694" width="24.7109375" style="4" customWidth="1"/>
    <col min="9695" max="9695" width="12.42578125" style="4" customWidth="1"/>
    <col min="9696" max="9696" width="10.85546875" style="4" customWidth="1"/>
    <col min="9697" max="9697" width="14.28515625" style="4" customWidth="1"/>
    <col min="9698" max="9698" width="11.85546875" style="4" customWidth="1"/>
    <col min="9699" max="9700" width="9.140625" style="4"/>
    <col min="9701" max="9701" width="21.140625" style="4" bestFit="1" customWidth="1"/>
    <col min="9702" max="9702" width="24.140625" style="4" customWidth="1"/>
    <col min="9703" max="9703" width="21" style="4" bestFit="1" customWidth="1"/>
    <col min="9704" max="9704" width="16.42578125" style="4" bestFit="1" customWidth="1"/>
    <col min="9705" max="9705" width="15.7109375" style="4" bestFit="1" customWidth="1"/>
    <col min="9706" max="9706" width="14" style="4" bestFit="1" customWidth="1"/>
    <col min="9707" max="9707" width="12.85546875" style="4" bestFit="1" customWidth="1"/>
    <col min="9708" max="9708" width="15.7109375" style="4" bestFit="1" customWidth="1"/>
    <col min="9709" max="9709" width="18.5703125" style="4" bestFit="1" customWidth="1"/>
    <col min="9710" max="9710" width="15" style="4" bestFit="1" customWidth="1"/>
    <col min="9711" max="9711" width="20.140625" style="4" bestFit="1" customWidth="1"/>
    <col min="9712" max="9712" width="15.85546875" style="4" bestFit="1" customWidth="1"/>
    <col min="9713" max="9713" width="26" style="4" bestFit="1" customWidth="1"/>
    <col min="9714" max="9714" width="21.5703125" style="4" bestFit="1" customWidth="1"/>
    <col min="9715" max="9715" width="22.140625" style="4" bestFit="1" customWidth="1"/>
    <col min="9716" max="9723" width="22.85546875" style="4" bestFit="1" customWidth="1"/>
    <col min="9724" max="9724" width="22.140625" style="4" bestFit="1" customWidth="1"/>
    <col min="9725" max="9726" width="22.140625" style="4" customWidth="1"/>
    <col min="9727" max="9727" width="21.140625" style="4" bestFit="1" customWidth="1"/>
    <col min="9728" max="9728" width="24.140625" style="4" customWidth="1"/>
    <col min="9729" max="9729" width="21" style="4" bestFit="1" customWidth="1"/>
    <col min="9730" max="9730" width="16.42578125" style="4" bestFit="1" customWidth="1"/>
    <col min="9731" max="9731" width="15.7109375" style="4" bestFit="1" customWidth="1"/>
    <col min="9732" max="9732" width="14" style="4" bestFit="1" customWidth="1"/>
    <col min="9733" max="9733" width="12.85546875" style="4" bestFit="1" customWidth="1"/>
    <col min="9734" max="9734" width="15.7109375" style="4" bestFit="1" customWidth="1"/>
    <col min="9735" max="9735" width="18.5703125" style="4" bestFit="1" customWidth="1"/>
    <col min="9736" max="9736" width="15" style="4" bestFit="1" customWidth="1"/>
    <col min="9737" max="9737" width="20.140625" style="4" bestFit="1" customWidth="1"/>
    <col min="9738" max="9738" width="15.85546875" style="4" bestFit="1" customWidth="1"/>
    <col min="9739" max="9739" width="26" style="4" bestFit="1" customWidth="1"/>
    <col min="9740" max="9740" width="21.5703125" style="4" bestFit="1" customWidth="1"/>
    <col min="9741" max="9741" width="22.140625" style="4" bestFit="1" customWidth="1"/>
    <col min="9742" max="9749" width="22.85546875" style="4" bestFit="1" customWidth="1"/>
    <col min="9750" max="9750" width="22.140625" style="4" bestFit="1" customWidth="1"/>
    <col min="9751" max="9752" width="22.140625" style="4" customWidth="1"/>
    <col min="9753" max="9753" width="9.140625" style="4"/>
    <col min="9754" max="9754" width="21.140625" style="4" bestFit="1" customWidth="1"/>
    <col min="9755" max="9755" width="21" style="4" bestFit="1" customWidth="1"/>
    <col min="9756" max="9756" width="15.7109375" style="4" bestFit="1" customWidth="1"/>
    <col min="9757" max="9757" width="14" style="4" bestFit="1" customWidth="1"/>
    <col min="9758" max="9758" width="12.85546875" style="4" bestFit="1" customWidth="1"/>
    <col min="9759" max="9759" width="26" style="4" bestFit="1" customWidth="1"/>
    <col min="9760" max="9761" width="22.140625" style="4" customWidth="1"/>
    <col min="9762" max="9949" width="9.140625" style="4"/>
    <col min="9950" max="9950" width="24.7109375" style="4" customWidth="1"/>
    <col min="9951" max="9951" width="12.42578125" style="4" customWidth="1"/>
    <col min="9952" max="9952" width="10.85546875" style="4" customWidth="1"/>
    <col min="9953" max="9953" width="14.28515625" style="4" customWidth="1"/>
    <col min="9954" max="9954" width="11.85546875" style="4" customWidth="1"/>
    <col min="9955" max="9956" width="9.140625" style="4"/>
    <col min="9957" max="9957" width="21.140625" style="4" bestFit="1" customWidth="1"/>
    <col min="9958" max="9958" width="24.140625" style="4" customWidth="1"/>
    <col min="9959" max="9959" width="21" style="4" bestFit="1" customWidth="1"/>
    <col min="9960" max="9960" width="16.42578125" style="4" bestFit="1" customWidth="1"/>
    <col min="9961" max="9961" width="15.7109375" style="4" bestFit="1" customWidth="1"/>
    <col min="9962" max="9962" width="14" style="4" bestFit="1" customWidth="1"/>
    <col min="9963" max="9963" width="12.85546875" style="4" bestFit="1" customWidth="1"/>
    <col min="9964" max="9964" width="15.7109375" style="4" bestFit="1" customWidth="1"/>
    <col min="9965" max="9965" width="18.5703125" style="4" bestFit="1" customWidth="1"/>
    <col min="9966" max="9966" width="15" style="4" bestFit="1" customWidth="1"/>
    <col min="9967" max="9967" width="20.140625" style="4" bestFit="1" customWidth="1"/>
    <col min="9968" max="9968" width="15.85546875" style="4" bestFit="1" customWidth="1"/>
    <col min="9969" max="9969" width="26" style="4" bestFit="1" customWidth="1"/>
    <col min="9970" max="9970" width="21.5703125" style="4" bestFit="1" customWidth="1"/>
    <col min="9971" max="9971" width="22.140625" style="4" bestFit="1" customWidth="1"/>
    <col min="9972" max="9979" width="22.85546875" style="4" bestFit="1" customWidth="1"/>
    <col min="9980" max="9980" width="22.140625" style="4" bestFit="1" customWidth="1"/>
    <col min="9981" max="9982" width="22.140625" style="4" customWidth="1"/>
    <col min="9983" max="9983" width="21.140625" style="4" bestFit="1" customWidth="1"/>
    <col min="9984" max="9984" width="24.140625" style="4" customWidth="1"/>
    <col min="9985" max="9985" width="21" style="4" bestFit="1" customWidth="1"/>
    <col min="9986" max="9986" width="16.42578125" style="4" bestFit="1" customWidth="1"/>
    <col min="9987" max="9987" width="15.7109375" style="4" bestFit="1" customWidth="1"/>
    <col min="9988" max="9988" width="14" style="4" bestFit="1" customWidth="1"/>
    <col min="9989" max="9989" width="12.85546875" style="4" bestFit="1" customWidth="1"/>
    <col min="9990" max="9990" width="15.7109375" style="4" bestFit="1" customWidth="1"/>
    <col min="9991" max="9991" width="18.5703125" style="4" bestFit="1" customWidth="1"/>
    <col min="9992" max="9992" width="15" style="4" bestFit="1" customWidth="1"/>
    <col min="9993" max="9993" width="20.140625" style="4" bestFit="1" customWidth="1"/>
    <col min="9994" max="9994" width="15.85546875" style="4" bestFit="1" customWidth="1"/>
    <col min="9995" max="9995" width="26" style="4" bestFit="1" customWidth="1"/>
    <col min="9996" max="9996" width="21.5703125" style="4" bestFit="1" customWidth="1"/>
    <col min="9997" max="9997" width="22.140625" style="4" bestFit="1" customWidth="1"/>
    <col min="9998" max="10005" width="22.85546875" style="4" bestFit="1" customWidth="1"/>
    <col min="10006" max="10006" width="22.140625" style="4" bestFit="1" customWidth="1"/>
    <col min="10007" max="10008" width="22.140625" style="4" customWidth="1"/>
    <col min="10009" max="10009" width="9.140625" style="4"/>
    <col min="10010" max="10010" width="21.140625" style="4" bestFit="1" customWidth="1"/>
    <col min="10011" max="10011" width="21" style="4" bestFit="1" customWidth="1"/>
    <col min="10012" max="10012" width="15.7109375" style="4" bestFit="1" customWidth="1"/>
    <col min="10013" max="10013" width="14" style="4" bestFit="1" customWidth="1"/>
    <col min="10014" max="10014" width="12.85546875" style="4" bestFit="1" customWidth="1"/>
    <col min="10015" max="10015" width="26" style="4" bestFit="1" customWidth="1"/>
    <col min="10016" max="10017" width="22.140625" style="4" customWidth="1"/>
    <col min="10018" max="10205" width="9.140625" style="4"/>
    <col min="10206" max="10206" width="24.7109375" style="4" customWidth="1"/>
    <col min="10207" max="10207" width="12.42578125" style="4" customWidth="1"/>
    <col min="10208" max="10208" width="10.85546875" style="4" customWidth="1"/>
    <col min="10209" max="10209" width="14.28515625" style="4" customWidth="1"/>
    <col min="10210" max="10210" width="11.85546875" style="4" customWidth="1"/>
    <col min="10211" max="10212" width="9.140625" style="4"/>
    <col min="10213" max="10213" width="21.140625" style="4" bestFit="1" customWidth="1"/>
    <col min="10214" max="10214" width="24.140625" style="4" customWidth="1"/>
    <col min="10215" max="10215" width="21" style="4" bestFit="1" customWidth="1"/>
    <col min="10216" max="10216" width="16.42578125" style="4" bestFit="1" customWidth="1"/>
    <col min="10217" max="10217" width="15.7109375" style="4" bestFit="1" customWidth="1"/>
    <col min="10218" max="10218" width="14" style="4" bestFit="1" customWidth="1"/>
    <col min="10219" max="10219" width="12.85546875" style="4" bestFit="1" customWidth="1"/>
    <col min="10220" max="10220" width="15.7109375" style="4" bestFit="1" customWidth="1"/>
    <col min="10221" max="10221" width="18.5703125" style="4" bestFit="1" customWidth="1"/>
    <col min="10222" max="10222" width="15" style="4" bestFit="1" customWidth="1"/>
    <col min="10223" max="10223" width="20.140625" style="4" bestFit="1" customWidth="1"/>
    <col min="10224" max="10224" width="15.85546875" style="4" bestFit="1" customWidth="1"/>
    <col min="10225" max="10225" width="26" style="4" bestFit="1" customWidth="1"/>
    <col min="10226" max="10226" width="21.5703125" style="4" bestFit="1" customWidth="1"/>
    <col min="10227" max="10227" width="22.140625" style="4" bestFit="1" customWidth="1"/>
    <col min="10228" max="10235" width="22.85546875" style="4" bestFit="1" customWidth="1"/>
    <col min="10236" max="10236" width="22.140625" style="4" bestFit="1" customWidth="1"/>
    <col min="10237" max="10238" width="22.140625" style="4" customWidth="1"/>
    <col min="10239" max="10239" width="21.140625" style="4" bestFit="1" customWidth="1"/>
    <col min="10240" max="10240" width="24.140625" style="4" customWidth="1"/>
    <col min="10241" max="10241" width="21" style="4" bestFit="1" customWidth="1"/>
    <col min="10242" max="10242" width="16.42578125" style="4" bestFit="1" customWidth="1"/>
    <col min="10243" max="10243" width="15.7109375" style="4" bestFit="1" customWidth="1"/>
    <col min="10244" max="10244" width="14" style="4" bestFit="1" customWidth="1"/>
    <col min="10245" max="10245" width="12.85546875" style="4" bestFit="1" customWidth="1"/>
    <col min="10246" max="10246" width="15.7109375" style="4" bestFit="1" customWidth="1"/>
    <col min="10247" max="10247" width="18.5703125" style="4" bestFit="1" customWidth="1"/>
    <col min="10248" max="10248" width="15" style="4" bestFit="1" customWidth="1"/>
    <col min="10249" max="10249" width="20.140625" style="4" bestFit="1" customWidth="1"/>
    <col min="10250" max="10250" width="15.85546875" style="4" bestFit="1" customWidth="1"/>
    <col min="10251" max="10251" width="26" style="4" bestFit="1" customWidth="1"/>
    <col min="10252" max="10252" width="21.5703125" style="4" bestFit="1" customWidth="1"/>
    <col min="10253" max="10253" width="22.140625" style="4" bestFit="1" customWidth="1"/>
    <col min="10254" max="10261" width="22.85546875" style="4" bestFit="1" customWidth="1"/>
    <col min="10262" max="10262" width="22.140625" style="4" bestFit="1" customWidth="1"/>
    <col min="10263" max="10264" width="22.140625" style="4" customWidth="1"/>
    <col min="10265" max="10265" width="9.140625" style="4"/>
    <col min="10266" max="10266" width="21.140625" style="4" bestFit="1" customWidth="1"/>
    <col min="10267" max="10267" width="21" style="4" bestFit="1" customWidth="1"/>
    <col min="10268" max="10268" width="15.7109375" style="4" bestFit="1" customWidth="1"/>
    <col min="10269" max="10269" width="14" style="4" bestFit="1" customWidth="1"/>
    <col min="10270" max="10270" width="12.85546875" style="4" bestFit="1" customWidth="1"/>
    <col min="10271" max="10271" width="26" style="4" bestFit="1" customWidth="1"/>
    <col min="10272" max="10273" width="22.140625" style="4" customWidth="1"/>
    <col min="10274" max="10461" width="9.140625" style="4"/>
    <col min="10462" max="10462" width="24.7109375" style="4" customWidth="1"/>
    <col min="10463" max="10463" width="12.42578125" style="4" customWidth="1"/>
    <col min="10464" max="10464" width="10.85546875" style="4" customWidth="1"/>
    <col min="10465" max="10465" width="14.28515625" style="4" customWidth="1"/>
    <col min="10466" max="10466" width="11.85546875" style="4" customWidth="1"/>
    <col min="10467" max="10468" width="9.140625" style="4"/>
    <col min="10469" max="10469" width="21.140625" style="4" bestFit="1" customWidth="1"/>
    <col min="10470" max="10470" width="24.140625" style="4" customWidth="1"/>
    <col min="10471" max="10471" width="21" style="4" bestFit="1" customWidth="1"/>
    <col min="10472" max="10472" width="16.42578125" style="4" bestFit="1" customWidth="1"/>
    <col min="10473" max="10473" width="15.7109375" style="4" bestFit="1" customWidth="1"/>
    <col min="10474" max="10474" width="14" style="4" bestFit="1" customWidth="1"/>
    <col min="10475" max="10475" width="12.85546875" style="4" bestFit="1" customWidth="1"/>
    <col min="10476" max="10476" width="15.7109375" style="4" bestFit="1" customWidth="1"/>
    <col min="10477" max="10477" width="18.5703125" style="4" bestFit="1" customWidth="1"/>
    <col min="10478" max="10478" width="15" style="4" bestFit="1" customWidth="1"/>
    <col min="10479" max="10479" width="20.140625" style="4" bestFit="1" customWidth="1"/>
    <col min="10480" max="10480" width="15.85546875" style="4" bestFit="1" customWidth="1"/>
    <col min="10481" max="10481" width="26" style="4" bestFit="1" customWidth="1"/>
    <col min="10482" max="10482" width="21.5703125" style="4" bestFit="1" customWidth="1"/>
    <col min="10483" max="10483" width="22.140625" style="4" bestFit="1" customWidth="1"/>
    <col min="10484" max="10491" width="22.85546875" style="4" bestFit="1" customWidth="1"/>
    <col min="10492" max="10492" width="22.140625" style="4" bestFit="1" customWidth="1"/>
    <col min="10493" max="10494" width="22.140625" style="4" customWidth="1"/>
    <col min="10495" max="10495" width="21.140625" style="4" bestFit="1" customWidth="1"/>
    <col min="10496" max="10496" width="24.140625" style="4" customWidth="1"/>
    <col min="10497" max="10497" width="21" style="4" bestFit="1" customWidth="1"/>
    <col min="10498" max="10498" width="16.42578125" style="4" bestFit="1" customWidth="1"/>
    <col min="10499" max="10499" width="15.7109375" style="4" bestFit="1" customWidth="1"/>
    <col min="10500" max="10500" width="14" style="4" bestFit="1" customWidth="1"/>
    <col min="10501" max="10501" width="12.85546875" style="4" bestFit="1" customWidth="1"/>
    <col min="10502" max="10502" width="15.7109375" style="4" bestFit="1" customWidth="1"/>
    <col min="10503" max="10503" width="18.5703125" style="4" bestFit="1" customWidth="1"/>
    <col min="10504" max="10504" width="15" style="4" bestFit="1" customWidth="1"/>
    <col min="10505" max="10505" width="20.140625" style="4" bestFit="1" customWidth="1"/>
    <col min="10506" max="10506" width="15.85546875" style="4" bestFit="1" customWidth="1"/>
    <col min="10507" max="10507" width="26" style="4" bestFit="1" customWidth="1"/>
    <col min="10508" max="10508" width="21.5703125" style="4" bestFit="1" customWidth="1"/>
    <col min="10509" max="10509" width="22.140625" style="4" bestFit="1" customWidth="1"/>
    <col min="10510" max="10517" width="22.85546875" style="4" bestFit="1" customWidth="1"/>
    <col min="10518" max="10518" width="22.140625" style="4" bestFit="1" customWidth="1"/>
    <col min="10519" max="10520" width="22.140625" style="4" customWidth="1"/>
    <col min="10521" max="10521" width="9.140625" style="4"/>
    <col min="10522" max="10522" width="21.140625" style="4" bestFit="1" customWidth="1"/>
    <col min="10523" max="10523" width="21" style="4" bestFit="1" customWidth="1"/>
    <col min="10524" max="10524" width="15.7109375" style="4" bestFit="1" customWidth="1"/>
    <col min="10525" max="10525" width="14" style="4" bestFit="1" customWidth="1"/>
    <col min="10526" max="10526" width="12.85546875" style="4" bestFit="1" customWidth="1"/>
    <col min="10527" max="10527" width="26" style="4" bestFit="1" customWidth="1"/>
    <col min="10528" max="10529" width="22.140625" style="4" customWidth="1"/>
    <col min="10530" max="10717" width="9.140625" style="4"/>
    <col min="10718" max="10718" width="24.7109375" style="4" customWidth="1"/>
    <col min="10719" max="10719" width="12.42578125" style="4" customWidth="1"/>
    <col min="10720" max="10720" width="10.85546875" style="4" customWidth="1"/>
    <col min="10721" max="10721" width="14.28515625" style="4" customWidth="1"/>
    <col min="10722" max="10722" width="11.85546875" style="4" customWidth="1"/>
    <col min="10723" max="10724" width="9.140625" style="4"/>
    <col min="10725" max="10725" width="21.140625" style="4" bestFit="1" customWidth="1"/>
    <col min="10726" max="10726" width="24.140625" style="4" customWidth="1"/>
    <col min="10727" max="10727" width="21" style="4" bestFit="1" customWidth="1"/>
    <col min="10728" max="10728" width="16.42578125" style="4" bestFit="1" customWidth="1"/>
    <col min="10729" max="10729" width="15.7109375" style="4" bestFit="1" customWidth="1"/>
    <col min="10730" max="10730" width="14" style="4" bestFit="1" customWidth="1"/>
    <col min="10731" max="10731" width="12.85546875" style="4" bestFit="1" customWidth="1"/>
    <col min="10732" max="10732" width="15.7109375" style="4" bestFit="1" customWidth="1"/>
    <col min="10733" max="10733" width="18.5703125" style="4" bestFit="1" customWidth="1"/>
    <col min="10734" max="10734" width="15" style="4" bestFit="1" customWidth="1"/>
    <col min="10735" max="10735" width="20.140625" style="4" bestFit="1" customWidth="1"/>
    <col min="10736" max="10736" width="15.85546875" style="4" bestFit="1" customWidth="1"/>
    <col min="10737" max="10737" width="26" style="4" bestFit="1" customWidth="1"/>
    <col min="10738" max="10738" width="21.5703125" style="4" bestFit="1" customWidth="1"/>
    <col min="10739" max="10739" width="22.140625" style="4" bestFit="1" customWidth="1"/>
    <col min="10740" max="10747" width="22.85546875" style="4" bestFit="1" customWidth="1"/>
    <col min="10748" max="10748" width="22.140625" style="4" bestFit="1" customWidth="1"/>
    <col min="10749" max="10750" width="22.140625" style="4" customWidth="1"/>
    <col min="10751" max="10751" width="21.140625" style="4" bestFit="1" customWidth="1"/>
    <col min="10752" max="10752" width="24.140625" style="4" customWidth="1"/>
    <col min="10753" max="10753" width="21" style="4" bestFit="1" customWidth="1"/>
    <col min="10754" max="10754" width="16.42578125" style="4" bestFit="1" customWidth="1"/>
    <col min="10755" max="10755" width="15.7109375" style="4" bestFit="1" customWidth="1"/>
    <col min="10756" max="10756" width="14" style="4" bestFit="1" customWidth="1"/>
    <col min="10757" max="10757" width="12.85546875" style="4" bestFit="1" customWidth="1"/>
    <col min="10758" max="10758" width="15.7109375" style="4" bestFit="1" customWidth="1"/>
    <col min="10759" max="10759" width="18.5703125" style="4" bestFit="1" customWidth="1"/>
    <col min="10760" max="10760" width="15" style="4" bestFit="1" customWidth="1"/>
    <col min="10761" max="10761" width="20.140625" style="4" bestFit="1" customWidth="1"/>
    <col min="10762" max="10762" width="15.85546875" style="4" bestFit="1" customWidth="1"/>
    <col min="10763" max="10763" width="26" style="4" bestFit="1" customWidth="1"/>
    <col min="10764" max="10764" width="21.5703125" style="4" bestFit="1" customWidth="1"/>
    <col min="10765" max="10765" width="22.140625" style="4" bestFit="1" customWidth="1"/>
    <col min="10766" max="10773" width="22.85546875" style="4" bestFit="1" customWidth="1"/>
    <col min="10774" max="10774" width="22.140625" style="4" bestFit="1" customWidth="1"/>
    <col min="10775" max="10776" width="22.140625" style="4" customWidth="1"/>
    <col min="10777" max="10777" width="9.140625" style="4"/>
    <col min="10778" max="10778" width="21.140625" style="4" bestFit="1" customWidth="1"/>
    <col min="10779" max="10779" width="21" style="4" bestFit="1" customWidth="1"/>
    <col min="10780" max="10780" width="15.7109375" style="4" bestFit="1" customWidth="1"/>
    <col min="10781" max="10781" width="14" style="4" bestFit="1" customWidth="1"/>
    <col min="10782" max="10782" width="12.85546875" style="4" bestFit="1" customWidth="1"/>
    <col min="10783" max="10783" width="26" style="4" bestFit="1" customWidth="1"/>
    <col min="10784" max="10785" width="22.140625" style="4" customWidth="1"/>
    <col min="10786" max="10973" width="9.140625" style="4"/>
    <col min="10974" max="10974" width="24.7109375" style="4" customWidth="1"/>
    <col min="10975" max="10975" width="12.42578125" style="4" customWidth="1"/>
    <col min="10976" max="10976" width="10.85546875" style="4" customWidth="1"/>
    <col min="10977" max="10977" width="14.28515625" style="4" customWidth="1"/>
    <col min="10978" max="10978" width="11.85546875" style="4" customWidth="1"/>
    <col min="10979" max="10980" width="9.140625" style="4"/>
    <col min="10981" max="10981" width="21.140625" style="4" bestFit="1" customWidth="1"/>
    <col min="10982" max="10982" width="24.140625" style="4" customWidth="1"/>
    <col min="10983" max="10983" width="21" style="4" bestFit="1" customWidth="1"/>
    <col min="10984" max="10984" width="16.42578125" style="4" bestFit="1" customWidth="1"/>
    <col min="10985" max="10985" width="15.7109375" style="4" bestFit="1" customWidth="1"/>
    <col min="10986" max="10986" width="14" style="4" bestFit="1" customWidth="1"/>
    <col min="10987" max="10987" width="12.85546875" style="4" bestFit="1" customWidth="1"/>
    <col min="10988" max="10988" width="15.7109375" style="4" bestFit="1" customWidth="1"/>
    <col min="10989" max="10989" width="18.5703125" style="4" bestFit="1" customWidth="1"/>
    <col min="10990" max="10990" width="15" style="4" bestFit="1" customWidth="1"/>
    <col min="10991" max="10991" width="20.140625" style="4" bestFit="1" customWidth="1"/>
    <col min="10992" max="10992" width="15.85546875" style="4" bestFit="1" customWidth="1"/>
    <col min="10993" max="10993" width="26" style="4" bestFit="1" customWidth="1"/>
    <col min="10994" max="10994" width="21.5703125" style="4" bestFit="1" customWidth="1"/>
    <col min="10995" max="10995" width="22.140625" style="4" bestFit="1" customWidth="1"/>
    <col min="10996" max="11003" width="22.85546875" style="4" bestFit="1" customWidth="1"/>
    <col min="11004" max="11004" width="22.140625" style="4" bestFit="1" customWidth="1"/>
    <col min="11005" max="11006" width="22.140625" style="4" customWidth="1"/>
    <col min="11007" max="11007" width="21.140625" style="4" bestFit="1" customWidth="1"/>
    <col min="11008" max="11008" width="24.140625" style="4" customWidth="1"/>
    <col min="11009" max="11009" width="21" style="4" bestFit="1" customWidth="1"/>
    <col min="11010" max="11010" width="16.42578125" style="4" bestFit="1" customWidth="1"/>
    <col min="11011" max="11011" width="15.7109375" style="4" bestFit="1" customWidth="1"/>
    <col min="11012" max="11012" width="14" style="4" bestFit="1" customWidth="1"/>
    <col min="11013" max="11013" width="12.85546875" style="4" bestFit="1" customWidth="1"/>
    <col min="11014" max="11014" width="15.7109375" style="4" bestFit="1" customWidth="1"/>
    <col min="11015" max="11015" width="18.5703125" style="4" bestFit="1" customWidth="1"/>
    <col min="11016" max="11016" width="15" style="4" bestFit="1" customWidth="1"/>
    <col min="11017" max="11017" width="20.140625" style="4" bestFit="1" customWidth="1"/>
    <col min="11018" max="11018" width="15.85546875" style="4" bestFit="1" customWidth="1"/>
    <col min="11019" max="11019" width="26" style="4" bestFit="1" customWidth="1"/>
    <col min="11020" max="11020" width="21.5703125" style="4" bestFit="1" customWidth="1"/>
    <col min="11021" max="11021" width="22.140625" style="4" bestFit="1" customWidth="1"/>
    <col min="11022" max="11029" width="22.85546875" style="4" bestFit="1" customWidth="1"/>
    <col min="11030" max="11030" width="22.140625" style="4" bestFit="1" customWidth="1"/>
    <col min="11031" max="11032" width="22.140625" style="4" customWidth="1"/>
    <col min="11033" max="11033" width="9.140625" style="4"/>
    <col min="11034" max="11034" width="21.140625" style="4" bestFit="1" customWidth="1"/>
    <col min="11035" max="11035" width="21" style="4" bestFit="1" customWidth="1"/>
    <col min="11036" max="11036" width="15.7109375" style="4" bestFit="1" customWidth="1"/>
    <col min="11037" max="11037" width="14" style="4" bestFit="1" customWidth="1"/>
    <col min="11038" max="11038" width="12.85546875" style="4" bestFit="1" customWidth="1"/>
    <col min="11039" max="11039" width="26" style="4" bestFit="1" customWidth="1"/>
    <col min="11040" max="11041" width="22.140625" style="4" customWidth="1"/>
    <col min="11042" max="11229" width="9.140625" style="4"/>
    <col min="11230" max="11230" width="24.7109375" style="4" customWidth="1"/>
    <col min="11231" max="11231" width="12.42578125" style="4" customWidth="1"/>
    <col min="11232" max="11232" width="10.85546875" style="4" customWidth="1"/>
    <col min="11233" max="11233" width="14.28515625" style="4" customWidth="1"/>
    <col min="11234" max="11234" width="11.85546875" style="4" customWidth="1"/>
    <col min="11235" max="11236" width="9.140625" style="4"/>
    <col min="11237" max="11237" width="21.140625" style="4" bestFit="1" customWidth="1"/>
    <col min="11238" max="11238" width="24.140625" style="4" customWidth="1"/>
    <col min="11239" max="11239" width="21" style="4" bestFit="1" customWidth="1"/>
    <col min="11240" max="11240" width="16.42578125" style="4" bestFit="1" customWidth="1"/>
    <col min="11241" max="11241" width="15.7109375" style="4" bestFit="1" customWidth="1"/>
    <col min="11242" max="11242" width="14" style="4" bestFit="1" customWidth="1"/>
    <col min="11243" max="11243" width="12.85546875" style="4" bestFit="1" customWidth="1"/>
    <col min="11244" max="11244" width="15.7109375" style="4" bestFit="1" customWidth="1"/>
    <col min="11245" max="11245" width="18.5703125" style="4" bestFit="1" customWidth="1"/>
    <col min="11246" max="11246" width="15" style="4" bestFit="1" customWidth="1"/>
    <col min="11247" max="11247" width="20.140625" style="4" bestFit="1" customWidth="1"/>
    <col min="11248" max="11248" width="15.85546875" style="4" bestFit="1" customWidth="1"/>
    <col min="11249" max="11249" width="26" style="4" bestFit="1" customWidth="1"/>
    <col min="11250" max="11250" width="21.5703125" style="4" bestFit="1" customWidth="1"/>
    <col min="11251" max="11251" width="22.140625" style="4" bestFit="1" customWidth="1"/>
    <col min="11252" max="11259" width="22.85546875" style="4" bestFit="1" customWidth="1"/>
    <col min="11260" max="11260" width="22.140625" style="4" bestFit="1" customWidth="1"/>
    <col min="11261" max="11262" width="22.140625" style="4" customWidth="1"/>
    <col min="11263" max="11263" width="21.140625" style="4" bestFit="1" customWidth="1"/>
    <col min="11264" max="11264" width="24.140625" style="4" customWidth="1"/>
    <col min="11265" max="11265" width="21" style="4" bestFit="1" customWidth="1"/>
    <col min="11266" max="11266" width="16.42578125" style="4" bestFit="1" customWidth="1"/>
    <col min="11267" max="11267" width="15.7109375" style="4" bestFit="1" customWidth="1"/>
    <col min="11268" max="11268" width="14" style="4" bestFit="1" customWidth="1"/>
    <col min="11269" max="11269" width="12.85546875" style="4" bestFit="1" customWidth="1"/>
    <col min="11270" max="11270" width="15.7109375" style="4" bestFit="1" customWidth="1"/>
    <col min="11271" max="11271" width="18.5703125" style="4" bestFit="1" customWidth="1"/>
    <col min="11272" max="11272" width="15" style="4" bestFit="1" customWidth="1"/>
    <col min="11273" max="11273" width="20.140625" style="4" bestFit="1" customWidth="1"/>
    <col min="11274" max="11274" width="15.85546875" style="4" bestFit="1" customWidth="1"/>
    <col min="11275" max="11275" width="26" style="4" bestFit="1" customWidth="1"/>
    <col min="11276" max="11276" width="21.5703125" style="4" bestFit="1" customWidth="1"/>
    <col min="11277" max="11277" width="22.140625" style="4" bestFit="1" customWidth="1"/>
    <col min="11278" max="11285" width="22.85546875" style="4" bestFit="1" customWidth="1"/>
    <col min="11286" max="11286" width="22.140625" style="4" bestFit="1" customWidth="1"/>
    <col min="11287" max="11288" width="22.140625" style="4" customWidth="1"/>
    <col min="11289" max="11289" width="9.140625" style="4"/>
    <col min="11290" max="11290" width="21.140625" style="4" bestFit="1" customWidth="1"/>
    <col min="11291" max="11291" width="21" style="4" bestFit="1" customWidth="1"/>
    <col min="11292" max="11292" width="15.7109375" style="4" bestFit="1" customWidth="1"/>
    <col min="11293" max="11293" width="14" style="4" bestFit="1" customWidth="1"/>
    <col min="11294" max="11294" width="12.85546875" style="4" bestFit="1" customWidth="1"/>
    <col min="11295" max="11295" width="26" style="4" bestFit="1" customWidth="1"/>
    <col min="11296" max="11297" width="22.140625" style="4" customWidth="1"/>
    <col min="11298" max="11485" width="9.140625" style="4"/>
    <col min="11486" max="11486" width="24.7109375" style="4" customWidth="1"/>
    <col min="11487" max="11487" width="12.42578125" style="4" customWidth="1"/>
    <col min="11488" max="11488" width="10.85546875" style="4" customWidth="1"/>
    <col min="11489" max="11489" width="14.28515625" style="4" customWidth="1"/>
    <col min="11490" max="11490" width="11.85546875" style="4" customWidth="1"/>
    <col min="11491" max="11492" width="9.140625" style="4"/>
    <col min="11493" max="11493" width="21.140625" style="4" bestFit="1" customWidth="1"/>
    <col min="11494" max="11494" width="24.140625" style="4" customWidth="1"/>
    <col min="11495" max="11495" width="21" style="4" bestFit="1" customWidth="1"/>
    <col min="11496" max="11496" width="16.42578125" style="4" bestFit="1" customWidth="1"/>
    <col min="11497" max="11497" width="15.7109375" style="4" bestFit="1" customWidth="1"/>
    <col min="11498" max="11498" width="14" style="4" bestFit="1" customWidth="1"/>
    <col min="11499" max="11499" width="12.85546875" style="4" bestFit="1" customWidth="1"/>
    <col min="11500" max="11500" width="15.7109375" style="4" bestFit="1" customWidth="1"/>
    <col min="11501" max="11501" width="18.5703125" style="4" bestFit="1" customWidth="1"/>
    <col min="11502" max="11502" width="15" style="4" bestFit="1" customWidth="1"/>
    <col min="11503" max="11503" width="20.140625" style="4" bestFit="1" customWidth="1"/>
    <col min="11504" max="11504" width="15.85546875" style="4" bestFit="1" customWidth="1"/>
    <col min="11505" max="11505" width="26" style="4" bestFit="1" customWidth="1"/>
    <col min="11506" max="11506" width="21.5703125" style="4" bestFit="1" customWidth="1"/>
    <col min="11507" max="11507" width="22.140625" style="4" bestFit="1" customWidth="1"/>
    <col min="11508" max="11515" width="22.85546875" style="4" bestFit="1" customWidth="1"/>
    <col min="11516" max="11516" width="22.140625" style="4" bestFit="1" customWidth="1"/>
    <col min="11517" max="11518" width="22.140625" style="4" customWidth="1"/>
    <col min="11519" max="11519" width="21.140625" style="4" bestFit="1" customWidth="1"/>
    <col min="11520" max="11520" width="24.140625" style="4" customWidth="1"/>
    <col min="11521" max="11521" width="21" style="4" bestFit="1" customWidth="1"/>
    <col min="11522" max="11522" width="16.42578125" style="4" bestFit="1" customWidth="1"/>
    <col min="11523" max="11523" width="15.7109375" style="4" bestFit="1" customWidth="1"/>
    <col min="11524" max="11524" width="14" style="4" bestFit="1" customWidth="1"/>
    <col min="11525" max="11525" width="12.85546875" style="4" bestFit="1" customWidth="1"/>
    <col min="11526" max="11526" width="15.7109375" style="4" bestFit="1" customWidth="1"/>
    <col min="11527" max="11527" width="18.5703125" style="4" bestFit="1" customWidth="1"/>
    <col min="11528" max="11528" width="15" style="4" bestFit="1" customWidth="1"/>
    <col min="11529" max="11529" width="20.140625" style="4" bestFit="1" customWidth="1"/>
    <col min="11530" max="11530" width="15.85546875" style="4" bestFit="1" customWidth="1"/>
    <col min="11531" max="11531" width="26" style="4" bestFit="1" customWidth="1"/>
    <col min="11532" max="11532" width="21.5703125" style="4" bestFit="1" customWidth="1"/>
    <col min="11533" max="11533" width="22.140625" style="4" bestFit="1" customWidth="1"/>
    <col min="11534" max="11541" width="22.85546875" style="4" bestFit="1" customWidth="1"/>
    <col min="11542" max="11542" width="22.140625" style="4" bestFit="1" customWidth="1"/>
    <col min="11543" max="11544" width="22.140625" style="4" customWidth="1"/>
    <col min="11545" max="11545" width="9.140625" style="4"/>
    <col min="11546" max="11546" width="21.140625" style="4" bestFit="1" customWidth="1"/>
    <col min="11547" max="11547" width="21" style="4" bestFit="1" customWidth="1"/>
    <col min="11548" max="11548" width="15.7109375" style="4" bestFit="1" customWidth="1"/>
    <col min="11549" max="11549" width="14" style="4" bestFit="1" customWidth="1"/>
    <col min="11550" max="11550" width="12.85546875" style="4" bestFit="1" customWidth="1"/>
    <col min="11551" max="11551" width="26" style="4" bestFit="1" customWidth="1"/>
    <col min="11552" max="11553" width="22.140625" style="4" customWidth="1"/>
    <col min="11554" max="11741" width="9.140625" style="4"/>
    <col min="11742" max="11742" width="24.7109375" style="4" customWidth="1"/>
    <col min="11743" max="11743" width="12.42578125" style="4" customWidth="1"/>
    <col min="11744" max="11744" width="10.85546875" style="4" customWidth="1"/>
    <col min="11745" max="11745" width="14.28515625" style="4" customWidth="1"/>
    <col min="11746" max="11746" width="11.85546875" style="4" customWidth="1"/>
    <col min="11747" max="11748" width="9.140625" style="4"/>
    <col min="11749" max="11749" width="21.140625" style="4" bestFit="1" customWidth="1"/>
    <col min="11750" max="11750" width="24.140625" style="4" customWidth="1"/>
    <col min="11751" max="11751" width="21" style="4" bestFit="1" customWidth="1"/>
    <col min="11752" max="11752" width="16.42578125" style="4" bestFit="1" customWidth="1"/>
    <col min="11753" max="11753" width="15.7109375" style="4" bestFit="1" customWidth="1"/>
    <col min="11754" max="11754" width="14" style="4" bestFit="1" customWidth="1"/>
    <col min="11755" max="11755" width="12.85546875" style="4" bestFit="1" customWidth="1"/>
    <col min="11756" max="11756" width="15.7109375" style="4" bestFit="1" customWidth="1"/>
    <col min="11757" max="11757" width="18.5703125" style="4" bestFit="1" customWidth="1"/>
    <col min="11758" max="11758" width="15" style="4" bestFit="1" customWidth="1"/>
    <col min="11759" max="11759" width="20.140625" style="4" bestFit="1" customWidth="1"/>
    <col min="11760" max="11760" width="15.85546875" style="4" bestFit="1" customWidth="1"/>
    <col min="11761" max="11761" width="26" style="4" bestFit="1" customWidth="1"/>
    <col min="11762" max="11762" width="21.5703125" style="4" bestFit="1" customWidth="1"/>
    <col min="11763" max="11763" width="22.140625" style="4" bestFit="1" customWidth="1"/>
    <col min="11764" max="11771" width="22.85546875" style="4" bestFit="1" customWidth="1"/>
    <col min="11772" max="11772" width="22.140625" style="4" bestFit="1" customWidth="1"/>
    <col min="11773" max="11774" width="22.140625" style="4" customWidth="1"/>
    <col min="11775" max="11775" width="21.140625" style="4" bestFit="1" customWidth="1"/>
    <col min="11776" max="11776" width="24.140625" style="4" customWidth="1"/>
    <col min="11777" max="11777" width="21" style="4" bestFit="1" customWidth="1"/>
    <col min="11778" max="11778" width="16.42578125" style="4" bestFit="1" customWidth="1"/>
    <col min="11779" max="11779" width="15.7109375" style="4" bestFit="1" customWidth="1"/>
    <col min="11780" max="11780" width="14" style="4" bestFit="1" customWidth="1"/>
    <col min="11781" max="11781" width="12.85546875" style="4" bestFit="1" customWidth="1"/>
    <col min="11782" max="11782" width="15.7109375" style="4" bestFit="1" customWidth="1"/>
    <col min="11783" max="11783" width="18.5703125" style="4" bestFit="1" customWidth="1"/>
    <col min="11784" max="11784" width="15" style="4" bestFit="1" customWidth="1"/>
    <col min="11785" max="11785" width="20.140625" style="4" bestFit="1" customWidth="1"/>
    <col min="11786" max="11786" width="15.85546875" style="4" bestFit="1" customWidth="1"/>
    <col min="11787" max="11787" width="26" style="4" bestFit="1" customWidth="1"/>
    <col min="11788" max="11788" width="21.5703125" style="4" bestFit="1" customWidth="1"/>
    <col min="11789" max="11789" width="22.140625" style="4" bestFit="1" customWidth="1"/>
    <col min="11790" max="11797" width="22.85546875" style="4" bestFit="1" customWidth="1"/>
    <col min="11798" max="11798" width="22.140625" style="4" bestFit="1" customWidth="1"/>
    <col min="11799" max="11800" width="22.140625" style="4" customWidth="1"/>
    <col min="11801" max="11801" width="9.140625" style="4"/>
    <col min="11802" max="11802" width="21.140625" style="4" bestFit="1" customWidth="1"/>
    <col min="11803" max="11803" width="21" style="4" bestFit="1" customWidth="1"/>
    <col min="11804" max="11804" width="15.7109375" style="4" bestFit="1" customWidth="1"/>
    <col min="11805" max="11805" width="14" style="4" bestFit="1" customWidth="1"/>
    <col min="11806" max="11806" width="12.85546875" style="4" bestFit="1" customWidth="1"/>
    <col min="11807" max="11807" width="26" style="4" bestFit="1" customWidth="1"/>
    <col min="11808" max="11809" width="22.140625" style="4" customWidth="1"/>
    <col min="11810" max="11997" width="9.140625" style="4"/>
    <col min="11998" max="11998" width="24.7109375" style="4" customWidth="1"/>
    <col min="11999" max="11999" width="12.42578125" style="4" customWidth="1"/>
    <col min="12000" max="12000" width="10.85546875" style="4" customWidth="1"/>
    <col min="12001" max="12001" width="14.28515625" style="4" customWidth="1"/>
    <col min="12002" max="12002" width="11.85546875" style="4" customWidth="1"/>
    <col min="12003" max="12004" width="9.140625" style="4"/>
    <col min="12005" max="12005" width="21.140625" style="4" bestFit="1" customWidth="1"/>
    <col min="12006" max="12006" width="24.140625" style="4" customWidth="1"/>
    <col min="12007" max="12007" width="21" style="4" bestFit="1" customWidth="1"/>
    <col min="12008" max="12008" width="16.42578125" style="4" bestFit="1" customWidth="1"/>
    <col min="12009" max="12009" width="15.7109375" style="4" bestFit="1" customWidth="1"/>
    <col min="12010" max="12010" width="14" style="4" bestFit="1" customWidth="1"/>
    <col min="12011" max="12011" width="12.85546875" style="4" bestFit="1" customWidth="1"/>
    <col min="12012" max="12012" width="15.7109375" style="4" bestFit="1" customWidth="1"/>
    <col min="12013" max="12013" width="18.5703125" style="4" bestFit="1" customWidth="1"/>
    <col min="12014" max="12014" width="15" style="4" bestFit="1" customWidth="1"/>
    <col min="12015" max="12015" width="20.140625" style="4" bestFit="1" customWidth="1"/>
    <col min="12016" max="12016" width="15.85546875" style="4" bestFit="1" customWidth="1"/>
    <col min="12017" max="12017" width="26" style="4" bestFit="1" customWidth="1"/>
    <col min="12018" max="12018" width="21.5703125" style="4" bestFit="1" customWidth="1"/>
    <col min="12019" max="12019" width="22.140625" style="4" bestFit="1" customWidth="1"/>
    <col min="12020" max="12027" width="22.85546875" style="4" bestFit="1" customWidth="1"/>
    <col min="12028" max="12028" width="22.140625" style="4" bestFit="1" customWidth="1"/>
    <col min="12029" max="12030" width="22.140625" style="4" customWidth="1"/>
    <col min="12031" max="12031" width="21.140625" style="4" bestFit="1" customWidth="1"/>
    <col min="12032" max="12032" width="24.140625" style="4" customWidth="1"/>
    <col min="12033" max="12033" width="21" style="4" bestFit="1" customWidth="1"/>
    <col min="12034" max="12034" width="16.42578125" style="4" bestFit="1" customWidth="1"/>
    <col min="12035" max="12035" width="15.7109375" style="4" bestFit="1" customWidth="1"/>
    <col min="12036" max="12036" width="14" style="4" bestFit="1" customWidth="1"/>
    <col min="12037" max="12037" width="12.85546875" style="4" bestFit="1" customWidth="1"/>
    <col min="12038" max="12038" width="15.7109375" style="4" bestFit="1" customWidth="1"/>
    <col min="12039" max="12039" width="18.5703125" style="4" bestFit="1" customWidth="1"/>
    <col min="12040" max="12040" width="15" style="4" bestFit="1" customWidth="1"/>
    <col min="12041" max="12041" width="20.140625" style="4" bestFit="1" customWidth="1"/>
    <col min="12042" max="12042" width="15.85546875" style="4" bestFit="1" customWidth="1"/>
    <col min="12043" max="12043" width="26" style="4" bestFit="1" customWidth="1"/>
    <col min="12044" max="12044" width="21.5703125" style="4" bestFit="1" customWidth="1"/>
    <col min="12045" max="12045" width="22.140625" style="4" bestFit="1" customWidth="1"/>
    <col min="12046" max="12053" width="22.85546875" style="4" bestFit="1" customWidth="1"/>
    <col min="12054" max="12054" width="22.140625" style="4" bestFit="1" customWidth="1"/>
    <col min="12055" max="12056" width="22.140625" style="4" customWidth="1"/>
    <col min="12057" max="12057" width="9.140625" style="4"/>
    <col min="12058" max="12058" width="21.140625" style="4" bestFit="1" customWidth="1"/>
    <col min="12059" max="12059" width="21" style="4" bestFit="1" customWidth="1"/>
    <col min="12060" max="12060" width="15.7109375" style="4" bestFit="1" customWidth="1"/>
    <col min="12061" max="12061" width="14" style="4" bestFit="1" customWidth="1"/>
    <col min="12062" max="12062" width="12.85546875" style="4" bestFit="1" customWidth="1"/>
    <col min="12063" max="12063" width="26" style="4" bestFit="1" customWidth="1"/>
    <col min="12064" max="12065" width="22.140625" style="4" customWidth="1"/>
    <col min="12066" max="12253" width="9.140625" style="4"/>
    <col min="12254" max="12254" width="24.7109375" style="4" customWidth="1"/>
    <col min="12255" max="12255" width="12.42578125" style="4" customWidth="1"/>
    <col min="12256" max="12256" width="10.85546875" style="4" customWidth="1"/>
    <col min="12257" max="12257" width="14.28515625" style="4" customWidth="1"/>
    <col min="12258" max="12258" width="11.85546875" style="4" customWidth="1"/>
    <col min="12259" max="12260" width="9.140625" style="4"/>
    <col min="12261" max="12261" width="21.140625" style="4" bestFit="1" customWidth="1"/>
    <col min="12262" max="12262" width="24.140625" style="4" customWidth="1"/>
    <col min="12263" max="12263" width="21" style="4" bestFit="1" customWidth="1"/>
    <col min="12264" max="12264" width="16.42578125" style="4" bestFit="1" customWidth="1"/>
    <col min="12265" max="12265" width="15.7109375" style="4" bestFit="1" customWidth="1"/>
    <col min="12266" max="12266" width="14" style="4" bestFit="1" customWidth="1"/>
    <col min="12267" max="12267" width="12.85546875" style="4" bestFit="1" customWidth="1"/>
    <col min="12268" max="12268" width="15.7109375" style="4" bestFit="1" customWidth="1"/>
    <col min="12269" max="12269" width="18.5703125" style="4" bestFit="1" customWidth="1"/>
    <col min="12270" max="12270" width="15" style="4" bestFit="1" customWidth="1"/>
    <col min="12271" max="12271" width="20.140625" style="4" bestFit="1" customWidth="1"/>
    <col min="12272" max="12272" width="15.85546875" style="4" bestFit="1" customWidth="1"/>
    <col min="12273" max="12273" width="26" style="4" bestFit="1" customWidth="1"/>
    <col min="12274" max="12274" width="21.5703125" style="4" bestFit="1" customWidth="1"/>
    <col min="12275" max="12275" width="22.140625" style="4" bestFit="1" customWidth="1"/>
    <col min="12276" max="12283" width="22.85546875" style="4" bestFit="1" customWidth="1"/>
    <col min="12284" max="12284" width="22.140625" style="4" bestFit="1" customWidth="1"/>
    <col min="12285" max="12286" width="22.140625" style="4" customWidth="1"/>
    <col min="12287" max="12287" width="21.140625" style="4" bestFit="1" customWidth="1"/>
    <col min="12288" max="12288" width="24.140625" style="4" customWidth="1"/>
    <col min="12289" max="12289" width="21" style="4" bestFit="1" customWidth="1"/>
    <col min="12290" max="12290" width="16.42578125" style="4" bestFit="1" customWidth="1"/>
    <col min="12291" max="12291" width="15.7109375" style="4" bestFit="1" customWidth="1"/>
    <col min="12292" max="12292" width="14" style="4" bestFit="1" customWidth="1"/>
    <col min="12293" max="12293" width="12.85546875" style="4" bestFit="1" customWidth="1"/>
    <col min="12294" max="12294" width="15.7109375" style="4" bestFit="1" customWidth="1"/>
    <col min="12295" max="12295" width="18.5703125" style="4" bestFit="1" customWidth="1"/>
    <col min="12296" max="12296" width="15" style="4" bestFit="1" customWidth="1"/>
    <col min="12297" max="12297" width="20.140625" style="4" bestFit="1" customWidth="1"/>
    <col min="12298" max="12298" width="15.85546875" style="4" bestFit="1" customWidth="1"/>
    <col min="12299" max="12299" width="26" style="4" bestFit="1" customWidth="1"/>
    <col min="12300" max="12300" width="21.5703125" style="4" bestFit="1" customWidth="1"/>
    <col min="12301" max="12301" width="22.140625" style="4" bestFit="1" customWidth="1"/>
    <col min="12302" max="12309" width="22.85546875" style="4" bestFit="1" customWidth="1"/>
    <col min="12310" max="12310" width="22.140625" style="4" bestFit="1" customWidth="1"/>
    <col min="12311" max="12312" width="22.140625" style="4" customWidth="1"/>
    <col min="12313" max="12313" width="9.140625" style="4"/>
    <col min="12314" max="12314" width="21.140625" style="4" bestFit="1" customWidth="1"/>
    <col min="12315" max="12315" width="21" style="4" bestFit="1" customWidth="1"/>
    <col min="12316" max="12316" width="15.7109375" style="4" bestFit="1" customWidth="1"/>
    <col min="12317" max="12317" width="14" style="4" bestFit="1" customWidth="1"/>
    <col min="12318" max="12318" width="12.85546875" style="4" bestFit="1" customWidth="1"/>
    <col min="12319" max="12319" width="26" style="4" bestFit="1" customWidth="1"/>
    <col min="12320" max="12321" width="22.140625" style="4" customWidth="1"/>
    <col min="12322" max="12509" width="9.140625" style="4"/>
    <col min="12510" max="12510" width="24.7109375" style="4" customWidth="1"/>
    <col min="12511" max="12511" width="12.42578125" style="4" customWidth="1"/>
    <col min="12512" max="12512" width="10.85546875" style="4" customWidth="1"/>
    <col min="12513" max="12513" width="14.28515625" style="4" customWidth="1"/>
    <col min="12514" max="12514" width="11.85546875" style="4" customWidth="1"/>
    <col min="12515" max="12516" width="9.140625" style="4"/>
    <col min="12517" max="12517" width="21.140625" style="4" bestFit="1" customWidth="1"/>
    <col min="12518" max="12518" width="24.140625" style="4" customWidth="1"/>
    <col min="12519" max="12519" width="21" style="4" bestFit="1" customWidth="1"/>
    <col min="12520" max="12520" width="16.42578125" style="4" bestFit="1" customWidth="1"/>
    <col min="12521" max="12521" width="15.7109375" style="4" bestFit="1" customWidth="1"/>
    <col min="12522" max="12522" width="14" style="4" bestFit="1" customWidth="1"/>
    <col min="12523" max="12523" width="12.85546875" style="4" bestFit="1" customWidth="1"/>
    <col min="12524" max="12524" width="15.7109375" style="4" bestFit="1" customWidth="1"/>
    <col min="12525" max="12525" width="18.5703125" style="4" bestFit="1" customWidth="1"/>
    <col min="12526" max="12526" width="15" style="4" bestFit="1" customWidth="1"/>
    <col min="12527" max="12527" width="20.140625" style="4" bestFit="1" customWidth="1"/>
    <col min="12528" max="12528" width="15.85546875" style="4" bestFit="1" customWidth="1"/>
    <col min="12529" max="12529" width="26" style="4" bestFit="1" customWidth="1"/>
    <col min="12530" max="12530" width="21.5703125" style="4" bestFit="1" customWidth="1"/>
    <col min="12531" max="12531" width="22.140625" style="4" bestFit="1" customWidth="1"/>
    <col min="12532" max="12539" width="22.85546875" style="4" bestFit="1" customWidth="1"/>
    <col min="12540" max="12540" width="22.140625" style="4" bestFit="1" customWidth="1"/>
    <col min="12541" max="12542" width="22.140625" style="4" customWidth="1"/>
    <col min="12543" max="12543" width="21.140625" style="4" bestFit="1" customWidth="1"/>
    <col min="12544" max="12544" width="24.140625" style="4" customWidth="1"/>
    <col min="12545" max="12545" width="21" style="4" bestFit="1" customWidth="1"/>
    <col min="12546" max="12546" width="16.42578125" style="4" bestFit="1" customWidth="1"/>
    <col min="12547" max="12547" width="15.7109375" style="4" bestFit="1" customWidth="1"/>
    <col min="12548" max="12548" width="14" style="4" bestFit="1" customWidth="1"/>
    <col min="12549" max="12549" width="12.85546875" style="4" bestFit="1" customWidth="1"/>
    <col min="12550" max="12550" width="15.7109375" style="4" bestFit="1" customWidth="1"/>
    <col min="12551" max="12551" width="18.5703125" style="4" bestFit="1" customWidth="1"/>
    <col min="12552" max="12552" width="15" style="4" bestFit="1" customWidth="1"/>
    <col min="12553" max="12553" width="20.140625" style="4" bestFit="1" customWidth="1"/>
    <col min="12554" max="12554" width="15.85546875" style="4" bestFit="1" customWidth="1"/>
    <col min="12555" max="12555" width="26" style="4" bestFit="1" customWidth="1"/>
    <col min="12556" max="12556" width="21.5703125" style="4" bestFit="1" customWidth="1"/>
    <col min="12557" max="12557" width="22.140625" style="4" bestFit="1" customWidth="1"/>
    <col min="12558" max="12565" width="22.85546875" style="4" bestFit="1" customWidth="1"/>
    <col min="12566" max="12566" width="22.140625" style="4" bestFit="1" customWidth="1"/>
    <col min="12567" max="12568" width="22.140625" style="4" customWidth="1"/>
    <col min="12569" max="12569" width="9.140625" style="4"/>
    <col min="12570" max="12570" width="21.140625" style="4" bestFit="1" customWidth="1"/>
    <col min="12571" max="12571" width="21" style="4" bestFit="1" customWidth="1"/>
    <col min="12572" max="12572" width="15.7109375" style="4" bestFit="1" customWidth="1"/>
    <col min="12573" max="12573" width="14" style="4" bestFit="1" customWidth="1"/>
    <col min="12574" max="12574" width="12.85546875" style="4" bestFit="1" customWidth="1"/>
    <col min="12575" max="12575" width="26" style="4" bestFit="1" customWidth="1"/>
    <col min="12576" max="12577" width="22.140625" style="4" customWidth="1"/>
    <col min="12578" max="12765" width="9.140625" style="4"/>
    <col min="12766" max="12766" width="24.7109375" style="4" customWidth="1"/>
    <col min="12767" max="12767" width="12.42578125" style="4" customWidth="1"/>
    <col min="12768" max="12768" width="10.85546875" style="4" customWidth="1"/>
    <col min="12769" max="12769" width="14.28515625" style="4" customWidth="1"/>
    <col min="12770" max="12770" width="11.85546875" style="4" customWidth="1"/>
    <col min="12771" max="12772" width="9.140625" style="4"/>
    <col min="12773" max="12773" width="21.140625" style="4" bestFit="1" customWidth="1"/>
    <col min="12774" max="12774" width="24.140625" style="4" customWidth="1"/>
    <col min="12775" max="12775" width="21" style="4" bestFit="1" customWidth="1"/>
    <col min="12776" max="12776" width="16.42578125" style="4" bestFit="1" customWidth="1"/>
    <col min="12777" max="12777" width="15.7109375" style="4" bestFit="1" customWidth="1"/>
    <col min="12778" max="12778" width="14" style="4" bestFit="1" customWidth="1"/>
    <col min="12779" max="12779" width="12.85546875" style="4" bestFit="1" customWidth="1"/>
    <col min="12780" max="12780" width="15.7109375" style="4" bestFit="1" customWidth="1"/>
    <col min="12781" max="12781" width="18.5703125" style="4" bestFit="1" customWidth="1"/>
    <col min="12782" max="12782" width="15" style="4" bestFit="1" customWidth="1"/>
    <col min="12783" max="12783" width="20.140625" style="4" bestFit="1" customWidth="1"/>
    <col min="12784" max="12784" width="15.85546875" style="4" bestFit="1" customWidth="1"/>
    <col min="12785" max="12785" width="26" style="4" bestFit="1" customWidth="1"/>
    <col min="12786" max="12786" width="21.5703125" style="4" bestFit="1" customWidth="1"/>
    <col min="12787" max="12787" width="22.140625" style="4" bestFit="1" customWidth="1"/>
    <col min="12788" max="12795" width="22.85546875" style="4" bestFit="1" customWidth="1"/>
    <col min="12796" max="12796" width="22.140625" style="4" bestFit="1" customWidth="1"/>
    <col min="12797" max="12798" width="22.140625" style="4" customWidth="1"/>
    <col min="12799" max="12799" width="21.140625" style="4" bestFit="1" customWidth="1"/>
    <col min="12800" max="12800" width="24.140625" style="4" customWidth="1"/>
    <col min="12801" max="12801" width="21" style="4" bestFit="1" customWidth="1"/>
    <col min="12802" max="12802" width="16.42578125" style="4" bestFit="1" customWidth="1"/>
    <col min="12803" max="12803" width="15.7109375" style="4" bestFit="1" customWidth="1"/>
    <col min="12804" max="12804" width="14" style="4" bestFit="1" customWidth="1"/>
    <col min="12805" max="12805" width="12.85546875" style="4" bestFit="1" customWidth="1"/>
    <col min="12806" max="12806" width="15.7109375" style="4" bestFit="1" customWidth="1"/>
    <col min="12807" max="12807" width="18.5703125" style="4" bestFit="1" customWidth="1"/>
    <col min="12808" max="12808" width="15" style="4" bestFit="1" customWidth="1"/>
    <col min="12809" max="12809" width="20.140625" style="4" bestFit="1" customWidth="1"/>
    <col min="12810" max="12810" width="15.85546875" style="4" bestFit="1" customWidth="1"/>
    <col min="12811" max="12811" width="26" style="4" bestFit="1" customWidth="1"/>
    <col min="12812" max="12812" width="21.5703125" style="4" bestFit="1" customWidth="1"/>
    <col min="12813" max="12813" width="22.140625" style="4" bestFit="1" customWidth="1"/>
    <col min="12814" max="12821" width="22.85546875" style="4" bestFit="1" customWidth="1"/>
    <col min="12822" max="12822" width="22.140625" style="4" bestFit="1" customWidth="1"/>
    <col min="12823" max="12824" width="22.140625" style="4" customWidth="1"/>
    <col min="12825" max="12825" width="9.140625" style="4"/>
    <col min="12826" max="12826" width="21.140625" style="4" bestFit="1" customWidth="1"/>
    <col min="12827" max="12827" width="21" style="4" bestFit="1" customWidth="1"/>
    <col min="12828" max="12828" width="15.7109375" style="4" bestFit="1" customWidth="1"/>
    <col min="12829" max="12829" width="14" style="4" bestFit="1" customWidth="1"/>
    <col min="12830" max="12830" width="12.85546875" style="4" bestFit="1" customWidth="1"/>
    <col min="12831" max="12831" width="26" style="4" bestFit="1" customWidth="1"/>
    <col min="12832" max="12833" width="22.140625" style="4" customWidth="1"/>
    <col min="12834" max="13021" width="9.140625" style="4"/>
    <col min="13022" max="13022" width="24.7109375" style="4" customWidth="1"/>
    <col min="13023" max="13023" width="12.42578125" style="4" customWidth="1"/>
    <col min="13024" max="13024" width="10.85546875" style="4" customWidth="1"/>
    <col min="13025" max="13025" width="14.28515625" style="4" customWidth="1"/>
    <col min="13026" max="13026" width="11.85546875" style="4" customWidth="1"/>
    <col min="13027" max="13028" width="9.140625" style="4"/>
    <col min="13029" max="13029" width="21.140625" style="4" bestFit="1" customWidth="1"/>
    <col min="13030" max="13030" width="24.140625" style="4" customWidth="1"/>
    <col min="13031" max="13031" width="21" style="4" bestFit="1" customWidth="1"/>
    <col min="13032" max="13032" width="16.42578125" style="4" bestFit="1" customWidth="1"/>
    <col min="13033" max="13033" width="15.7109375" style="4" bestFit="1" customWidth="1"/>
    <col min="13034" max="13034" width="14" style="4" bestFit="1" customWidth="1"/>
    <col min="13035" max="13035" width="12.85546875" style="4" bestFit="1" customWidth="1"/>
    <col min="13036" max="13036" width="15.7109375" style="4" bestFit="1" customWidth="1"/>
    <col min="13037" max="13037" width="18.5703125" style="4" bestFit="1" customWidth="1"/>
    <col min="13038" max="13038" width="15" style="4" bestFit="1" customWidth="1"/>
    <col min="13039" max="13039" width="20.140625" style="4" bestFit="1" customWidth="1"/>
    <col min="13040" max="13040" width="15.85546875" style="4" bestFit="1" customWidth="1"/>
    <col min="13041" max="13041" width="26" style="4" bestFit="1" customWidth="1"/>
    <col min="13042" max="13042" width="21.5703125" style="4" bestFit="1" customWidth="1"/>
    <col min="13043" max="13043" width="22.140625" style="4" bestFit="1" customWidth="1"/>
    <col min="13044" max="13051" width="22.85546875" style="4" bestFit="1" customWidth="1"/>
    <col min="13052" max="13052" width="22.140625" style="4" bestFit="1" customWidth="1"/>
    <col min="13053" max="13054" width="22.140625" style="4" customWidth="1"/>
    <col min="13055" max="13055" width="21.140625" style="4" bestFit="1" customWidth="1"/>
    <col min="13056" max="13056" width="24.140625" style="4" customWidth="1"/>
    <col min="13057" max="13057" width="21" style="4" bestFit="1" customWidth="1"/>
    <col min="13058" max="13058" width="16.42578125" style="4" bestFit="1" customWidth="1"/>
    <col min="13059" max="13059" width="15.7109375" style="4" bestFit="1" customWidth="1"/>
    <col min="13060" max="13060" width="14" style="4" bestFit="1" customWidth="1"/>
    <col min="13061" max="13061" width="12.85546875" style="4" bestFit="1" customWidth="1"/>
    <col min="13062" max="13062" width="15.7109375" style="4" bestFit="1" customWidth="1"/>
    <col min="13063" max="13063" width="18.5703125" style="4" bestFit="1" customWidth="1"/>
    <col min="13064" max="13064" width="15" style="4" bestFit="1" customWidth="1"/>
    <col min="13065" max="13065" width="20.140625" style="4" bestFit="1" customWidth="1"/>
    <col min="13066" max="13066" width="15.85546875" style="4" bestFit="1" customWidth="1"/>
    <col min="13067" max="13067" width="26" style="4" bestFit="1" customWidth="1"/>
    <col min="13068" max="13068" width="21.5703125" style="4" bestFit="1" customWidth="1"/>
    <col min="13069" max="13069" width="22.140625" style="4" bestFit="1" customWidth="1"/>
    <col min="13070" max="13077" width="22.85546875" style="4" bestFit="1" customWidth="1"/>
    <col min="13078" max="13078" width="22.140625" style="4" bestFit="1" customWidth="1"/>
    <col min="13079" max="13080" width="22.140625" style="4" customWidth="1"/>
    <col min="13081" max="13081" width="9.140625" style="4"/>
    <col min="13082" max="13082" width="21.140625" style="4" bestFit="1" customWidth="1"/>
    <col min="13083" max="13083" width="21" style="4" bestFit="1" customWidth="1"/>
    <col min="13084" max="13084" width="15.7109375" style="4" bestFit="1" customWidth="1"/>
    <col min="13085" max="13085" width="14" style="4" bestFit="1" customWidth="1"/>
    <col min="13086" max="13086" width="12.85546875" style="4" bestFit="1" customWidth="1"/>
    <col min="13087" max="13087" width="26" style="4" bestFit="1" customWidth="1"/>
    <col min="13088" max="13089" width="22.140625" style="4" customWidth="1"/>
    <col min="13090" max="13277" width="9.140625" style="4"/>
    <col min="13278" max="13278" width="24.7109375" style="4" customWidth="1"/>
    <col min="13279" max="13279" width="12.42578125" style="4" customWidth="1"/>
    <col min="13280" max="13280" width="10.85546875" style="4" customWidth="1"/>
    <col min="13281" max="13281" width="14.28515625" style="4" customWidth="1"/>
    <col min="13282" max="13282" width="11.85546875" style="4" customWidth="1"/>
    <col min="13283" max="13284" width="9.140625" style="4"/>
    <col min="13285" max="13285" width="21.140625" style="4" bestFit="1" customWidth="1"/>
    <col min="13286" max="13286" width="24.140625" style="4" customWidth="1"/>
    <col min="13287" max="13287" width="21" style="4" bestFit="1" customWidth="1"/>
    <col min="13288" max="13288" width="16.42578125" style="4" bestFit="1" customWidth="1"/>
    <col min="13289" max="13289" width="15.7109375" style="4" bestFit="1" customWidth="1"/>
    <col min="13290" max="13290" width="14" style="4" bestFit="1" customWidth="1"/>
    <col min="13291" max="13291" width="12.85546875" style="4" bestFit="1" customWidth="1"/>
    <col min="13292" max="13292" width="15.7109375" style="4" bestFit="1" customWidth="1"/>
    <col min="13293" max="13293" width="18.5703125" style="4" bestFit="1" customWidth="1"/>
    <col min="13294" max="13294" width="15" style="4" bestFit="1" customWidth="1"/>
    <col min="13295" max="13295" width="20.140625" style="4" bestFit="1" customWidth="1"/>
    <col min="13296" max="13296" width="15.85546875" style="4" bestFit="1" customWidth="1"/>
    <col min="13297" max="13297" width="26" style="4" bestFit="1" customWidth="1"/>
    <col min="13298" max="13298" width="21.5703125" style="4" bestFit="1" customWidth="1"/>
    <col min="13299" max="13299" width="22.140625" style="4" bestFit="1" customWidth="1"/>
    <col min="13300" max="13307" width="22.85546875" style="4" bestFit="1" customWidth="1"/>
    <col min="13308" max="13308" width="22.140625" style="4" bestFit="1" customWidth="1"/>
    <col min="13309" max="13310" width="22.140625" style="4" customWidth="1"/>
    <col min="13311" max="13311" width="21.140625" style="4" bestFit="1" customWidth="1"/>
    <col min="13312" max="13312" width="24.140625" style="4" customWidth="1"/>
    <col min="13313" max="13313" width="21" style="4" bestFit="1" customWidth="1"/>
    <col min="13314" max="13314" width="16.42578125" style="4" bestFit="1" customWidth="1"/>
    <col min="13315" max="13315" width="15.7109375" style="4" bestFit="1" customWidth="1"/>
    <col min="13316" max="13316" width="14" style="4" bestFit="1" customWidth="1"/>
    <col min="13317" max="13317" width="12.85546875" style="4" bestFit="1" customWidth="1"/>
    <col min="13318" max="13318" width="15.7109375" style="4" bestFit="1" customWidth="1"/>
    <col min="13319" max="13319" width="18.5703125" style="4" bestFit="1" customWidth="1"/>
    <col min="13320" max="13320" width="15" style="4" bestFit="1" customWidth="1"/>
    <col min="13321" max="13321" width="20.140625" style="4" bestFit="1" customWidth="1"/>
    <col min="13322" max="13322" width="15.85546875" style="4" bestFit="1" customWidth="1"/>
    <col min="13323" max="13323" width="26" style="4" bestFit="1" customWidth="1"/>
    <col min="13324" max="13324" width="21.5703125" style="4" bestFit="1" customWidth="1"/>
    <col min="13325" max="13325" width="22.140625" style="4" bestFit="1" customWidth="1"/>
    <col min="13326" max="13333" width="22.85546875" style="4" bestFit="1" customWidth="1"/>
    <col min="13334" max="13334" width="22.140625" style="4" bestFit="1" customWidth="1"/>
    <col min="13335" max="13336" width="22.140625" style="4" customWidth="1"/>
    <col min="13337" max="13337" width="9.140625" style="4"/>
    <col min="13338" max="13338" width="21.140625" style="4" bestFit="1" customWidth="1"/>
    <col min="13339" max="13339" width="21" style="4" bestFit="1" customWidth="1"/>
    <col min="13340" max="13340" width="15.7109375" style="4" bestFit="1" customWidth="1"/>
    <col min="13341" max="13341" width="14" style="4" bestFit="1" customWidth="1"/>
    <col min="13342" max="13342" width="12.85546875" style="4" bestFit="1" customWidth="1"/>
    <col min="13343" max="13343" width="26" style="4" bestFit="1" customWidth="1"/>
    <col min="13344" max="13345" width="22.140625" style="4" customWidth="1"/>
    <col min="13346" max="13533" width="9.140625" style="4"/>
    <col min="13534" max="13534" width="24.7109375" style="4" customWidth="1"/>
    <col min="13535" max="13535" width="12.42578125" style="4" customWidth="1"/>
    <col min="13536" max="13536" width="10.85546875" style="4" customWidth="1"/>
    <col min="13537" max="13537" width="14.28515625" style="4" customWidth="1"/>
    <col min="13538" max="13538" width="11.85546875" style="4" customWidth="1"/>
    <col min="13539" max="13540" width="9.140625" style="4"/>
    <col min="13541" max="13541" width="21.140625" style="4" bestFit="1" customWidth="1"/>
    <col min="13542" max="13542" width="24.140625" style="4" customWidth="1"/>
    <col min="13543" max="13543" width="21" style="4" bestFit="1" customWidth="1"/>
    <col min="13544" max="13544" width="16.42578125" style="4" bestFit="1" customWidth="1"/>
    <col min="13545" max="13545" width="15.7109375" style="4" bestFit="1" customWidth="1"/>
    <col min="13546" max="13546" width="14" style="4" bestFit="1" customWidth="1"/>
    <col min="13547" max="13547" width="12.85546875" style="4" bestFit="1" customWidth="1"/>
    <col min="13548" max="13548" width="15.7109375" style="4" bestFit="1" customWidth="1"/>
    <col min="13549" max="13549" width="18.5703125" style="4" bestFit="1" customWidth="1"/>
    <col min="13550" max="13550" width="15" style="4" bestFit="1" customWidth="1"/>
    <col min="13551" max="13551" width="20.140625" style="4" bestFit="1" customWidth="1"/>
    <col min="13552" max="13552" width="15.85546875" style="4" bestFit="1" customWidth="1"/>
    <col min="13553" max="13553" width="26" style="4" bestFit="1" customWidth="1"/>
    <col min="13554" max="13554" width="21.5703125" style="4" bestFit="1" customWidth="1"/>
    <col min="13555" max="13555" width="22.140625" style="4" bestFit="1" customWidth="1"/>
    <col min="13556" max="13563" width="22.85546875" style="4" bestFit="1" customWidth="1"/>
    <col min="13564" max="13564" width="22.140625" style="4" bestFit="1" customWidth="1"/>
    <col min="13565" max="13566" width="22.140625" style="4" customWidth="1"/>
    <col min="13567" max="13567" width="21.140625" style="4" bestFit="1" customWidth="1"/>
    <col min="13568" max="13568" width="24.140625" style="4" customWidth="1"/>
    <col min="13569" max="13569" width="21" style="4" bestFit="1" customWidth="1"/>
    <col min="13570" max="13570" width="16.42578125" style="4" bestFit="1" customWidth="1"/>
    <col min="13571" max="13571" width="15.7109375" style="4" bestFit="1" customWidth="1"/>
    <col min="13572" max="13572" width="14" style="4" bestFit="1" customWidth="1"/>
    <col min="13573" max="13573" width="12.85546875" style="4" bestFit="1" customWidth="1"/>
    <col min="13574" max="13574" width="15.7109375" style="4" bestFit="1" customWidth="1"/>
    <col min="13575" max="13575" width="18.5703125" style="4" bestFit="1" customWidth="1"/>
    <col min="13576" max="13576" width="15" style="4" bestFit="1" customWidth="1"/>
    <col min="13577" max="13577" width="20.140625" style="4" bestFit="1" customWidth="1"/>
    <col min="13578" max="13578" width="15.85546875" style="4" bestFit="1" customWidth="1"/>
    <col min="13579" max="13579" width="26" style="4" bestFit="1" customWidth="1"/>
    <col min="13580" max="13580" width="21.5703125" style="4" bestFit="1" customWidth="1"/>
    <col min="13581" max="13581" width="22.140625" style="4" bestFit="1" customWidth="1"/>
    <col min="13582" max="13589" width="22.85546875" style="4" bestFit="1" customWidth="1"/>
    <col min="13590" max="13590" width="22.140625" style="4" bestFit="1" customWidth="1"/>
    <col min="13591" max="13592" width="22.140625" style="4" customWidth="1"/>
    <col min="13593" max="13593" width="9.140625" style="4"/>
    <col min="13594" max="13594" width="21.140625" style="4" bestFit="1" customWidth="1"/>
    <col min="13595" max="13595" width="21" style="4" bestFit="1" customWidth="1"/>
    <col min="13596" max="13596" width="15.7109375" style="4" bestFit="1" customWidth="1"/>
    <col min="13597" max="13597" width="14" style="4" bestFit="1" customWidth="1"/>
    <col min="13598" max="13598" width="12.85546875" style="4" bestFit="1" customWidth="1"/>
    <col min="13599" max="13599" width="26" style="4" bestFit="1" customWidth="1"/>
    <col min="13600" max="13601" width="22.140625" style="4" customWidth="1"/>
    <col min="13602" max="13789" width="9.140625" style="4"/>
    <col min="13790" max="13790" width="24.7109375" style="4" customWidth="1"/>
    <col min="13791" max="13791" width="12.42578125" style="4" customWidth="1"/>
    <col min="13792" max="13792" width="10.85546875" style="4" customWidth="1"/>
    <col min="13793" max="13793" width="14.28515625" style="4" customWidth="1"/>
    <col min="13794" max="13794" width="11.85546875" style="4" customWidth="1"/>
    <col min="13795" max="13796" width="9.140625" style="4"/>
    <col min="13797" max="13797" width="21.140625" style="4" bestFit="1" customWidth="1"/>
    <col min="13798" max="13798" width="24.140625" style="4" customWidth="1"/>
    <col min="13799" max="13799" width="21" style="4" bestFit="1" customWidth="1"/>
    <col min="13800" max="13800" width="16.42578125" style="4" bestFit="1" customWidth="1"/>
    <col min="13801" max="13801" width="15.7109375" style="4" bestFit="1" customWidth="1"/>
    <col min="13802" max="13802" width="14" style="4" bestFit="1" customWidth="1"/>
    <col min="13803" max="13803" width="12.85546875" style="4" bestFit="1" customWidth="1"/>
    <col min="13804" max="13804" width="15.7109375" style="4" bestFit="1" customWidth="1"/>
    <col min="13805" max="13805" width="18.5703125" style="4" bestFit="1" customWidth="1"/>
    <col min="13806" max="13806" width="15" style="4" bestFit="1" customWidth="1"/>
    <col min="13807" max="13807" width="20.140625" style="4" bestFit="1" customWidth="1"/>
    <col min="13808" max="13808" width="15.85546875" style="4" bestFit="1" customWidth="1"/>
    <col min="13809" max="13809" width="26" style="4" bestFit="1" customWidth="1"/>
    <col min="13810" max="13810" width="21.5703125" style="4" bestFit="1" customWidth="1"/>
    <col min="13811" max="13811" width="22.140625" style="4" bestFit="1" customWidth="1"/>
    <col min="13812" max="13819" width="22.85546875" style="4" bestFit="1" customWidth="1"/>
    <col min="13820" max="13820" width="22.140625" style="4" bestFit="1" customWidth="1"/>
    <col min="13821" max="13822" width="22.140625" style="4" customWidth="1"/>
    <col min="13823" max="13823" width="21.140625" style="4" bestFit="1" customWidth="1"/>
    <col min="13824" max="13824" width="24.140625" style="4" customWidth="1"/>
    <col min="13825" max="13825" width="21" style="4" bestFit="1" customWidth="1"/>
    <col min="13826" max="13826" width="16.42578125" style="4" bestFit="1" customWidth="1"/>
    <col min="13827" max="13827" width="15.7109375" style="4" bestFit="1" customWidth="1"/>
    <col min="13828" max="13828" width="14" style="4" bestFit="1" customWidth="1"/>
    <col min="13829" max="13829" width="12.85546875" style="4" bestFit="1" customWidth="1"/>
    <col min="13830" max="13830" width="15.7109375" style="4" bestFit="1" customWidth="1"/>
    <col min="13831" max="13831" width="18.5703125" style="4" bestFit="1" customWidth="1"/>
    <col min="13832" max="13832" width="15" style="4" bestFit="1" customWidth="1"/>
    <col min="13833" max="13833" width="20.140625" style="4" bestFit="1" customWidth="1"/>
    <col min="13834" max="13834" width="15.85546875" style="4" bestFit="1" customWidth="1"/>
    <col min="13835" max="13835" width="26" style="4" bestFit="1" customWidth="1"/>
    <col min="13836" max="13836" width="21.5703125" style="4" bestFit="1" customWidth="1"/>
    <col min="13837" max="13837" width="22.140625" style="4" bestFit="1" customWidth="1"/>
    <col min="13838" max="13845" width="22.85546875" style="4" bestFit="1" customWidth="1"/>
    <col min="13846" max="13846" width="22.140625" style="4" bestFit="1" customWidth="1"/>
    <col min="13847" max="13848" width="22.140625" style="4" customWidth="1"/>
    <col min="13849" max="13849" width="9.140625" style="4"/>
    <col min="13850" max="13850" width="21.140625" style="4" bestFit="1" customWidth="1"/>
    <col min="13851" max="13851" width="21" style="4" bestFit="1" customWidth="1"/>
    <col min="13852" max="13852" width="15.7109375" style="4" bestFit="1" customWidth="1"/>
    <col min="13853" max="13853" width="14" style="4" bestFit="1" customWidth="1"/>
    <col min="13854" max="13854" width="12.85546875" style="4" bestFit="1" customWidth="1"/>
    <col min="13855" max="13855" width="26" style="4" bestFit="1" customWidth="1"/>
    <col min="13856" max="13857" width="22.140625" style="4" customWidth="1"/>
    <col min="13858" max="14045" width="9.140625" style="4"/>
    <col min="14046" max="14046" width="24.7109375" style="4" customWidth="1"/>
    <col min="14047" max="14047" width="12.42578125" style="4" customWidth="1"/>
    <col min="14048" max="14048" width="10.85546875" style="4" customWidth="1"/>
    <col min="14049" max="14049" width="14.28515625" style="4" customWidth="1"/>
    <col min="14050" max="14050" width="11.85546875" style="4" customWidth="1"/>
    <col min="14051" max="14052" width="9.140625" style="4"/>
    <col min="14053" max="14053" width="21.140625" style="4" bestFit="1" customWidth="1"/>
    <col min="14054" max="14054" width="24.140625" style="4" customWidth="1"/>
    <col min="14055" max="14055" width="21" style="4" bestFit="1" customWidth="1"/>
    <col min="14056" max="14056" width="16.42578125" style="4" bestFit="1" customWidth="1"/>
    <col min="14057" max="14057" width="15.7109375" style="4" bestFit="1" customWidth="1"/>
    <col min="14058" max="14058" width="14" style="4" bestFit="1" customWidth="1"/>
    <col min="14059" max="14059" width="12.85546875" style="4" bestFit="1" customWidth="1"/>
    <col min="14060" max="14060" width="15.7109375" style="4" bestFit="1" customWidth="1"/>
    <col min="14061" max="14061" width="18.5703125" style="4" bestFit="1" customWidth="1"/>
    <col min="14062" max="14062" width="15" style="4" bestFit="1" customWidth="1"/>
    <col min="14063" max="14063" width="20.140625" style="4" bestFit="1" customWidth="1"/>
    <col min="14064" max="14064" width="15.85546875" style="4" bestFit="1" customWidth="1"/>
    <col min="14065" max="14065" width="26" style="4" bestFit="1" customWidth="1"/>
    <col min="14066" max="14066" width="21.5703125" style="4" bestFit="1" customWidth="1"/>
    <col min="14067" max="14067" width="22.140625" style="4" bestFit="1" customWidth="1"/>
    <col min="14068" max="14075" width="22.85546875" style="4" bestFit="1" customWidth="1"/>
    <col min="14076" max="14076" width="22.140625" style="4" bestFit="1" customWidth="1"/>
    <col min="14077" max="14078" width="22.140625" style="4" customWidth="1"/>
    <col min="14079" max="14079" width="21.140625" style="4" bestFit="1" customWidth="1"/>
    <col min="14080" max="14080" width="24.140625" style="4" customWidth="1"/>
    <col min="14081" max="14081" width="21" style="4" bestFit="1" customWidth="1"/>
    <col min="14082" max="14082" width="16.42578125" style="4" bestFit="1" customWidth="1"/>
    <col min="14083" max="14083" width="15.7109375" style="4" bestFit="1" customWidth="1"/>
    <col min="14084" max="14084" width="14" style="4" bestFit="1" customWidth="1"/>
    <col min="14085" max="14085" width="12.85546875" style="4" bestFit="1" customWidth="1"/>
    <col min="14086" max="14086" width="15.7109375" style="4" bestFit="1" customWidth="1"/>
    <col min="14087" max="14087" width="18.5703125" style="4" bestFit="1" customWidth="1"/>
    <col min="14088" max="14088" width="15" style="4" bestFit="1" customWidth="1"/>
    <col min="14089" max="14089" width="20.140625" style="4" bestFit="1" customWidth="1"/>
    <col min="14090" max="14090" width="15.85546875" style="4" bestFit="1" customWidth="1"/>
    <col min="14091" max="14091" width="26" style="4" bestFit="1" customWidth="1"/>
    <col min="14092" max="14092" width="21.5703125" style="4" bestFit="1" customWidth="1"/>
    <col min="14093" max="14093" width="22.140625" style="4" bestFit="1" customWidth="1"/>
    <col min="14094" max="14101" width="22.85546875" style="4" bestFit="1" customWidth="1"/>
    <col min="14102" max="14102" width="22.140625" style="4" bestFit="1" customWidth="1"/>
    <col min="14103" max="14104" width="22.140625" style="4" customWidth="1"/>
    <col min="14105" max="14105" width="9.140625" style="4"/>
    <col min="14106" max="14106" width="21.140625" style="4" bestFit="1" customWidth="1"/>
    <col min="14107" max="14107" width="21" style="4" bestFit="1" customWidth="1"/>
    <col min="14108" max="14108" width="15.7109375" style="4" bestFit="1" customWidth="1"/>
    <col min="14109" max="14109" width="14" style="4" bestFit="1" customWidth="1"/>
    <col min="14110" max="14110" width="12.85546875" style="4" bestFit="1" customWidth="1"/>
    <col min="14111" max="14111" width="26" style="4" bestFit="1" customWidth="1"/>
    <col min="14112" max="14113" width="22.140625" style="4" customWidth="1"/>
    <col min="14114" max="14301" width="9.140625" style="4"/>
    <col min="14302" max="14302" width="24.7109375" style="4" customWidth="1"/>
    <col min="14303" max="14303" width="12.42578125" style="4" customWidth="1"/>
    <col min="14304" max="14304" width="10.85546875" style="4" customWidth="1"/>
    <col min="14305" max="14305" width="14.28515625" style="4" customWidth="1"/>
    <col min="14306" max="14306" width="11.85546875" style="4" customWidth="1"/>
    <col min="14307" max="14308" width="9.140625" style="4"/>
    <col min="14309" max="14309" width="21.140625" style="4" bestFit="1" customWidth="1"/>
    <col min="14310" max="14310" width="24.140625" style="4" customWidth="1"/>
    <col min="14311" max="14311" width="21" style="4" bestFit="1" customWidth="1"/>
    <col min="14312" max="14312" width="16.42578125" style="4" bestFit="1" customWidth="1"/>
    <col min="14313" max="14313" width="15.7109375" style="4" bestFit="1" customWidth="1"/>
    <col min="14314" max="14314" width="14" style="4" bestFit="1" customWidth="1"/>
    <col min="14315" max="14315" width="12.85546875" style="4" bestFit="1" customWidth="1"/>
    <col min="14316" max="14316" width="15.7109375" style="4" bestFit="1" customWidth="1"/>
    <col min="14317" max="14317" width="18.5703125" style="4" bestFit="1" customWidth="1"/>
    <col min="14318" max="14318" width="15" style="4" bestFit="1" customWidth="1"/>
    <col min="14319" max="14319" width="20.140625" style="4" bestFit="1" customWidth="1"/>
    <col min="14320" max="14320" width="15.85546875" style="4" bestFit="1" customWidth="1"/>
    <col min="14321" max="14321" width="26" style="4" bestFit="1" customWidth="1"/>
    <col min="14322" max="14322" width="21.5703125" style="4" bestFit="1" customWidth="1"/>
    <col min="14323" max="14323" width="22.140625" style="4" bestFit="1" customWidth="1"/>
    <col min="14324" max="14331" width="22.85546875" style="4" bestFit="1" customWidth="1"/>
    <col min="14332" max="14332" width="22.140625" style="4" bestFit="1" customWidth="1"/>
    <col min="14333" max="14334" width="22.140625" style="4" customWidth="1"/>
    <col min="14335" max="14335" width="21.140625" style="4" bestFit="1" customWidth="1"/>
    <col min="14336" max="14336" width="24.140625" style="4" customWidth="1"/>
    <col min="14337" max="14337" width="21" style="4" bestFit="1" customWidth="1"/>
    <col min="14338" max="14338" width="16.42578125" style="4" bestFit="1" customWidth="1"/>
    <col min="14339" max="14339" width="15.7109375" style="4" bestFit="1" customWidth="1"/>
    <col min="14340" max="14340" width="14" style="4" bestFit="1" customWidth="1"/>
    <col min="14341" max="14341" width="12.85546875" style="4" bestFit="1" customWidth="1"/>
    <col min="14342" max="14342" width="15.7109375" style="4" bestFit="1" customWidth="1"/>
    <col min="14343" max="14343" width="18.5703125" style="4" bestFit="1" customWidth="1"/>
    <col min="14344" max="14344" width="15" style="4" bestFit="1" customWidth="1"/>
    <col min="14345" max="14345" width="20.140625" style="4" bestFit="1" customWidth="1"/>
    <col min="14346" max="14346" width="15.85546875" style="4" bestFit="1" customWidth="1"/>
    <col min="14347" max="14347" width="26" style="4" bestFit="1" customWidth="1"/>
    <col min="14348" max="14348" width="21.5703125" style="4" bestFit="1" customWidth="1"/>
    <col min="14349" max="14349" width="22.140625" style="4" bestFit="1" customWidth="1"/>
    <col min="14350" max="14357" width="22.85546875" style="4" bestFit="1" customWidth="1"/>
    <col min="14358" max="14358" width="22.140625" style="4" bestFit="1" customWidth="1"/>
    <col min="14359" max="14360" width="22.140625" style="4" customWidth="1"/>
    <col min="14361" max="14361" width="9.140625" style="4"/>
    <col min="14362" max="14362" width="21.140625" style="4" bestFit="1" customWidth="1"/>
    <col min="14363" max="14363" width="21" style="4" bestFit="1" customWidth="1"/>
    <col min="14364" max="14364" width="15.7109375" style="4" bestFit="1" customWidth="1"/>
    <col min="14365" max="14365" width="14" style="4" bestFit="1" customWidth="1"/>
    <col min="14366" max="14366" width="12.85546875" style="4" bestFit="1" customWidth="1"/>
    <col min="14367" max="14367" width="26" style="4" bestFit="1" customWidth="1"/>
    <col min="14368" max="14369" width="22.140625" style="4" customWidth="1"/>
    <col min="14370" max="14557" width="9.140625" style="4"/>
    <col min="14558" max="14558" width="24.7109375" style="4" customWidth="1"/>
    <col min="14559" max="14559" width="12.42578125" style="4" customWidth="1"/>
    <col min="14560" max="14560" width="10.85546875" style="4" customWidth="1"/>
    <col min="14561" max="14561" width="14.28515625" style="4" customWidth="1"/>
    <col min="14562" max="14562" width="11.85546875" style="4" customWidth="1"/>
    <col min="14563" max="14564" width="9.140625" style="4"/>
    <col min="14565" max="14565" width="21.140625" style="4" bestFit="1" customWidth="1"/>
    <col min="14566" max="14566" width="24.140625" style="4" customWidth="1"/>
    <col min="14567" max="14567" width="21" style="4" bestFit="1" customWidth="1"/>
    <col min="14568" max="14568" width="16.42578125" style="4" bestFit="1" customWidth="1"/>
    <col min="14569" max="14569" width="15.7109375" style="4" bestFit="1" customWidth="1"/>
    <col min="14570" max="14570" width="14" style="4" bestFit="1" customWidth="1"/>
    <col min="14571" max="14571" width="12.85546875" style="4" bestFit="1" customWidth="1"/>
    <col min="14572" max="14572" width="15.7109375" style="4" bestFit="1" customWidth="1"/>
    <col min="14573" max="14573" width="18.5703125" style="4" bestFit="1" customWidth="1"/>
    <col min="14574" max="14574" width="15" style="4" bestFit="1" customWidth="1"/>
    <col min="14575" max="14575" width="20.140625" style="4" bestFit="1" customWidth="1"/>
    <col min="14576" max="14576" width="15.85546875" style="4" bestFit="1" customWidth="1"/>
    <col min="14577" max="14577" width="26" style="4" bestFit="1" customWidth="1"/>
    <col min="14578" max="14578" width="21.5703125" style="4" bestFit="1" customWidth="1"/>
    <col min="14579" max="14579" width="22.140625" style="4" bestFit="1" customWidth="1"/>
    <col min="14580" max="14587" width="22.85546875" style="4" bestFit="1" customWidth="1"/>
    <col min="14588" max="14588" width="22.140625" style="4" bestFit="1" customWidth="1"/>
    <col min="14589" max="14590" width="22.140625" style="4" customWidth="1"/>
    <col min="14591" max="14591" width="21.140625" style="4" bestFit="1" customWidth="1"/>
    <col min="14592" max="14592" width="24.140625" style="4" customWidth="1"/>
    <col min="14593" max="14593" width="21" style="4" bestFit="1" customWidth="1"/>
    <col min="14594" max="14594" width="16.42578125" style="4" bestFit="1" customWidth="1"/>
    <col min="14595" max="14595" width="15.7109375" style="4" bestFit="1" customWidth="1"/>
    <col min="14596" max="14596" width="14" style="4" bestFit="1" customWidth="1"/>
    <col min="14597" max="14597" width="12.85546875" style="4" bestFit="1" customWidth="1"/>
    <col min="14598" max="14598" width="15.7109375" style="4" bestFit="1" customWidth="1"/>
    <col min="14599" max="14599" width="18.5703125" style="4" bestFit="1" customWidth="1"/>
    <col min="14600" max="14600" width="15" style="4" bestFit="1" customWidth="1"/>
    <col min="14601" max="14601" width="20.140625" style="4" bestFit="1" customWidth="1"/>
    <col min="14602" max="14602" width="15.85546875" style="4" bestFit="1" customWidth="1"/>
    <col min="14603" max="14603" width="26" style="4" bestFit="1" customWidth="1"/>
    <col min="14604" max="14604" width="21.5703125" style="4" bestFit="1" customWidth="1"/>
    <col min="14605" max="14605" width="22.140625" style="4" bestFit="1" customWidth="1"/>
    <col min="14606" max="14613" width="22.85546875" style="4" bestFit="1" customWidth="1"/>
    <col min="14614" max="14614" width="22.140625" style="4" bestFit="1" customWidth="1"/>
    <col min="14615" max="14616" width="22.140625" style="4" customWidth="1"/>
    <col min="14617" max="14617" width="9.140625" style="4"/>
    <col min="14618" max="14618" width="21.140625" style="4" bestFit="1" customWidth="1"/>
    <col min="14619" max="14619" width="21" style="4" bestFit="1" customWidth="1"/>
    <col min="14620" max="14620" width="15.7109375" style="4" bestFit="1" customWidth="1"/>
    <col min="14621" max="14621" width="14" style="4" bestFit="1" customWidth="1"/>
    <col min="14622" max="14622" width="12.85546875" style="4" bestFit="1" customWidth="1"/>
    <col min="14623" max="14623" width="26" style="4" bestFit="1" customWidth="1"/>
    <col min="14624" max="14625" width="22.140625" style="4" customWidth="1"/>
    <col min="14626" max="14813" width="9.140625" style="4"/>
    <col min="14814" max="14814" width="24.7109375" style="4" customWidth="1"/>
    <col min="14815" max="14815" width="12.42578125" style="4" customWidth="1"/>
    <col min="14816" max="14816" width="10.85546875" style="4" customWidth="1"/>
    <col min="14817" max="14817" width="14.28515625" style="4" customWidth="1"/>
    <col min="14818" max="14818" width="11.85546875" style="4" customWidth="1"/>
    <col min="14819" max="14820" width="9.140625" style="4"/>
    <col min="14821" max="14821" width="21.140625" style="4" bestFit="1" customWidth="1"/>
    <col min="14822" max="14822" width="24.140625" style="4" customWidth="1"/>
    <col min="14823" max="14823" width="21" style="4" bestFit="1" customWidth="1"/>
    <col min="14824" max="14824" width="16.42578125" style="4" bestFit="1" customWidth="1"/>
    <col min="14825" max="14825" width="15.7109375" style="4" bestFit="1" customWidth="1"/>
    <col min="14826" max="14826" width="14" style="4" bestFit="1" customWidth="1"/>
    <col min="14827" max="14827" width="12.85546875" style="4" bestFit="1" customWidth="1"/>
    <col min="14828" max="14828" width="15.7109375" style="4" bestFit="1" customWidth="1"/>
    <col min="14829" max="14829" width="18.5703125" style="4" bestFit="1" customWidth="1"/>
    <col min="14830" max="14830" width="15" style="4" bestFit="1" customWidth="1"/>
    <col min="14831" max="14831" width="20.140625" style="4" bestFit="1" customWidth="1"/>
    <col min="14832" max="14832" width="15.85546875" style="4" bestFit="1" customWidth="1"/>
    <col min="14833" max="14833" width="26" style="4" bestFit="1" customWidth="1"/>
    <col min="14834" max="14834" width="21.5703125" style="4" bestFit="1" customWidth="1"/>
    <col min="14835" max="14835" width="22.140625" style="4" bestFit="1" customWidth="1"/>
    <col min="14836" max="14843" width="22.85546875" style="4" bestFit="1" customWidth="1"/>
    <col min="14844" max="14844" width="22.140625" style="4" bestFit="1" customWidth="1"/>
    <col min="14845" max="14846" width="22.140625" style="4" customWidth="1"/>
    <col min="14847" max="14847" width="21.140625" style="4" bestFit="1" customWidth="1"/>
    <col min="14848" max="14848" width="24.140625" style="4" customWidth="1"/>
    <col min="14849" max="14849" width="21" style="4" bestFit="1" customWidth="1"/>
    <col min="14850" max="14850" width="16.42578125" style="4" bestFit="1" customWidth="1"/>
    <col min="14851" max="14851" width="15.7109375" style="4" bestFit="1" customWidth="1"/>
    <col min="14852" max="14852" width="14" style="4" bestFit="1" customWidth="1"/>
    <col min="14853" max="14853" width="12.85546875" style="4" bestFit="1" customWidth="1"/>
    <col min="14854" max="14854" width="15.7109375" style="4" bestFit="1" customWidth="1"/>
    <col min="14855" max="14855" width="18.5703125" style="4" bestFit="1" customWidth="1"/>
    <col min="14856" max="14856" width="15" style="4" bestFit="1" customWidth="1"/>
    <col min="14857" max="14857" width="20.140625" style="4" bestFit="1" customWidth="1"/>
    <col min="14858" max="14858" width="15.85546875" style="4" bestFit="1" customWidth="1"/>
    <col min="14859" max="14859" width="26" style="4" bestFit="1" customWidth="1"/>
    <col min="14860" max="14860" width="21.5703125" style="4" bestFit="1" customWidth="1"/>
    <col min="14861" max="14861" width="22.140625" style="4" bestFit="1" customWidth="1"/>
    <col min="14862" max="14869" width="22.85546875" style="4" bestFit="1" customWidth="1"/>
    <col min="14870" max="14870" width="22.140625" style="4" bestFit="1" customWidth="1"/>
    <col min="14871" max="14872" width="22.140625" style="4" customWidth="1"/>
    <col min="14873" max="14873" width="9.140625" style="4"/>
    <col min="14874" max="14874" width="21.140625" style="4" bestFit="1" customWidth="1"/>
    <col min="14875" max="14875" width="21" style="4" bestFit="1" customWidth="1"/>
    <col min="14876" max="14876" width="15.7109375" style="4" bestFit="1" customWidth="1"/>
    <col min="14877" max="14877" width="14" style="4" bestFit="1" customWidth="1"/>
    <col min="14878" max="14878" width="12.85546875" style="4" bestFit="1" customWidth="1"/>
    <col min="14879" max="14879" width="26" style="4" bestFit="1" customWidth="1"/>
    <col min="14880" max="14881" width="22.140625" style="4" customWidth="1"/>
    <col min="14882" max="15069" width="9.140625" style="4"/>
    <col min="15070" max="15070" width="24.7109375" style="4" customWidth="1"/>
    <col min="15071" max="15071" width="12.42578125" style="4" customWidth="1"/>
    <col min="15072" max="15072" width="10.85546875" style="4" customWidth="1"/>
    <col min="15073" max="15073" width="14.28515625" style="4" customWidth="1"/>
    <col min="15074" max="15074" width="11.85546875" style="4" customWidth="1"/>
    <col min="15075" max="15076" width="9.140625" style="4"/>
    <col min="15077" max="15077" width="21.140625" style="4" bestFit="1" customWidth="1"/>
    <col min="15078" max="15078" width="24.140625" style="4" customWidth="1"/>
    <col min="15079" max="15079" width="21" style="4" bestFit="1" customWidth="1"/>
    <col min="15080" max="15080" width="16.42578125" style="4" bestFit="1" customWidth="1"/>
    <col min="15081" max="15081" width="15.7109375" style="4" bestFit="1" customWidth="1"/>
    <col min="15082" max="15082" width="14" style="4" bestFit="1" customWidth="1"/>
    <col min="15083" max="15083" width="12.85546875" style="4" bestFit="1" customWidth="1"/>
    <col min="15084" max="15084" width="15.7109375" style="4" bestFit="1" customWidth="1"/>
    <col min="15085" max="15085" width="18.5703125" style="4" bestFit="1" customWidth="1"/>
    <col min="15086" max="15086" width="15" style="4" bestFit="1" customWidth="1"/>
    <col min="15087" max="15087" width="20.140625" style="4" bestFit="1" customWidth="1"/>
    <col min="15088" max="15088" width="15.85546875" style="4" bestFit="1" customWidth="1"/>
    <col min="15089" max="15089" width="26" style="4" bestFit="1" customWidth="1"/>
    <col min="15090" max="15090" width="21.5703125" style="4" bestFit="1" customWidth="1"/>
    <col min="15091" max="15091" width="22.140625" style="4" bestFit="1" customWidth="1"/>
    <col min="15092" max="15099" width="22.85546875" style="4" bestFit="1" customWidth="1"/>
    <col min="15100" max="15100" width="22.140625" style="4" bestFit="1" customWidth="1"/>
    <col min="15101" max="15102" width="22.140625" style="4" customWidth="1"/>
    <col min="15103" max="15103" width="21.140625" style="4" bestFit="1" customWidth="1"/>
    <col min="15104" max="15104" width="24.140625" style="4" customWidth="1"/>
    <col min="15105" max="15105" width="21" style="4" bestFit="1" customWidth="1"/>
    <col min="15106" max="15106" width="16.42578125" style="4" bestFit="1" customWidth="1"/>
    <col min="15107" max="15107" width="15.7109375" style="4" bestFit="1" customWidth="1"/>
    <col min="15108" max="15108" width="14" style="4" bestFit="1" customWidth="1"/>
    <col min="15109" max="15109" width="12.85546875" style="4" bestFit="1" customWidth="1"/>
    <col min="15110" max="15110" width="15.7109375" style="4" bestFit="1" customWidth="1"/>
    <col min="15111" max="15111" width="18.5703125" style="4" bestFit="1" customWidth="1"/>
    <col min="15112" max="15112" width="15" style="4" bestFit="1" customWidth="1"/>
    <col min="15113" max="15113" width="20.140625" style="4" bestFit="1" customWidth="1"/>
    <col min="15114" max="15114" width="15.85546875" style="4" bestFit="1" customWidth="1"/>
    <col min="15115" max="15115" width="26" style="4" bestFit="1" customWidth="1"/>
    <col min="15116" max="15116" width="21.5703125" style="4" bestFit="1" customWidth="1"/>
    <col min="15117" max="15117" width="22.140625" style="4" bestFit="1" customWidth="1"/>
    <col min="15118" max="15125" width="22.85546875" style="4" bestFit="1" customWidth="1"/>
    <col min="15126" max="15126" width="22.140625" style="4" bestFit="1" customWidth="1"/>
    <col min="15127" max="15128" width="22.140625" style="4" customWidth="1"/>
    <col min="15129" max="15129" width="9.140625" style="4"/>
    <col min="15130" max="15130" width="21.140625" style="4" bestFit="1" customWidth="1"/>
    <col min="15131" max="15131" width="21" style="4" bestFit="1" customWidth="1"/>
    <col min="15132" max="15132" width="15.7109375" style="4" bestFit="1" customWidth="1"/>
    <col min="15133" max="15133" width="14" style="4" bestFit="1" customWidth="1"/>
    <col min="15134" max="15134" width="12.85546875" style="4" bestFit="1" customWidth="1"/>
    <col min="15135" max="15135" width="26" style="4" bestFit="1" customWidth="1"/>
    <col min="15136" max="15137" width="22.140625" style="4" customWidth="1"/>
    <col min="15138" max="15325" width="9.140625" style="4"/>
    <col min="15326" max="15326" width="24.7109375" style="4" customWidth="1"/>
    <col min="15327" max="15327" width="12.42578125" style="4" customWidth="1"/>
    <col min="15328" max="15328" width="10.85546875" style="4" customWidth="1"/>
    <col min="15329" max="15329" width="14.28515625" style="4" customWidth="1"/>
    <col min="15330" max="15330" width="11.85546875" style="4" customWidth="1"/>
    <col min="15331" max="15332" width="9.140625" style="4"/>
    <col min="15333" max="15333" width="21.140625" style="4" bestFit="1" customWidth="1"/>
    <col min="15334" max="15334" width="24.140625" style="4" customWidth="1"/>
    <col min="15335" max="15335" width="21" style="4" bestFit="1" customWidth="1"/>
    <col min="15336" max="15336" width="16.42578125" style="4" bestFit="1" customWidth="1"/>
    <col min="15337" max="15337" width="15.7109375" style="4" bestFit="1" customWidth="1"/>
    <col min="15338" max="15338" width="14" style="4" bestFit="1" customWidth="1"/>
    <col min="15339" max="15339" width="12.85546875" style="4" bestFit="1" customWidth="1"/>
    <col min="15340" max="15340" width="15.7109375" style="4" bestFit="1" customWidth="1"/>
    <col min="15341" max="15341" width="18.5703125" style="4" bestFit="1" customWidth="1"/>
    <col min="15342" max="15342" width="15" style="4" bestFit="1" customWidth="1"/>
    <col min="15343" max="15343" width="20.140625" style="4" bestFit="1" customWidth="1"/>
    <col min="15344" max="15344" width="15.85546875" style="4" bestFit="1" customWidth="1"/>
    <col min="15345" max="15345" width="26" style="4" bestFit="1" customWidth="1"/>
    <col min="15346" max="15346" width="21.5703125" style="4" bestFit="1" customWidth="1"/>
    <col min="15347" max="15347" width="22.140625" style="4" bestFit="1" customWidth="1"/>
    <col min="15348" max="15355" width="22.85546875" style="4" bestFit="1" customWidth="1"/>
    <col min="15356" max="15356" width="22.140625" style="4" bestFit="1" customWidth="1"/>
    <col min="15357" max="15358" width="22.140625" style="4" customWidth="1"/>
    <col min="15359" max="15359" width="21.140625" style="4" bestFit="1" customWidth="1"/>
    <col min="15360" max="15360" width="24.140625" style="4" customWidth="1"/>
    <col min="15361" max="15361" width="21" style="4" bestFit="1" customWidth="1"/>
    <col min="15362" max="15362" width="16.42578125" style="4" bestFit="1" customWidth="1"/>
    <col min="15363" max="15363" width="15.7109375" style="4" bestFit="1" customWidth="1"/>
    <col min="15364" max="15364" width="14" style="4" bestFit="1" customWidth="1"/>
    <col min="15365" max="15365" width="12.85546875" style="4" bestFit="1" customWidth="1"/>
    <col min="15366" max="15366" width="15.7109375" style="4" bestFit="1" customWidth="1"/>
    <col min="15367" max="15367" width="18.5703125" style="4" bestFit="1" customWidth="1"/>
    <col min="15368" max="15368" width="15" style="4" bestFit="1" customWidth="1"/>
    <col min="15369" max="15369" width="20.140625" style="4" bestFit="1" customWidth="1"/>
    <col min="15370" max="15370" width="15.85546875" style="4" bestFit="1" customWidth="1"/>
    <col min="15371" max="15371" width="26" style="4" bestFit="1" customWidth="1"/>
    <col min="15372" max="15372" width="21.5703125" style="4" bestFit="1" customWidth="1"/>
    <col min="15373" max="15373" width="22.140625" style="4" bestFit="1" customWidth="1"/>
    <col min="15374" max="15381" width="22.85546875" style="4" bestFit="1" customWidth="1"/>
    <col min="15382" max="15382" width="22.140625" style="4" bestFit="1" customWidth="1"/>
    <col min="15383" max="15384" width="22.140625" style="4" customWidth="1"/>
    <col min="15385" max="15385" width="9.140625" style="4"/>
    <col min="15386" max="15386" width="21.140625" style="4" bestFit="1" customWidth="1"/>
    <col min="15387" max="15387" width="21" style="4" bestFit="1" customWidth="1"/>
    <col min="15388" max="15388" width="15.7109375" style="4" bestFit="1" customWidth="1"/>
    <col min="15389" max="15389" width="14" style="4" bestFit="1" customWidth="1"/>
    <col min="15390" max="15390" width="12.85546875" style="4" bestFit="1" customWidth="1"/>
    <col min="15391" max="15391" width="26" style="4" bestFit="1" customWidth="1"/>
    <col min="15392" max="15393" width="22.140625" style="4" customWidth="1"/>
    <col min="15394" max="15581" width="9.140625" style="4"/>
    <col min="15582" max="15582" width="24.7109375" style="4" customWidth="1"/>
    <col min="15583" max="15583" width="12.42578125" style="4" customWidth="1"/>
    <col min="15584" max="15584" width="10.85546875" style="4" customWidth="1"/>
    <col min="15585" max="15585" width="14.28515625" style="4" customWidth="1"/>
    <col min="15586" max="15586" width="11.85546875" style="4" customWidth="1"/>
    <col min="15587" max="15588" width="9.140625" style="4"/>
    <col min="15589" max="15589" width="21.140625" style="4" bestFit="1" customWidth="1"/>
    <col min="15590" max="15590" width="24.140625" style="4" customWidth="1"/>
    <col min="15591" max="15591" width="21" style="4" bestFit="1" customWidth="1"/>
    <col min="15592" max="15592" width="16.42578125" style="4" bestFit="1" customWidth="1"/>
    <col min="15593" max="15593" width="15.7109375" style="4" bestFit="1" customWidth="1"/>
    <col min="15594" max="15594" width="14" style="4" bestFit="1" customWidth="1"/>
    <col min="15595" max="15595" width="12.85546875" style="4" bestFit="1" customWidth="1"/>
    <col min="15596" max="15596" width="15.7109375" style="4" bestFit="1" customWidth="1"/>
    <col min="15597" max="15597" width="18.5703125" style="4" bestFit="1" customWidth="1"/>
    <col min="15598" max="15598" width="15" style="4" bestFit="1" customWidth="1"/>
    <col min="15599" max="15599" width="20.140625" style="4" bestFit="1" customWidth="1"/>
    <col min="15600" max="15600" width="15.85546875" style="4" bestFit="1" customWidth="1"/>
    <col min="15601" max="15601" width="26" style="4" bestFit="1" customWidth="1"/>
    <col min="15602" max="15602" width="21.5703125" style="4" bestFit="1" customWidth="1"/>
    <col min="15603" max="15603" width="22.140625" style="4" bestFit="1" customWidth="1"/>
    <col min="15604" max="15611" width="22.85546875" style="4" bestFit="1" customWidth="1"/>
    <col min="15612" max="15612" width="22.140625" style="4" bestFit="1" customWidth="1"/>
    <col min="15613" max="15614" width="22.140625" style="4" customWidth="1"/>
    <col min="15615" max="15615" width="21.140625" style="4" bestFit="1" customWidth="1"/>
    <col min="15616" max="15616" width="24.140625" style="4" customWidth="1"/>
    <col min="15617" max="15617" width="21" style="4" bestFit="1" customWidth="1"/>
    <col min="15618" max="15618" width="16.42578125" style="4" bestFit="1" customWidth="1"/>
    <col min="15619" max="15619" width="15.7109375" style="4" bestFit="1" customWidth="1"/>
    <col min="15620" max="15620" width="14" style="4" bestFit="1" customWidth="1"/>
    <col min="15621" max="15621" width="12.85546875" style="4" bestFit="1" customWidth="1"/>
    <col min="15622" max="15622" width="15.7109375" style="4" bestFit="1" customWidth="1"/>
    <col min="15623" max="15623" width="18.5703125" style="4" bestFit="1" customWidth="1"/>
    <col min="15624" max="15624" width="15" style="4" bestFit="1" customWidth="1"/>
    <col min="15625" max="15625" width="20.140625" style="4" bestFit="1" customWidth="1"/>
    <col min="15626" max="15626" width="15.85546875" style="4" bestFit="1" customWidth="1"/>
    <col min="15627" max="15627" width="26" style="4" bestFit="1" customWidth="1"/>
    <col min="15628" max="15628" width="21.5703125" style="4" bestFit="1" customWidth="1"/>
    <col min="15629" max="15629" width="22.140625" style="4" bestFit="1" customWidth="1"/>
    <col min="15630" max="15637" width="22.85546875" style="4" bestFit="1" customWidth="1"/>
    <col min="15638" max="15638" width="22.140625" style="4" bestFit="1" customWidth="1"/>
    <col min="15639" max="15640" width="22.140625" style="4" customWidth="1"/>
    <col min="15641" max="15641" width="9.140625" style="4"/>
    <col min="15642" max="15642" width="21.140625" style="4" bestFit="1" customWidth="1"/>
    <col min="15643" max="15643" width="21" style="4" bestFit="1" customWidth="1"/>
    <col min="15644" max="15644" width="15.7109375" style="4" bestFit="1" customWidth="1"/>
    <col min="15645" max="15645" width="14" style="4" bestFit="1" customWidth="1"/>
    <col min="15646" max="15646" width="12.85546875" style="4" bestFit="1" customWidth="1"/>
    <col min="15647" max="15647" width="26" style="4" bestFit="1" customWidth="1"/>
    <col min="15648" max="15649" width="22.140625" style="4" customWidth="1"/>
    <col min="15650" max="15837" width="9.140625" style="4"/>
    <col min="15838" max="15838" width="24.7109375" style="4" customWidth="1"/>
    <col min="15839" max="15839" width="12.42578125" style="4" customWidth="1"/>
    <col min="15840" max="15840" width="10.85546875" style="4" customWidth="1"/>
    <col min="15841" max="15841" width="14.28515625" style="4" customWidth="1"/>
    <col min="15842" max="15842" width="11.85546875" style="4" customWidth="1"/>
    <col min="15843" max="15844" width="9.140625" style="4"/>
    <col min="15845" max="15845" width="21.140625" style="4" bestFit="1" customWidth="1"/>
    <col min="15846" max="15846" width="24.140625" style="4" customWidth="1"/>
    <col min="15847" max="15847" width="21" style="4" bestFit="1" customWidth="1"/>
    <col min="15848" max="15848" width="16.42578125" style="4" bestFit="1" customWidth="1"/>
    <col min="15849" max="15849" width="15.7109375" style="4" bestFit="1" customWidth="1"/>
    <col min="15850" max="15850" width="14" style="4" bestFit="1" customWidth="1"/>
    <col min="15851" max="15851" width="12.85546875" style="4" bestFit="1" customWidth="1"/>
    <col min="15852" max="15852" width="15.7109375" style="4" bestFit="1" customWidth="1"/>
    <col min="15853" max="15853" width="18.5703125" style="4" bestFit="1" customWidth="1"/>
    <col min="15854" max="15854" width="15" style="4" bestFit="1" customWidth="1"/>
    <col min="15855" max="15855" width="20.140625" style="4" bestFit="1" customWidth="1"/>
    <col min="15856" max="15856" width="15.85546875" style="4" bestFit="1" customWidth="1"/>
    <col min="15857" max="15857" width="26" style="4" bestFit="1" customWidth="1"/>
    <col min="15858" max="15858" width="21.5703125" style="4" bestFit="1" customWidth="1"/>
    <col min="15859" max="15859" width="22.140625" style="4" bestFit="1" customWidth="1"/>
    <col min="15860" max="15867" width="22.85546875" style="4" bestFit="1" customWidth="1"/>
    <col min="15868" max="15868" width="22.140625" style="4" bestFit="1" customWidth="1"/>
    <col min="15869" max="15870" width="22.140625" style="4" customWidth="1"/>
    <col min="15871" max="15871" width="21.140625" style="4" bestFit="1" customWidth="1"/>
    <col min="15872" max="15872" width="24.140625" style="4" customWidth="1"/>
    <col min="15873" max="15873" width="21" style="4" bestFit="1" customWidth="1"/>
    <col min="15874" max="15874" width="16.42578125" style="4" bestFit="1" customWidth="1"/>
    <col min="15875" max="15875" width="15.7109375" style="4" bestFit="1" customWidth="1"/>
    <col min="15876" max="15876" width="14" style="4" bestFit="1" customWidth="1"/>
    <col min="15877" max="15877" width="12.85546875" style="4" bestFit="1" customWidth="1"/>
    <col min="15878" max="15878" width="15.7109375" style="4" bestFit="1" customWidth="1"/>
    <col min="15879" max="15879" width="18.5703125" style="4" bestFit="1" customWidth="1"/>
    <col min="15880" max="15880" width="15" style="4" bestFit="1" customWidth="1"/>
    <col min="15881" max="15881" width="20.140625" style="4" bestFit="1" customWidth="1"/>
    <col min="15882" max="15882" width="15.85546875" style="4" bestFit="1" customWidth="1"/>
    <col min="15883" max="15883" width="26" style="4" bestFit="1" customWidth="1"/>
    <col min="15884" max="15884" width="21.5703125" style="4" bestFit="1" customWidth="1"/>
    <col min="15885" max="15885" width="22.140625" style="4" bestFit="1" customWidth="1"/>
    <col min="15886" max="15893" width="22.85546875" style="4" bestFit="1" customWidth="1"/>
    <col min="15894" max="15894" width="22.140625" style="4" bestFit="1" customWidth="1"/>
    <col min="15895" max="15896" width="22.140625" style="4" customWidth="1"/>
    <col min="15897" max="15897" width="9.140625" style="4"/>
    <col min="15898" max="15898" width="21.140625" style="4" bestFit="1" customWidth="1"/>
    <col min="15899" max="15899" width="21" style="4" bestFit="1" customWidth="1"/>
    <col min="15900" max="15900" width="15.7109375" style="4" bestFit="1" customWidth="1"/>
    <col min="15901" max="15901" width="14" style="4" bestFit="1" customWidth="1"/>
    <col min="15902" max="15902" width="12.85546875" style="4" bestFit="1" customWidth="1"/>
    <col min="15903" max="15903" width="26" style="4" bestFit="1" customWidth="1"/>
    <col min="15904" max="15905" width="22.140625" style="4" customWidth="1"/>
    <col min="15906" max="16093" width="9.140625" style="4"/>
    <col min="16094" max="16094" width="24.7109375" style="4" customWidth="1"/>
    <col min="16095" max="16095" width="12.42578125" style="4" customWidth="1"/>
    <col min="16096" max="16096" width="10.85546875" style="4" customWidth="1"/>
    <col min="16097" max="16097" width="14.28515625" style="4" customWidth="1"/>
    <col min="16098" max="16098" width="11.85546875" style="4" customWidth="1"/>
    <col min="16099" max="16100" width="9.140625" style="4"/>
    <col min="16101" max="16101" width="21.140625" style="4" bestFit="1" customWidth="1"/>
    <col min="16102" max="16102" width="24.140625" style="4" customWidth="1"/>
    <col min="16103" max="16103" width="21" style="4" bestFit="1" customWidth="1"/>
    <col min="16104" max="16104" width="16.42578125" style="4" bestFit="1" customWidth="1"/>
    <col min="16105" max="16105" width="15.7109375" style="4" bestFit="1" customWidth="1"/>
    <col min="16106" max="16106" width="14" style="4" bestFit="1" customWidth="1"/>
    <col min="16107" max="16107" width="12.85546875" style="4" bestFit="1" customWidth="1"/>
    <col min="16108" max="16108" width="15.7109375" style="4" bestFit="1" customWidth="1"/>
    <col min="16109" max="16109" width="18.5703125" style="4" bestFit="1" customWidth="1"/>
    <col min="16110" max="16110" width="15" style="4" bestFit="1" customWidth="1"/>
    <col min="16111" max="16111" width="20.140625" style="4" bestFit="1" customWidth="1"/>
    <col min="16112" max="16112" width="15.85546875" style="4" bestFit="1" customWidth="1"/>
    <col min="16113" max="16113" width="26" style="4" bestFit="1" customWidth="1"/>
    <col min="16114" max="16114" width="21.5703125" style="4" bestFit="1" customWidth="1"/>
    <col min="16115" max="16115" width="22.140625" style="4" bestFit="1" customWidth="1"/>
    <col min="16116" max="16123" width="22.85546875" style="4" bestFit="1" customWidth="1"/>
    <col min="16124" max="16124" width="22.140625" style="4" bestFit="1" customWidth="1"/>
    <col min="16125" max="16126" width="22.140625" style="4" customWidth="1"/>
    <col min="16127" max="16127" width="21.140625" style="4" bestFit="1" customWidth="1"/>
    <col min="16128" max="16128" width="24.140625" style="4" customWidth="1"/>
    <col min="16129" max="16129" width="21" style="4" bestFit="1" customWidth="1"/>
    <col min="16130" max="16130" width="16.42578125" style="4" bestFit="1" customWidth="1"/>
    <col min="16131" max="16131" width="15.7109375" style="4" bestFit="1" customWidth="1"/>
    <col min="16132" max="16132" width="14" style="4" bestFit="1" customWidth="1"/>
    <col min="16133" max="16133" width="12.85546875" style="4" bestFit="1" customWidth="1"/>
    <col min="16134" max="16134" width="15.7109375" style="4" bestFit="1" customWidth="1"/>
    <col min="16135" max="16135" width="18.5703125" style="4" bestFit="1" customWidth="1"/>
    <col min="16136" max="16136" width="15" style="4" bestFit="1" customWidth="1"/>
    <col min="16137" max="16137" width="20.140625" style="4" bestFit="1" customWidth="1"/>
    <col min="16138" max="16138" width="15.85546875" style="4" bestFit="1" customWidth="1"/>
    <col min="16139" max="16139" width="26" style="4" bestFit="1" customWidth="1"/>
    <col min="16140" max="16140" width="21.5703125" style="4" bestFit="1" customWidth="1"/>
    <col min="16141" max="16141" width="22.140625" style="4" bestFit="1" customWidth="1"/>
    <col min="16142" max="16149" width="22.85546875" style="4" bestFit="1" customWidth="1"/>
    <col min="16150" max="16150" width="22.140625" style="4" bestFit="1" customWidth="1"/>
    <col min="16151" max="16152" width="22.140625" style="4" customWidth="1"/>
    <col min="16153" max="16153" width="9.140625" style="4"/>
    <col min="16154" max="16154" width="21.140625" style="4" bestFit="1" customWidth="1"/>
    <col min="16155" max="16155" width="21" style="4" bestFit="1" customWidth="1"/>
    <col min="16156" max="16156" width="15.7109375" style="4" bestFit="1" customWidth="1"/>
    <col min="16157" max="16157" width="14" style="4" bestFit="1" customWidth="1"/>
    <col min="16158" max="16158" width="12.85546875" style="4" bestFit="1" customWidth="1"/>
    <col min="16159" max="16159" width="26" style="4" bestFit="1" customWidth="1"/>
    <col min="16160" max="16161" width="22.140625" style="4" customWidth="1"/>
    <col min="16162" max="16384" width="9.140625" style="4"/>
  </cols>
  <sheetData>
    <row r="1" spans="1:34" ht="30.75" thickBot="1" x14ac:dyDescent="0.25">
      <c r="A1" s="499" t="s">
        <v>207</v>
      </c>
      <c r="B1" s="500"/>
      <c r="C1" s="500"/>
      <c r="D1" s="501"/>
      <c r="E1" s="85" t="s">
        <v>60</v>
      </c>
    </row>
    <row r="2" spans="1:34" ht="15.75" thickBot="1" x14ac:dyDescent="0.25">
      <c r="A2" s="512" t="s">
        <v>98</v>
      </c>
      <c r="B2" s="513"/>
      <c r="C2" s="513"/>
      <c r="D2" s="514"/>
      <c r="E2" s="58" t="s">
        <v>61</v>
      </c>
    </row>
    <row r="3" spans="1:34" ht="15.75" customHeight="1" thickBot="1" x14ac:dyDescent="0.25">
      <c r="A3" s="515" t="s">
        <v>73</v>
      </c>
      <c r="B3" s="516"/>
      <c r="C3" s="516"/>
      <c r="D3" s="517"/>
      <c r="E3" s="59" t="s">
        <v>62</v>
      </c>
    </row>
    <row r="4" spans="1:34" ht="33" customHeight="1" thickBot="1" x14ac:dyDescent="0.25">
      <c r="A4" s="518"/>
      <c r="B4" s="519"/>
      <c r="C4" s="519"/>
      <c r="D4" s="520"/>
      <c r="E4" s="133" t="s">
        <v>106</v>
      </c>
    </row>
    <row r="5" spans="1:34" ht="22.5" customHeight="1" thickBot="1" x14ac:dyDescent="0.25"/>
    <row r="6" spans="1:34" s="45" customFormat="1" ht="291" customHeight="1" thickBot="1" x14ac:dyDescent="0.25">
      <c r="A6" s="524" t="s">
        <v>206</v>
      </c>
      <c r="B6" s="525"/>
      <c r="C6" s="525"/>
      <c r="D6" s="525"/>
      <c r="E6" s="526"/>
      <c r="F6" s="207"/>
      <c r="G6" s="207"/>
      <c r="H6" s="207"/>
      <c r="I6" s="207"/>
      <c r="J6" s="207"/>
      <c r="K6" s="207"/>
      <c r="L6" s="207"/>
      <c r="M6" s="207"/>
      <c r="N6" s="207"/>
      <c r="O6" s="207"/>
      <c r="P6" s="207"/>
      <c r="Q6" s="207"/>
      <c r="R6" s="207"/>
      <c r="S6" s="207"/>
      <c r="T6" s="207"/>
    </row>
    <row r="7" spans="1:34" hidden="1" x14ac:dyDescent="0.2"/>
    <row r="8" spans="1:34" ht="22.5" hidden="1" customHeight="1" x14ac:dyDescent="0.3">
      <c r="A8" s="46"/>
      <c r="B8" s="44"/>
      <c r="C8" s="44"/>
      <c r="D8" s="44"/>
      <c r="E8" s="44"/>
      <c r="F8" s="44"/>
      <c r="H8" s="67"/>
      <c r="I8" s="66"/>
      <c r="J8" s="66"/>
      <c r="K8" s="66"/>
      <c r="L8" s="66"/>
      <c r="M8" s="66"/>
      <c r="N8" s="66"/>
      <c r="O8" s="66"/>
      <c r="P8" s="66"/>
      <c r="Q8" s="67"/>
      <c r="R8" s="66"/>
      <c r="S8" s="66"/>
      <c r="T8" s="66"/>
      <c r="U8" s="66"/>
      <c r="V8" s="66"/>
      <c r="W8" s="66"/>
      <c r="X8" s="66"/>
      <c r="Y8" s="66"/>
      <c r="Z8" s="67"/>
      <c r="AA8" s="66"/>
      <c r="AB8" s="66"/>
      <c r="AC8" s="66"/>
      <c r="AD8" s="66"/>
      <c r="AE8" s="66"/>
      <c r="AF8" s="66"/>
      <c r="AG8" s="66"/>
      <c r="AH8" s="66"/>
    </row>
    <row r="9" spans="1:34" ht="25.5" hidden="1" customHeight="1" x14ac:dyDescent="0.25">
      <c r="A9" s="522" t="s">
        <v>101</v>
      </c>
      <c r="B9" s="523"/>
      <c r="C9" s="71" t="s">
        <v>93</v>
      </c>
      <c r="D9" s="44"/>
      <c r="E9" s="44"/>
      <c r="F9" s="44"/>
      <c r="H9" s="65"/>
      <c r="I9" s="65"/>
      <c r="J9" s="65"/>
      <c r="K9" s="65"/>
      <c r="L9" s="65"/>
      <c r="M9" s="65"/>
      <c r="N9" s="65"/>
      <c r="O9" s="65"/>
      <c r="P9" s="66"/>
      <c r="Q9" s="65"/>
      <c r="R9" s="65"/>
      <c r="S9" s="65"/>
      <c r="T9" s="65"/>
      <c r="U9" s="65"/>
      <c r="V9" s="65"/>
      <c r="W9" s="65"/>
      <c r="X9" s="65"/>
      <c r="Y9" s="66"/>
      <c r="Z9" s="65"/>
      <c r="AA9" s="65"/>
      <c r="AB9" s="65"/>
      <c r="AC9" s="65"/>
      <c r="AD9" s="65"/>
      <c r="AE9" s="65"/>
      <c r="AF9" s="65"/>
      <c r="AG9" s="65"/>
      <c r="AH9" s="66"/>
    </row>
    <row r="10" spans="1:34" ht="30" hidden="1" customHeight="1" x14ac:dyDescent="0.2">
      <c r="A10" s="47"/>
      <c r="B10" s="44"/>
      <c r="C10" s="48"/>
      <c r="D10" s="44"/>
      <c r="E10" s="44"/>
      <c r="F10" s="44"/>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row>
    <row r="11" spans="1:34" ht="18" customHeight="1" thickBot="1" x14ac:dyDescent="0.3">
      <c r="A11" s="68"/>
    </row>
    <row r="12" spans="1:34" ht="45.75" thickBot="1" x14ac:dyDescent="0.25">
      <c r="A12" s="521" t="s">
        <v>155</v>
      </c>
      <c r="B12" s="521"/>
      <c r="C12" s="287" t="s">
        <v>90</v>
      </c>
      <c r="D12" s="287" t="s">
        <v>91</v>
      </c>
    </row>
    <row r="13" spans="1:34" ht="15" thickBot="1" x14ac:dyDescent="0.25">
      <c r="A13" s="69" t="s">
        <v>92</v>
      </c>
      <c r="B13" s="70">
        <f>'Baseline Data'!B25</f>
        <v>0</v>
      </c>
      <c r="C13" s="70">
        <f>B13*$B$27/2.6</f>
        <v>0</v>
      </c>
      <c r="D13" s="70">
        <f>C13*(1-$D$27)</f>
        <v>0</v>
      </c>
      <c r="G13" s="44"/>
      <c r="H13" s="44"/>
      <c r="I13" s="44"/>
    </row>
    <row r="14" spans="1:34" ht="15" thickBot="1" x14ac:dyDescent="0.25">
      <c r="A14" s="69" t="s">
        <v>35</v>
      </c>
      <c r="B14" s="70">
        <f>'Baseline Data'!B26</f>
        <v>0</v>
      </c>
      <c r="C14" s="70">
        <f>IF(C9="Yes",B14*$B$29,B14*$B$28)</f>
        <v>0</v>
      </c>
      <c r="D14" s="70">
        <f>IF(C9="Yes",IF(F29="Yes",C14*$D$29,C14*$D$30),C14*(1-$D$28))</f>
        <v>0</v>
      </c>
      <c r="H14" s="44"/>
      <c r="I14" s="44"/>
    </row>
    <row r="15" spans="1:34" ht="15" customHeight="1" thickBot="1" x14ac:dyDescent="0.25">
      <c r="A15" s="69" t="s">
        <v>37</v>
      </c>
      <c r="B15" s="70">
        <f>'Baseline Data'!B28</f>
        <v>0</v>
      </c>
      <c r="C15" s="70">
        <f>$B$32*B15/('Fuel Conversion Factors'!$D$8/1000)</f>
        <v>0</v>
      </c>
      <c r="D15" s="70">
        <f>C15*(1-$D$32)</f>
        <v>0</v>
      </c>
      <c r="H15" s="44"/>
      <c r="I15" s="44"/>
    </row>
    <row r="16" spans="1:34" ht="15" customHeight="1" thickBot="1" x14ac:dyDescent="0.25">
      <c r="A16" s="69" t="s">
        <v>38</v>
      </c>
      <c r="B16" s="70">
        <f>'Baseline Data'!B29</f>
        <v>0</v>
      </c>
      <c r="C16" s="70">
        <f>$B$32*B16/('Fuel Conversion Factors'!$D$10/1000)</f>
        <v>0</v>
      </c>
      <c r="D16" s="70">
        <f>C16*(1-$D$32)</f>
        <v>0</v>
      </c>
      <c r="H16" s="44"/>
      <c r="I16" s="44"/>
    </row>
    <row r="17" spans="1:9" ht="15" customHeight="1" thickBot="1" x14ac:dyDescent="0.25">
      <c r="A17" s="69" t="s">
        <v>39</v>
      </c>
      <c r="B17" s="70">
        <f>'Baseline Data'!B30</f>
        <v>0</v>
      </c>
      <c r="C17" s="70">
        <f>$B$31*B17/('Fuel Conversion Factors'!$D$15*'Fuel Conversion Factors'!$C$15/1000)</f>
        <v>0</v>
      </c>
      <c r="D17" s="70">
        <f>C17*(1-$D$31)</f>
        <v>0</v>
      </c>
      <c r="H17" s="44"/>
      <c r="I17" s="44"/>
    </row>
    <row r="18" spans="1:9" ht="15" thickBot="1" x14ac:dyDescent="0.25">
      <c r="A18" s="69" t="s">
        <v>45</v>
      </c>
      <c r="B18" s="70">
        <f>'Baseline Data'!B36</f>
        <v>0</v>
      </c>
      <c r="C18" s="70">
        <f>$B$32*B18/('Fuel Conversion Factors'!$B$22*277.77777777778/1000)</f>
        <v>0</v>
      </c>
      <c r="D18" s="70">
        <f>C18*(1-$D$32)</f>
        <v>0</v>
      </c>
      <c r="H18" s="44"/>
      <c r="I18" s="44"/>
    </row>
    <row r="19" spans="1:9" ht="72" thickBot="1" x14ac:dyDescent="0.25">
      <c r="A19" s="69" t="s">
        <v>102</v>
      </c>
      <c r="B19" s="286"/>
      <c r="C19" s="286"/>
      <c r="D19" s="70">
        <f>C19*(1-$D$32)</f>
        <v>0</v>
      </c>
      <c r="H19" s="44"/>
      <c r="I19" s="44"/>
    </row>
    <row r="20" spans="1:9" ht="30" customHeight="1" thickBot="1" x14ac:dyDescent="0.25">
      <c r="A20" s="511" t="s">
        <v>211</v>
      </c>
      <c r="B20" s="511"/>
      <c r="C20" s="70">
        <f>SUM(C13:C18)</f>
        <v>0</v>
      </c>
      <c r="D20" s="89"/>
      <c r="H20" s="44"/>
      <c r="I20" s="44"/>
    </row>
    <row r="21" spans="1:9" ht="30" customHeight="1" thickBot="1" x14ac:dyDescent="0.25">
      <c r="A21" s="511" t="s">
        <v>212</v>
      </c>
      <c r="B21" s="511"/>
      <c r="C21" s="511"/>
      <c r="D21" s="70">
        <f>SUM(D13:D18)</f>
        <v>0</v>
      </c>
    </row>
    <row r="22" spans="1:9" ht="40.5" customHeight="1" thickBot="1" x14ac:dyDescent="0.25">
      <c r="A22" s="511" t="s">
        <v>213</v>
      </c>
      <c r="B22" s="511"/>
      <c r="C22" s="511"/>
      <c r="D22" s="70">
        <f>ROUND(D21*0.1,0)</f>
        <v>0</v>
      </c>
    </row>
    <row r="23" spans="1:9" ht="40.5" customHeight="1" thickBot="1" x14ac:dyDescent="0.25">
      <c r="A23" s="511" t="s">
        <v>210</v>
      </c>
      <c r="B23" s="511"/>
      <c r="C23" s="511"/>
      <c r="D23" s="70">
        <f>ROUND((D21+D19)*0.1,0)</f>
        <v>0</v>
      </c>
    </row>
    <row r="25" spans="1:9" ht="23.25" customHeight="1" thickBot="1" x14ac:dyDescent="0.25">
      <c r="A25" s="4" t="s">
        <v>74</v>
      </c>
    </row>
    <row r="26" spans="1:9" ht="39" thickBot="1" x14ac:dyDescent="0.25">
      <c r="A26" s="36" t="s">
        <v>75</v>
      </c>
      <c r="B26" s="36" t="s">
        <v>76</v>
      </c>
      <c r="C26" s="36" t="s">
        <v>77</v>
      </c>
      <c r="D26" s="36" t="s">
        <v>78</v>
      </c>
      <c r="E26" s="36" t="s">
        <v>79</v>
      </c>
      <c r="F26" s="36" t="s">
        <v>80</v>
      </c>
      <c r="G26" s="37"/>
    </row>
    <row r="27" spans="1:9" ht="14.25" thickTop="1" thickBot="1" x14ac:dyDescent="0.25">
      <c r="A27" s="38" t="s">
        <v>7</v>
      </c>
      <c r="B27" s="38">
        <f>0.00524</f>
        <v>5.2399999999999999E-3</v>
      </c>
      <c r="C27" s="38" t="s">
        <v>81</v>
      </c>
      <c r="D27" s="39">
        <v>0.1</v>
      </c>
      <c r="E27" s="38" t="s">
        <v>82</v>
      </c>
      <c r="G27" s="37"/>
    </row>
    <row r="28" spans="1:9" ht="51.75" thickBot="1" x14ac:dyDescent="0.25">
      <c r="A28" s="38" t="s">
        <v>83</v>
      </c>
      <c r="B28" s="38">
        <f>0.00182</f>
        <v>1.82E-3</v>
      </c>
      <c r="C28" s="38" t="s">
        <v>81</v>
      </c>
      <c r="D28" s="39">
        <v>0.35</v>
      </c>
      <c r="E28" s="38" t="s">
        <v>84</v>
      </c>
      <c r="G28" s="37"/>
    </row>
    <row r="29" spans="1:9" ht="90" thickBot="1" x14ac:dyDescent="0.25">
      <c r="A29" s="40" t="s">
        <v>85</v>
      </c>
      <c r="B29" s="40">
        <f>0.00064</f>
        <v>6.4000000000000005E-4</v>
      </c>
      <c r="C29" s="40" t="s">
        <v>81</v>
      </c>
      <c r="D29" s="39">
        <v>0</v>
      </c>
      <c r="E29" s="38" t="s">
        <v>86</v>
      </c>
      <c r="F29" s="41" t="s">
        <v>93</v>
      </c>
      <c r="G29" s="37"/>
    </row>
    <row r="30" spans="1:9" ht="13.5" thickBot="1" x14ac:dyDescent="0.25">
      <c r="A30" s="38"/>
      <c r="B30" s="38"/>
      <c r="C30" s="38"/>
      <c r="D30" s="39">
        <v>0.35</v>
      </c>
      <c r="E30" s="38" t="s">
        <v>84</v>
      </c>
      <c r="G30" s="37"/>
    </row>
    <row r="31" spans="1:9" ht="39" thickBot="1" x14ac:dyDescent="0.25">
      <c r="A31" s="38" t="s">
        <v>87</v>
      </c>
      <c r="B31" s="38">
        <f>0.01172</f>
        <v>1.172E-2</v>
      </c>
      <c r="C31" s="38" t="s">
        <v>88</v>
      </c>
      <c r="D31" s="39">
        <v>0.35</v>
      </c>
      <c r="E31" s="38" t="s">
        <v>84</v>
      </c>
      <c r="G31" s="37"/>
    </row>
    <row r="32" spans="1:9" ht="13.5" thickBot="1" x14ac:dyDescent="0.25">
      <c r="A32" s="42" t="s">
        <v>89</v>
      </c>
      <c r="B32" s="42">
        <f>0.01429</f>
        <v>1.4290000000000001E-2</v>
      </c>
      <c r="C32" s="42" t="s">
        <v>88</v>
      </c>
      <c r="D32" s="43">
        <v>0.35</v>
      </c>
      <c r="E32" s="42" t="s">
        <v>84</v>
      </c>
      <c r="G32" s="37"/>
    </row>
    <row r="33" ht="13.5" thickTop="1" x14ac:dyDescent="0.2"/>
  </sheetData>
  <sheetProtection password="CF99" sheet="1" objects="1" scenarios="1"/>
  <mergeCells count="10">
    <mergeCell ref="A23:C23"/>
    <mergeCell ref="A1:D1"/>
    <mergeCell ref="A2:D2"/>
    <mergeCell ref="A3:D4"/>
    <mergeCell ref="A20:B20"/>
    <mergeCell ref="A21:C21"/>
    <mergeCell ref="A22:C22"/>
    <mergeCell ref="A12:B12"/>
    <mergeCell ref="A9:B9"/>
    <mergeCell ref="A6:E6"/>
  </mergeCells>
  <conditionalFormatting sqref="C7:C11 C24 C33:C65482">
    <cfRule type="cellIs" dxfId="1" priority="4" stopIfTrue="1" operator="equal">
      <formula>"Yes"</formula>
    </cfRule>
  </conditionalFormatting>
  <conditionalFormatting sqref="E3">
    <cfRule type="cellIs" dxfId="0" priority="2" stopIfTrue="1" operator="equal">
      <formula>"Yes"</formula>
    </cfRule>
  </conditionalFormatting>
  <dataValidations count="1">
    <dataValidation type="list" allowBlank="1" showInputMessage="1" showErrorMessage="1" sqref="F29 HS29 RO29 ABK29 ALG29 AVC29 BEY29 BOU29 BYQ29 CIM29 CSI29 DCE29 DMA29 DVW29 EFS29 EPO29 EZK29 FJG29 FTC29 GCY29 GMU29 GWQ29 HGM29 HQI29 IAE29 IKA29 ITW29 JDS29 JNO29 JXK29 KHG29 KRC29 LAY29 LKU29 LUQ29 MEM29 MOI29 MYE29 NIA29 NRW29 OBS29 OLO29 OVK29 PFG29 PPC29 PYY29 QIU29 QSQ29 RCM29 RMI29 RWE29 SGA29 SPW29 SZS29 TJO29 TTK29 UDG29 UNC29 UWY29 VGU29 VQQ29 WAM29 WKI29 WUE29 F65490 HS65490 RO65490 ABK65490 ALG65490 AVC65490 BEY65490 BOU65490 BYQ65490 CIM65490 CSI65490 DCE65490 DMA65490 DVW65490 EFS65490 EPO65490 EZK65490 FJG65490 FTC65490 GCY65490 GMU65490 GWQ65490 HGM65490 HQI65490 IAE65490 IKA65490 ITW65490 JDS65490 JNO65490 JXK65490 KHG65490 KRC65490 LAY65490 LKU65490 LUQ65490 MEM65490 MOI65490 MYE65490 NIA65490 NRW65490 OBS65490 OLO65490 OVK65490 PFG65490 PPC65490 PYY65490 QIU65490 QSQ65490 RCM65490 RMI65490 RWE65490 SGA65490 SPW65490 SZS65490 TJO65490 TTK65490 UDG65490 UNC65490 UWY65490 VGU65490 VQQ65490 WAM65490 WKI65490 WUE65490 F131026 HS131026 RO131026 ABK131026 ALG131026 AVC131026 BEY131026 BOU131026 BYQ131026 CIM131026 CSI131026 DCE131026 DMA131026 DVW131026 EFS131026 EPO131026 EZK131026 FJG131026 FTC131026 GCY131026 GMU131026 GWQ131026 HGM131026 HQI131026 IAE131026 IKA131026 ITW131026 JDS131026 JNO131026 JXK131026 KHG131026 KRC131026 LAY131026 LKU131026 LUQ131026 MEM131026 MOI131026 MYE131026 NIA131026 NRW131026 OBS131026 OLO131026 OVK131026 PFG131026 PPC131026 PYY131026 QIU131026 QSQ131026 RCM131026 RMI131026 RWE131026 SGA131026 SPW131026 SZS131026 TJO131026 TTK131026 UDG131026 UNC131026 UWY131026 VGU131026 VQQ131026 WAM131026 WKI131026 WUE131026 F196562 HS196562 RO196562 ABK196562 ALG196562 AVC196562 BEY196562 BOU196562 BYQ196562 CIM196562 CSI196562 DCE196562 DMA196562 DVW196562 EFS196562 EPO196562 EZK196562 FJG196562 FTC196562 GCY196562 GMU196562 GWQ196562 HGM196562 HQI196562 IAE196562 IKA196562 ITW196562 JDS196562 JNO196562 JXK196562 KHG196562 KRC196562 LAY196562 LKU196562 LUQ196562 MEM196562 MOI196562 MYE196562 NIA196562 NRW196562 OBS196562 OLO196562 OVK196562 PFG196562 PPC196562 PYY196562 QIU196562 QSQ196562 RCM196562 RMI196562 RWE196562 SGA196562 SPW196562 SZS196562 TJO196562 TTK196562 UDG196562 UNC196562 UWY196562 VGU196562 VQQ196562 WAM196562 WKI196562 WUE196562 F262098 HS262098 RO262098 ABK262098 ALG262098 AVC262098 BEY262098 BOU262098 BYQ262098 CIM262098 CSI262098 DCE262098 DMA262098 DVW262098 EFS262098 EPO262098 EZK262098 FJG262098 FTC262098 GCY262098 GMU262098 GWQ262098 HGM262098 HQI262098 IAE262098 IKA262098 ITW262098 JDS262098 JNO262098 JXK262098 KHG262098 KRC262098 LAY262098 LKU262098 LUQ262098 MEM262098 MOI262098 MYE262098 NIA262098 NRW262098 OBS262098 OLO262098 OVK262098 PFG262098 PPC262098 PYY262098 QIU262098 QSQ262098 RCM262098 RMI262098 RWE262098 SGA262098 SPW262098 SZS262098 TJO262098 TTK262098 UDG262098 UNC262098 UWY262098 VGU262098 VQQ262098 WAM262098 WKI262098 WUE262098 F327634 HS327634 RO327634 ABK327634 ALG327634 AVC327634 BEY327634 BOU327634 BYQ327634 CIM327634 CSI327634 DCE327634 DMA327634 DVW327634 EFS327634 EPO327634 EZK327634 FJG327634 FTC327634 GCY327634 GMU327634 GWQ327634 HGM327634 HQI327634 IAE327634 IKA327634 ITW327634 JDS327634 JNO327634 JXK327634 KHG327634 KRC327634 LAY327634 LKU327634 LUQ327634 MEM327634 MOI327634 MYE327634 NIA327634 NRW327634 OBS327634 OLO327634 OVK327634 PFG327634 PPC327634 PYY327634 QIU327634 QSQ327634 RCM327634 RMI327634 RWE327634 SGA327634 SPW327634 SZS327634 TJO327634 TTK327634 UDG327634 UNC327634 UWY327634 VGU327634 VQQ327634 WAM327634 WKI327634 WUE327634 F393170 HS393170 RO393170 ABK393170 ALG393170 AVC393170 BEY393170 BOU393170 BYQ393170 CIM393170 CSI393170 DCE393170 DMA393170 DVW393170 EFS393170 EPO393170 EZK393170 FJG393170 FTC393170 GCY393170 GMU393170 GWQ393170 HGM393170 HQI393170 IAE393170 IKA393170 ITW393170 JDS393170 JNO393170 JXK393170 KHG393170 KRC393170 LAY393170 LKU393170 LUQ393170 MEM393170 MOI393170 MYE393170 NIA393170 NRW393170 OBS393170 OLO393170 OVK393170 PFG393170 PPC393170 PYY393170 QIU393170 QSQ393170 RCM393170 RMI393170 RWE393170 SGA393170 SPW393170 SZS393170 TJO393170 TTK393170 UDG393170 UNC393170 UWY393170 VGU393170 VQQ393170 WAM393170 WKI393170 WUE393170 F458706 HS458706 RO458706 ABK458706 ALG458706 AVC458706 BEY458706 BOU458706 BYQ458706 CIM458706 CSI458706 DCE458706 DMA458706 DVW458706 EFS458706 EPO458706 EZK458706 FJG458706 FTC458706 GCY458706 GMU458706 GWQ458706 HGM458706 HQI458706 IAE458706 IKA458706 ITW458706 JDS458706 JNO458706 JXK458706 KHG458706 KRC458706 LAY458706 LKU458706 LUQ458706 MEM458706 MOI458706 MYE458706 NIA458706 NRW458706 OBS458706 OLO458706 OVK458706 PFG458706 PPC458706 PYY458706 QIU458706 QSQ458706 RCM458706 RMI458706 RWE458706 SGA458706 SPW458706 SZS458706 TJO458706 TTK458706 UDG458706 UNC458706 UWY458706 VGU458706 VQQ458706 WAM458706 WKI458706 WUE458706 F524242 HS524242 RO524242 ABK524242 ALG524242 AVC524242 BEY524242 BOU524242 BYQ524242 CIM524242 CSI524242 DCE524242 DMA524242 DVW524242 EFS524242 EPO524242 EZK524242 FJG524242 FTC524242 GCY524242 GMU524242 GWQ524242 HGM524242 HQI524242 IAE524242 IKA524242 ITW524242 JDS524242 JNO524242 JXK524242 KHG524242 KRC524242 LAY524242 LKU524242 LUQ524242 MEM524242 MOI524242 MYE524242 NIA524242 NRW524242 OBS524242 OLO524242 OVK524242 PFG524242 PPC524242 PYY524242 QIU524242 QSQ524242 RCM524242 RMI524242 RWE524242 SGA524242 SPW524242 SZS524242 TJO524242 TTK524242 UDG524242 UNC524242 UWY524242 VGU524242 VQQ524242 WAM524242 WKI524242 WUE524242 F589778 HS589778 RO589778 ABK589778 ALG589778 AVC589778 BEY589778 BOU589778 BYQ589778 CIM589778 CSI589778 DCE589778 DMA589778 DVW589778 EFS589778 EPO589778 EZK589778 FJG589778 FTC589778 GCY589778 GMU589778 GWQ589778 HGM589778 HQI589778 IAE589778 IKA589778 ITW589778 JDS589778 JNO589778 JXK589778 KHG589778 KRC589778 LAY589778 LKU589778 LUQ589778 MEM589778 MOI589778 MYE589778 NIA589778 NRW589778 OBS589778 OLO589778 OVK589778 PFG589778 PPC589778 PYY589778 QIU589778 QSQ589778 RCM589778 RMI589778 RWE589778 SGA589778 SPW589778 SZS589778 TJO589778 TTK589778 UDG589778 UNC589778 UWY589778 VGU589778 VQQ589778 WAM589778 WKI589778 WUE589778 F655314 HS655314 RO655314 ABK655314 ALG655314 AVC655314 BEY655314 BOU655314 BYQ655314 CIM655314 CSI655314 DCE655314 DMA655314 DVW655314 EFS655314 EPO655314 EZK655314 FJG655314 FTC655314 GCY655314 GMU655314 GWQ655314 HGM655314 HQI655314 IAE655314 IKA655314 ITW655314 JDS655314 JNO655314 JXK655314 KHG655314 KRC655314 LAY655314 LKU655314 LUQ655314 MEM655314 MOI655314 MYE655314 NIA655314 NRW655314 OBS655314 OLO655314 OVK655314 PFG655314 PPC655314 PYY655314 QIU655314 QSQ655314 RCM655314 RMI655314 RWE655314 SGA655314 SPW655314 SZS655314 TJO655314 TTK655314 UDG655314 UNC655314 UWY655314 VGU655314 VQQ655314 WAM655314 WKI655314 WUE655314 F720850 HS720850 RO720850 ABK720850 ALG720850 AVC720850 BEY720850 BOU720850 BYQ720850 CIM720850 CSI720850 DCE720850 DMA720850 DVW720850 EFS720850 EPO720850 EZK720850 FJG720850 FTC720850 GCY720850 GMU720850 GWQ720850 HGM720850 HQI720850 IAE720850 IKA720850 ITW720850 JDS720850 JNO720850 JXK720850 KHG720850 KRC720850 LAY720850 LKU720850 LUQ720850 MEM720850 MOI720850 MYE720850 NIA720850 NRW720850 OBS720850 OLO720850 OVK720850 PFG720850 PPC720850 PYY720850 QIU720850 QSQ720850 RCM720850 RMI720850 RWE720850 SGA720850 SPW720850 SZS720850 TJO720850 TTK720850 UDG720850 UNC720850 UWY720850 VGU720850 VQQ720850 WAM720850 WKI720850 WUE720850 F786386 HS786386 RO786386 ABK786386 ALG786386 AVC786386 BEY786386 BOU786386 BYQ786386 CIM786386 CSI786386 DCE786386 DMA786386 DVW786386 EFS786386 EPO786386 EZK786386 FJG786386 FTC786386 GCY786386 GMU786386 GWQ786386 HGM786386 HQI786386 IAE786386 IKA786386 ITW786386 JDS786386 JNO786386 JXK786386 KHG786386 KRC786386 LAY786386 LKU786386 LUQ786386 MEM786386 MOI786386 MYE786386 NIA786386 NRW786386 OBS786386 OLO786386 OVK786386 PFG786386 PPC786386 PYY786386 QIU786386 QSQ786386 RCM786386 RMI786386 RWE786386 SGA786386 SPW786386 SZS786386 TJO786386 TTK786386 UDG786386 UNC786386 UWY786386 VGU786386 VQQ786386 WAM786386 WKI786386 WUE786386 F851922 HS851922 RO851922 ABK851922 ALG851922 AVC851922 BEY851922 BOU851922 BYQ851922 CIM851922 CSI851922 DCE851922 DMA851922 DVW851922 EFS851922 EPO851922 EZK851922 FJG851922 FTC851922 GCY851922 GMU851922 GWQ851922 HGM851922 HQI851922 IAE851922 IKA851922 ITW851922 JDS851922 JNO851922 JXK851922 KHG851922 KRC851922 LAY851922 LKU851922 LUQ851922 MEM851922 MOI851922 MYE851922 NIA851922 NRW851922 OBS851922 OLO851922 OVK851922 PFG851922 PPC851922 PYY851922 QIU851922 QSQ851922 RCM851922 RMI851922 RWE851922 SGA851922 SPW851922 SZS851922 TJO851922 TTK851922 UDG851922 UNC851922 UWY851922 VGU851922 VQQ851922 WAM851922 WKI851922 WUE851922 F917458 HS917458 RO917458 ABK917458 ALG917458 AVC917458 BEY917458 BOU917458 BYQ917458 CIM917458 CSI917458 DCE917458 DMA917458 DVW917458 EFS917458 EPO917458 EZK917458 FJG917458 FTC917458 GCY917458 GMU917458 GWQ917458 HGM917458 HQI917458 IAE917458 IKA917458 ITW917458 JDS917458 JNO917458 JXK917458 KHG917458 KRC917458 LAY917458 LKU917458 LUQ917458 MEM917458 MOI917458 MYE917458 NIA917458 NRW917458 OBS917458 OLO917458 OVK917458 PFG917458 PPC917458 PYY917458 QIU917458 QSQ917458 RCM917458 RMI917458 RWE917458 SGA917458 SPW917458 SZS917458 TJO917458 TTK917458 UDG917458 UNC917458 UWY917458 VGU917458 VQQ917458 WAM917458 WKI917458 WUE917458 F982994 HS982994 RO982994 ABK982994 ALG982994 AVC982994 BEY982994 BOU982994 BYQ982994 CIM982994 CSI982994 DCE982994 DMA982994 DVW982994 EFS982994 EPO982994 EZK982994 FJG982994 FTC982994 GCY982994 GMU982994 GWQ982994 HGM982994 HQI982994 IAE982994 IKA982994 ITW982994 JDS982994 JNO982994 JXK982994 KHG982994 KRC982994 LAY982994 LKU982994 LUQ982994 MEM982994 MOI982994 MYE982994 NIA982994 NRW982994 OBS982994 OLO982994 OVK982994 PFG982994 PPC982994 PYY982994 QIU982994 QSQ982994 RCM982994 RMI982994 RWE982994 SGA982994 SPW982994 SZS982994 TJO982994 TTK982994 UDG982994 UNC982994 UWY982994 VGU982994 VQQ982994 WAM982994 WKI982994 WUE982994 C9 HP9 RL9 ABH9 ALD9 AUZ9 BEV9 BOR9 BYN9 CIJ9 CSF9 DCB9 DLX9 DVT9 EFP9 EPL9 EZH9 FJD9 FSZ9 GCV9 GMR9 GWN9 HGJ9 HQF9 IAB9 IJX9 ITT9 JDP9 JNL9 JXH9 KHD9 KQZ9 LAV9 LKR9 LUN9 MEJ9 MOF9 MYB9 NHX9 NRT9 OBP9 OLL9 OVH9 PFD9 POZ9 PYV9 QIR9 QSN9 RCJ9 RMF9 RWB9 SFX9 SPT9 SZP9 TJL9 TTH9 UDD9 UMZ9 UWV9 VGR9 VQN9 WAJ9 WKF9 WUB9 C65502:C65539 HP65502:HP65539 RL65502:RL65539 ABH65502:ABH65539 ALD65502:ALD65539 AUZ65502:AUZ65539 BEV65502:BEV65539 BOR65502:BOR65539 BYN65502:BYN65539 CIJ65502:CIJ65539 CSF65502:CSF65539 DCB65502:DCB65539 DLX65502:DLX65539 DVT65502:DVT65539 EFP65502:EFP65539 EPL65502:EPL65539 EZH65502:EZH65539 FJD65502:FJD65539 FSZ65502:FSZ65539 GCV65502:GCV65539 GMR65502:GMR65539 GWN65502:GWN65539 HGJ65502:HGJ65539 HQF65502:HQF65539 IAB65502:IAB65539 IJX65502:IJX65539 ITT65502:ITT65539 JDP65502:JDP65539 JNL65502:JNL65539 JXH65502:JXH65539 KHD65502:KHD65539 KQZ65502:KQZ65539 LAV65502:LAV65539 LKR65502:LKR65539 LUN65502:LUN65539 MEJ65502:MEJ65539 MOF65502:MOF65539 MYB65502:MYB65539 NHX65502:NHX65539 NRT65502:NRT65539 OBP65502:OBP65539 OLL65502:OLL65539 OVH65502:OVH65539 PFD65502:PFD65539 POZ65502:POZ65539 PYV65502:PYV65539 QIR65502:QIR65539 QSN65502:QSN65539 RCJ65502:RCJ65539 RMF65502:RMF65539 RWB65502:RWB65539 SFX65502:SFX65539 SPT65502:SPT65539 SZP65502:SZP65539 TJL65502:TJL65539 TTH65502:TTH65539 UDD65502:UDD65539 UMZ65502:UMZ65539 UWV65502:UWV65539 VGR65502:VGR65539 VQN65502:VQN65539 WAJ65502:WAJ65539 WKF65502:WKF65539 WUB65502:WUB65539 C131038:C131075 HP131038:HP131075 RL131038:RL131075 ABH131038:ABH131075 ALD131038:ALD131075 AUZ131038:AUZ131075 BEV131038:BEV131075 BOR131038:BOR131075 BYN131038:BYN131075 CIJ131038:CIJ131075 CSF131038:CSF131075 DCB131038:DCB131075 DLX131038:DLX131075 DVT131038:DVT131075 EFP131038:EFP131075 EPL131038:EPL131075 EZH131038:EZH131075 FJD131038:FJD131075 FSZ131038:FSZ131075 GCV131038:GCV131075 GMR131038:GMR131075 GWN131038:GWN131075 HGJ131038:HGJ131075 HQF131038:HQF131075 IAB131038:IAB131075 IJX131038:IJX131075 ITT131038:ITT131075 JDP131038:JDP131075 JNL131038:JNL131075 JXH131038:JXH131075 KHD131038:KHD131075 KQZ131038:KQZ131075 LAV131038:LAV131075 LKR131038:LKR131075 LUN131038:LUN131075 MEJ131038:MEJ131075 MOF131038:MOF131075 MYB131038:MYB131075 NHX131038:NHX131075 NRT131038:NRT131075 OBP131038:OBP131075 OLL131038:OLL131075 OVH131038:OVH131075 PFD131038:PFD131075 POZ131038:POZ131075 PYV131038:PYV131075 QIR131038:QIR131075 QSN131038:QSN131075 RCJ131038:RCJ131075 RMF131038:RMF131075 RWB131038:RWB131075 SFX131038:SFX131075 SPT131038:SPT131075 SZP131038:SZP131075 TJL131038:TJL131075 TTH131038:TTH131075 UDD131038:UDD131075 UMZ131038:UMZ131075 UWV131038:UWV131075 VGR131038:VGR131075 VQN131038:VQN131075 WAJ131038:WAJ131075 WKF131038:WKF131075 WUB131038:WUB131075 C196574:C196611 HP196574:HP196611 RL196574:RL196611 ABH196574:ABH196611 ALD196574:ALD196611 AUZ196574:AUZ196611 BEV196574:BEV196611 BOR196574:BOR196611 BYN196574:BYN196611 CIJ196574:CIJ196611 CSF196574:CSF196611 DCB196574:DCB196611 DLX196574:DLX196611 DVT196574:DVT196611 EFP196574:EFP196611 EPL196574:EPL196611 EZH196574:EZH196611 FJD196574:FJD196611 FSZ196574:FSZ196611 GCV196574:GCV196611 GMR196574:GMR196611 GWN196574:GWN196611 HGJ196574:HGJ196611 HQF196574:HQF196611 IAB196574:IAB196611 IJX196574:IJX196611 ITT196574:ITT196611 JDP196574:JDP196611 JNL196574:JNL196611 JXH196574:JXH196611 KHD196574:KHD196611 KQZ196574:KQZ196611 LAV196574:LAV196611 LKR196574:LKR196611 LUN196574:LUN196611 MEJ196574:MEJ196611 MOF196574:MOF196611 MYB196574:MYB196611 NHX196574:NHX196611 NRT196574:NRT196611 OBP196574:OBP196611 OLL196574:OLL196611 OVH196574:OVH196611 PFD196574:PFD196611 POZ196574:POZ196611 PYV196574:PYV196611 QIR196574:QIR196611 QSN196574:QSN196611 RCJ196574:RCJ196611 RMF196574:RMF196611 RWB196574:RWB196611 SFX196574:SFX196611 SPT196574:SPT196611 SZP196574:SZP196611 TJL196574:TJL196611 TTH196574:TTH196611 UDD196574:UDD196611 UMZ196574:UMZ196611 UWV196574:UWV196611 VGR196574:VGR196611 VQN196574:VQN196611 WAJ196574:WAJ196611 WKF196574:WKF196611 WUB196574:WUB196611 C262110:C262147 HP262110:HP262147 RL262110:RL262147 ABH262110:ABH262147 ALD262110:ALD262147 AUZ262110:AUZ262147 BEV262110:BEV262147 BOR262110:BOR262147 BYN262110:BYN262147 CIJ262110:CIJ262147 CSF262110:CSF262147 DCB262110:DCB262147 DLX262110:DLX262147 DVT262110:DVT262147 EFP262110:EFP262147 EPL262110:EPL262147 EZH262110:EZH262147 FJD262110:FJD262147 FSZ262110:FSZ262147 GCV262110:GCV262147 GMR262110:GMR262147 GWN262110:GWN262147 HGJ262110:HGJ262147 HQF262110:HQF262147 IAB262110:IAB262147 IJX262110:IJX262147 ITT262110:ITT262147 JDP262110:JDP262147 JNL262110:JNL262147 JXH262110:JXH262147 KHD262110:KHD262147 KQZ262110:KQZ262147 LAV262110:LAV262147 LKR262110:LKR262147 LUN262110:LUN262147 MEJ262110:MEJ262147 MOF262110:MOF262147 MYB262110:MYB262147 NHX262110:NHX262147 NRT262110:NRT262147 OBP262110:OBP262147 OLL262110:OLL262147 OVH262110:OVH262147 PFD262110:PFD262147 POZ262110:POZ262147 PYV262110:PYV262147 QIR262110:QIR262147 QSN262110:QSN262147 RCJ262110:RCJ262147 RMF262110:RMF262147 RWB262110:RWB262147 SFX262110:SFX262147 SPT262110:SPT262147 SZP262110:SZP262147 TJL262110:TJL262147 TTH262110:TTH262147 UDD262110:UDD262147 UMZ262110:UMZ262147 UWV262110:UWV262147 VGR262110:VGR262147 VQN262110:VQN262147 WAJ262110:WAJ262147 WKF262110:WKF262147 WUB262110:WUB262147 C327646:C327683 HP327646:HP327683 RL327646:RL327683 ABH327646:ABH327683 ALD327646:ALD327683 AUZ327646:AUZ327683 BEV327646:BEV327683 BOR327646:BOR327683 BYN327646:BYN327683 CIJ327646:CIJ327683 CSF327646:CSF327683 DCB327646:DCB327683 DLX327646:DLX327683 DVT327646:DVT327683 EFP327646:EFP327683 EPL327646:EPL327683 EZH327646:EZH327683 FJD327646:FJD327683 FSZ327646:FSZ327683 GCV327646:GCV327683 GMR327646:GMR327683 GWN327646:GWN327683 HGJ327646:HGJ327683 HQF327646:HQF327683 IAB327646:IAB327683 IJX327646:IJX327683 ITT327646:ITT327683 JDP327646:JDP327683 JNL327646:JNL327683 JXH327646:JXH327683 KHD327646:KHD327683 KQZ327646:KQZ327683 LAV327646:LAV327683 LKR327646:LKR327683 LUN327646:LUN327683 MEJ327646:MEJ327683 MOF327646:MOF327683 MYB327646:MYB327683 NHX327646:NHX327683 NRT327646:NRT327683 OBP327646:OBP327683 OLL327646:OLL327683 OVH327646:OVH327683 PFD327646:PFD327683 POZ327646:POZ327683 PYV327646:PYV327683 QIR327646:QIR327683 QSN327646:QSN327683 RCJ327646:RCJ327683 RMF327646:RMF327683 RWB327646:RWB327683 SFX327646:SFX327683 SPT327646:SPT327683 SZP327646:SZP327683 TJL327646:TJL327683 TTH327646:TTH327683 UDD327646:UDD327683 UMZ327646:UMZ327683 UWV327646:UWV327683 VGR327646:VGR327683 VQN327646:VQN327683 WAJ327646:WAJ327683 WKF327646:WKF327683 WUB327646:WUB327683 C393182:C393219 HP393182:HP393219 RL393182:RL393219 ABH393182:ABH393219 ALD393182:ALD393219 AUZ393182:AUZ393219 BEV393182:BEV393219 BOR393182:BOR393219 BYN393182:BYN393219 CIJ393182:CIJ393219 CSF393182:CSF393219 DCB393182:DCB393219 DLX393182:DLX393219 DVT393182:DVT393219 EFP393182:EFP393219 EPL393182:EPL393219 EZH393182:EZH393219 FJD393182:FJD393219 FSZ393182:FSZ393219 GCV393182:GCV393219 GMR393182:GMR393219 GWN393182:GWN393219 HGJ393182:HGJ393219 HQF393182:HQF393219 IAB393182:IAB393219 IJX393182:IJX393219 ITT393182:ITT393219 JDP393182:JDP393219 JNL393182:JNL393219 JXH393182:JXH393219 KHD393182:KHD393219 KQZ393182:KQZ393219 LAV393182:LAV393219 LKR393182:LKR393219 LUN393182:LUN393219 MEJ393182:MEJ393219 MOF393182:MOF393219 MYB393182:MYB393219 NHX393182:NHX393219 NRT393182:NRT393219 OBP393182:OBP393219 OLL393182:OLL393219 OVH393182:OVH393219 PFD393182:PFD393219 POZ393182:POZ393219 PYV393182:PYV393219 QIR393182:QIR393219 QSN393182:QSN393219 RCJ393182:RCJ393219 RMF393182:RMF393219 RWB393182:RWB393219 SFX393182:SFX393219 SPT393182:SPT393219 SZP393182:SZP393219 TJL393182:TJL393219 TTH393182:TTH393219 UDD393182:UDD393219 UMZ393182:UMZ393219 UWV393182:UWV393219 VGR393182:VGR393219 VQN393182:VQN393219 WAJ393182:WAJ393219 WKF393182:WKF393219 WUB393182:WUB393219 C458718:C458755 HP458718:HP458755 RL458718:RL458755 ABH458718:ABH458755 ALD458718:ALD458755 AUZ458718:AUZ458755 BEV458718:BEV458755 BOR458718:BOR458755 BYN458718:BYN458755 CIJ458718:CIJ458755 CSF458718:CSF458755 DCB458718:DCB458755 DLX458718:DLX458755 DVT458718:DVT458755 EFP458718:EFP458755 EPL458718:EPL458755 EZH458718:EZH458755 FJD458718:FJD458755 FSZ458718:FSZ458755 GCV458718:GCV458755 GMR458718:GMR458755 GWN458718:GWN458755 HGJ458718:HGJ458755 HQF458718:HQF458755 IAB458718:IAB458755 IJX458718:IJX458755 ITT458718:ITT458755 JDP458718:JDP458755 JNL458718:JNL458755 JXH458718:JXH458755 KHD458718:KHD458755 KQZ458718:KQZ458755 LAV458718:LAV458755 LKR458718:LKR458755 LUN458718:LUN458755 MEJ458718:MEJ458755 MOF458718:MOF458755 MYB458718:MYB458755 NHX458718:NHX458755 NRT458718:NRT458755 OBP458718:OBP458755 OLL458718:OLL458755 OVH458718:OVH458755 PFD458718:PFD458755 POZ458718:POZ458755 PYV458718:PYV458755 QIR458718:QIR458755 QSN458718:QSN458755 RCJ458718:RCJ458755 RMF458718:RMF458755 RWB458718:RWB458755 SFX458718:SFX458755 SPT458718:SPT458755 SZP458718:SZP458755 TJL458718:TJL458755 TTH458718:TTH458755 UDD458718:UDD458755 UMZ458718:UMZ458755 UWV458718:UWV458755 VGR458718:VGR458755 VQN458718:VQN458755 WAJ458718:WAJ458755 WKF458718:WKF458755 WUB458718:WUB458755 C524254:C524291 HP524254:HP524291 RL524254:RL524291 ABH524254:ABH524291 ALD524254:ALD524291 AUZ524254:AUZ524291 BEV524254:BEV524291 BOR524254:BOR524291 BYN524254:BYN524291 CIJ524254:CIJ524291 CSF524254:CSF524291 DCB524254:DCB524291 DLX524254:DLX524291 DVT524254:DVT524291 EFP524254:EFP524291 EPL524254:EPL524291 EZH524254:EZH524291 FJD524254:FJD524291 FSZ524254:FSZ524291 GCV524254:GCV524291 GMR524254:GMR524291 GWN524254:GWN524291 HGJ524254:HGJ524291 HQF524254:HQF524291 IAB524254:IAB524291 IJX524254:IJX524291 ITT524254:ITT524291 JDP524254:JDP524291 JNL524254:JNL524291 JXH524254:JXH524291 KHD524254:KHD524291 KQZ524254:KQZ524291 LAV524254:LAV524291 LKR524254:LKR524291 LUN524254:LUN524291 MEJ524254:MEJ524291 MOF524254:MOF524291 MYB524254:MYB524291 NHX524254:NHX524291 NRT524254:NRT524291 OBP524254:OBP524291 OLL524254:OLL524291 OVH524254:OVH524291 PFD524254:PFD524291 POZ524254:POZ524291 PYV524254:PYV524291 QIR524254:QIR524291 QSN524254:QSN524291 RCJ524254:RCJ524291 RMF524254:RMF524291 RWB524254:RWB524291 SFX524254:SFX524291 SPT524254:SPT524291 SZP524254:SZP524291 TJL524254:TJL524291 TTH524254:TTH524291 UDD524254:UDD524291 UMZ524254:UMZ524291 UWV524254:UWV524291 VGR524254:VGR524291 VQN524254:VQN524291 WAJ524254:WAJ524291 WKF524254:WKF524291 WUB524254:WUB524291 C589790:C589827 HP589790:HP589827 RL589790:RL589827 ABH589790:ABH589827 ALD589790:ALD589827 AUZ589790:AUZ589827 BEV589790:BEV589827 BOR589790:BOR589827 BYN589790:BYN589827 CIJ589790:CIJ589827 CSF589790:CSF589827 DCB589790:DCB589827 DLX589790:DLX589827 DVT589790:DVT589827 EFP589790:EFP589827 EPL589790:EPL589827 EZH589790:EZH589827 FJD589790:FJD589827 FSZ589790:FSZ589827 GCV589790:GCV589827 GMR589790:GMR589827 GWN589790:GWN589827 HGJ589790:HGJ589827 HQF589790:HQF589827 IAB589790:IAB589827 IJX589790:IJX589827 ITT589790:ITT589827 JDP589790:JDP589827 JNL589790:JNL589827 JXH589790:JXH589827 KHD589790:KHD589827 KQZ589790:KQZ589827 LAV589790:LAV589827 LKR589790:LKR589827 LUN589790:LUN589827 MEJ589790:MEJ589827 MOF589790:MOF589827 MYB589790:MYB589827 NHX589790:NHX589827 NRT589790:NRT589827 OBP589790:OBP589827 OLL589790:OLL589827 OVH589790:OVH589827 PFD589790:PFD589827 POZ589790:POZ589827 PYV589790:PYV589827 QIR589790:QIR589827 QSN589790:QSN589827 RCJ589790:RCJ589827 RMF589790:RMF589827 RWB589790:RWB589827 SFX589790:SFX589827 SPT589790:SPT589827 SZP589790:SZP589827 TJL589790:TJL589827 TTH589790:TTH589827 UDD589790:UDD589827 UMZ589790:UMZ589827 UWV589790:UWV589827 VGR589790:VGR589827 VQN589790:VQN589827 WAJ589790:WAJ589827 WKF589790:WKF589827 WUB589790:WUB589827 C655326:C655363 HP655326:HP655363 RL655326:RL655363 ABH655326:ABH655363 ALD655326:ALD655363 AUZ655326:AUZ655363 BEV655326:BEV655363 BOR655326:BOR655363 BYN655326:BYN655363 CIJ655326:CIJ655363 CSF655326:CSF655363 DCB655326:DCB655363 DLX655326:DLX655363 DVT655326:DVT655363 EFP655326:EFP655363 EPL655326:EPL655363 EZH655326:EZH655363 FJD655326:FJD655363 FSZ655326:FSZ655363 GCV655326:GCV655363 GMR655326:GMR655363 GWN655326:GWN655363 HGJ655326:HGJ655363 HQF655326:HQF655363 IAB655326:IAB655363 IJX655326:IJX655363 ITT655326:ITT655363 JDP655326:JDP655363 JNL655326:JNL655363 JXH655326:JXH655363 KHD655326:KHD655363 KQZ655326:KQZ655363 LAV655326:LAV655363 LKR655326:LKR655363 LUN655326:LUN655363 MEJ655326:MEJ655363 MOF655326:MOF655363 MYB655326:MYB655363 NHX655326:NHX655363 NRT655326:NRT655363 OBP655326:OBP655363 OLL655326:OLL655363 OVH655326:OVH655363 PFD655326:PFD655363 POZ655326:POZ655363 PYV655326:PYV655363 QIR655326:QIR655363 QSN655326:QSN655363 RCJ655326:RCJ655363 RMF655326:RMF655363 RWB655326:RWB655363 SFX655326:SFX655363 SPT655326:SPT655363 SZP655326:SZP655363 TJL655326:TJL655363 TTH655326:TTH655363 UDD655326:UDD655363 UMZ655326:UMZ655363 UWV655326:UWV655363 VGR655326:VGR655363 VQN655326:VQN655363 WAJ655326:WAJ655363 WKF655326:WKF655363 WUB655326:WUB655363 C720862:C720899 HP720862:HP720899 RL720862:RL720899 ABH720862:ABH720899 ALD720862:ALD720899 AUZ720862:AUZ720899 BEV720862:BEV720899 BOR720862:BOR720899 BYN720862:BYN720899 CIJ720862:CIJ720899 CSF720862:CSF720899 DCB720862:DCB720899 DLX720862:DLX720899 DVT720862:DVT720899 EFP720862:EFP720899 EPL720862:EPL720899 EZH720862:EZH720899 FJD720862:FJD720899 FSZ720862:FSZ720899 GCV720862:GCV720899 GMR720862:GMR720899 GWN720862:GWN720899 HGJ720862:HGJ720899 HQF720862:HQF720899 IAB720862:IAB720899 IJX720862:IJX720899 ITT720862:ITT720899 JDP720862:JDP720899 JNL720862:JNL720899 JXH720862:JXH720899 KHD720862:KHD720899 KQZ720862:KQZ720899 LAV720862:LAV720899 LKR720862:LKR720899 LUN720862:LUN720899 MEJ720862:MEJ720899 MOF720862:MOF720899 MYB720862:MYB720899 NHX720862:NHX720899 NRT720862:NRT720899 OBP720862:OBP720899 OLL720862:OLL720899 OVH720862:OVH720899 PFD720862:PFD720899 POZ720862:POZ720899 PYV720862:PYV720899 QIR720862:QIR720899 QSN720862:QSN720899 RCJ720862:RCJ720899 RMF720862:RMF720899 RWB720862:RWB720899 SFX720862:SFX720899 SPT720862:SPT720899 SZP720862:SZP720899 TJL720862:TJL720899 TTH720862:TTH720899 UDD720862:UDD720899 UMZ720862:UMZ720899 UWV720862:UWV720899 VGR720862:VGR720899 VQN720862:VQN720899 WAJ720862:WAJ720899 WKF720862:WKF720899 WUB720862:WUB720899 C786398:C786435 HP786398:HP786435 RL786398:RL786435 ABH786398:ABH786435 ALD786398:ALD786435 AUZ786398:AUZ786435 BEV786398:BEV786435 BOR786398:BOR786435 BYN786398:BYN786435 CIJ786398:CIJ786435 CSF786398:CSF786435 DCB786398:DCB786435 DLX786398:DLX786435 DVT786398:DVT786435 EFP786398:EFP786435 EPL786398:EPL786435 EZH786398:EZH786435 FJD786398:FJD786435 FSZ786398:FSZ786435 GCV786398:GCV786435 GMR786398:GMR786435 GWN786398:GWN786435 HGJ786398:HGJ786435 HQF786398:HQF786435 IAB786398:IAB786435 IJX786398:IJX786435 ITT786398:ITT786435 JDP786398:JDP786435 JNL786398:JNL786435 JXH786398:JXH786435 KHD786398:KHD786435 KQZ786398:KQZ786435 LAV786398:LAV786435 LKR786398:LKR786435 LUN786398:LUN786435 MEJ786398:MEJ786435 MOF786398:MOF786435 MYB786398:MYB786435 NHX786398:NHX786435 NRT786398:NRT786435 OBP786398:OBP786435 OLL786398:OLL786435 OVH786398:OVH786435 PFD786398:PFD786435 POZ786398:POZ786435 PYV786398:PYV786435 QIR786398:QIR786435 QSN786398:QSN786435 RCJ786398:RCJ786435 RMF786398:RMF786435 RWB786398:RWB786435 SFX786398:SFX786435 SPT786398:SPT786435 SZP786398:SZP786435 TJL786398:TJL786435 TTH786398:TTH786435 UDD786398:UDD786435 UMZ786398:UMZ786435 UWV786398:UWV786435 VGR786398:VGR786435 VQN786398:VQN786435 WAJ786398:WAJ786435 WKF786398:WKF786435 WUB786398:WUB786435 C851934:C851971 HP851934:HP851971 RL851934:RL851971 ABH851934:ABH851971 ALD851934:ALD851971 AUZ851934:AUZ851971 BEV851934:BEV851971 BOR851934:BOR851971 BYN851934:BYN851971 CIJ851934:CIJ851971 CSF851934:CSF851971 DCB851934:DCB851971 DLX851934:DLX851971 DVT851934:DVT851971 EFP851934:EFP851971 EPL851934:EPL851971 EZH851934:EZH851971 FJD851934:FJD851971 FSZ851934:FSZ851971 GCV851934:GCV851971 GMR851934:GMR851971 GWN851934:GWN851971 HGJ851934:HGJ851971 HQF851934:HQF851971 IAB851934:IAB851971 IJX851934:IJX851971 ITT851934:ITT851971 JDP851934:JDP851971 JNL851934:JNL851971 JXH851934:JXH851971 KHD851934:KHD851971 KQZ851934:KQZ851971 LAV851934:LAV851971 LKR851934:LKR851971 LUN851934:LUN851971 MEJ851934:MEJ851971 MOF851934:MOF851971 MYB851934:MYB851971 NHX851934:NHX851971 NRT851934:NRT851971 OBP851934:OBP851971 OLL851934:OLL851971 OVH851934:OVH851971 PFD851934:PFD851971 POZ851934:POZ851971 PYV851934:PYV851971 QIR851934:QIR851971 QSN851934:QSN851971 RCJ851934:RCJ851971 RMF851934:RMF851971 RWB851934:RWB851971 SFX851934:SFX851971 SPT851934:SPT851971 SZP851934:SZP851971 TJL851934:TJL851971 TTH851934:TTH851971 UDD851934:UDD851971 UMZ851934:UMZ851971 UWV851934:UWV851971 VGR851934:VGR851971 VQN851934:VQN851971 WAJ851934:WAJ851971 WKF851934:WKF851971 WUB851934:WUB851971 C917470:C917507 HP917470:HP917507 RL917470:RL917507 ABH917470:ABH917507 ALD917470:ALD917507 AUZ917470:AUZ917507 BEV917470:BEV917507 BOR917470:BOR917507 BYN917470:BYN917507 CIJ917470:CIJ917507 CSF917470:CSF917507 DCB917470:DCB917507 DLX917470:DLX917507 DVT917470:DVT917507 EFP917470:EFP917507 EPL917470:EPL917507 EZH917470:EZH917507 FJD917470:FJD917507 FSZ917470:FSZ917507 GCV917470:GCV917507 GMR917470:GMR917507 GWN917470:GWN917507 HGJ917470:HGJ917507 HQF917470:HQF917507 IAB917470:IAB917507 IJX917470:IJX917507 ITT917470:ITT917507 JDP917470:JDP917507 JNL917470:JNL917507 JXH917470:JXH917507 KHD917470:KHD917507 KQZ917470:KQZ917507 LAV917470:LAV917507 LKR917470:LKR917507 LUN917470:LUN917507 MEJ917470:MEJ917507 MOF917470:MOF917507 MYB917470:MYB917507 NHX917470:NHX917507 NRT917470:NRT917507 OBP917470:OBP917507 OLL917470:OLL917507 OVH917470:OVH917507 PFD917470:PFD917507 POZ917470:POZ917507 PYV917470:PYV917507 QIR917470:QIR917507 QSN917470:QSN917507 RCJ917470:RCJ917507 RMF917470:RMF917507 RWB917470:RWB917507 SFX917470:SFX917507 SPT917470:SPT917507 SZP917470:SZP917507 TJL917470:TJL917507 TTH917470:TTH917507 UDD917470:UDD917507 UMZ917470:UMZ917507 UWV917470:UWV917507 VGR917470:VGR917507 VQN917470:VQN917507 WAJ917470:WAJ917507 WKF917470:WKF917507 WUB917470:WUB917507 C983006:C983043 HP983006:HP983043 RL983006:RL983043 ABH983006:ABH983043 ALD983006:ALD983043 AUZ983006:AUZ983043 BEV983006:BEV983043 BOR983006:BOR983043 BYN983006:BYN983043 CIJ983006:CIJ983043 CSF983006:CSF983043 DCB983006:DCB983043 DLX983006:DLX983043 DVT983006:DVT983043 EFP983006:EFP983043 EPL983006:EPL983043 EZH983006:EZH983043 FJD983006:FJD983043 FSZ983006:FSZ983043 GCV983006:GCV983043 GMR983006:GMR983043 GWN983006:GWN983043 HGJ983006:HGJ983043 HQF983006:HQF983043 IAB983006:IAB983043 IJX983006:IJX983043 ITT983006:ITT983043 JDP983006:JDP983043 JNL983006:JNL983043 JXH983006:JXH983043 KHD983006:KHD983043 KQZ983006:KQZ983043 LAV983006:LAV983043 LKR983006:LKR983043 LUN983006:LUN983043 MEJ983006:MEJ983043 MOF983006:MOF983043 MYB983006:MYB983043 NHX983006:NHX983043 NRT983006:NRT983043 OBP983006:OBP983043 OLL983006:OLL983043 OVH983006:OVH983043 PFD983006:PFD983043 POZ983006:POZ983043 PYV983006:PYV983043 QIR983006:QIR983043 QSN983006:QSN983043 RCJ983006:RCJ983043 RMF983006:RMF983043 RWB983006:RWB983043 SFX983006:SFX983043 SPT983006:SPT983043 SZP983006:SZP983043 TJL983006:TJL983043 TTH983006:TTH983043 UDD983006:UDD983043 UMZ983006:UMZ983043 UWV983006:UWV983043 VGR983006:VGR983043 VQN983006:VQN983043 WAJ983006:WAJ983043 WKF983006:WKF983043 WUB983006:WUB983043">
      <formula1>"Yes,No"</formula1>
    </dataValidation>
  </dataValidations>
  <pageMargins left="0.70866141732283472" right="0.70866141732283472" top="0.74803149606299213" bottom="0.74803149606299213" header="0.31496062992125984" footer="0.31496062992125984"/>
  <pageSetup paperSize="8" scale="14"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P53"/>
  <sheetViews>
    <sheetView zoomScale="80" zoomScaleNormal="80" workbookViewId="0">
      <selection sqref="A1:E1"/>
    </sheetView>
  </sheetViews>
  <sheetFormatPr defaultRowHeight="15" x14ac:dyDescent="0.25"/>
  <cols>
    <col min="1" max="2" width="18.140625" customWidth="1"/>
    <col min="3" max="4" width="20.7109375" customWidth="1"/>
    <col min="5" max="5" width="20.5703125" customWidth="1"/>
    <col min="6" max="16" width="20.7109375" customWidth="1"/>
  </cols>
  <sheetData>
    <row r="1" spans="1:15" ht="27" thickBot="1" x14ac:dyDescent="0.3">
      <c r="A1" s="431" t="s">
        <v>113</v>
      </c>
      <c r="B1" s="432"/>
      <c r="C1" s="432"/>
      <c r="D1" s="432"/>
      <c r="E1" s="433"/>
      <c r="F1" s="85" t="s">
        <v>60</v>
      </c>
      <c r="G1" s="117"/>
      <c r="H1" s="117"/>
      <c r="I1" s="117"/>
      <c r="J1" s="117"/>
      <c r="K1" s="117"/>
      <c r="L1" s="117"/>
      <c r="M1" s="118"/>
      <c r="N1" s="118"/>
      <c r="O1" s="119"/>
    </row>
    <row r="2" spans="1:15" ht="22.5" customHeight="1" thickBot="1" x14ac:dyDescent="0.3">
      <c r="A2" s="434" t="s">
        <v>98</v>
      </c>
      <c r="B2" s="435"/>
      <c r="C2" s="435"/>
      <c r="D2" s="435"/>
      <c r="E2" s="436"/>
      <c r="F2" s="58" t="s">
        <v>61</v>
      </c>
      <c r="G2" s="120"/>
      <c r="H2" s="120"/>
      <c r="I2" s="120"/>
      <c r="J2" s="120"/>
      <c r="K2" s="120"/>
      <c r="L2" s="120"/>
      <c r="M2" s="105"/>
      <c r="N2" s="105"/>
      <c r="O2" s="106"/>
    </row>
    <row r="3" spans="1:15" ht="26.25" customHeight="1" thickBot="1" x14ac:dyDescent="0.35">
      <c r="A3" s="422" t="s">
        <v>360</v>
      </c>
      <c r="B3" s="423"/>
      <c r="C3" s="423"/>
      <c r="D3" s="423"/>
      <c r="E3" s="437"/>
      <c r="F3" s="133" t="s">
        <v>345</v>
      </c>
      <c r="G3" s="185"/>
      <c r="H3" s="160" t="str">
        <f>'Instructions '!$A$58</f>
        <v>Workbook Version: OM Issue 6.1 Data Centres</v>
      </c>
      <c r="I3" s="160"/>
      <c r="J3" s="160"/>
      <c r="K3" s="160"/>
      <c r="L3" s="120"/>
      <c r="M3" s="105"/>
      <c r="N3" s="105"/>
      <c r="O3" s="106"/>
    </row>
    <row r="4" spans="1:15" ht="35.25" customHeight="1" x14ac:dyDescent="0.3">
      <c r="A4" s="422"/>
      <c r="B4" s="423"/>
      <c r="C4" s="423"/>
      <c r="D4" s="423"/>
      <c r="E4" s="423"/>
      <c r="F4" s="396"/>
      <c r="G4" s="185"/>
      <c r="H4" s="160" t="str">
        <f>'Instructions '!$A$59</f>
        <v>Workbook date: 4/5/17 (includes stringency test)</v>
      </c>
      <c r="I4" s="160"/>
      <c r="J4" s="160"/>
      <c r="K4" s="160"/>
      <c r="L4" s="120"/>
      <c r="M4" s="105"/>
      <c r="N4" s="105"/>
      <c r="O4" s="106"/>
    </row>
    <row r="5" spans="1:15" ht="13.5" customHeight="1" thickBot="1" x14ac:dyDescent="0.3">
      <c r="A5" s="424"/>
      <c r="B5" s="425"/>
      <c r="C5" s="425"/>
      <c r="D5" s="425"/>
      <c r="E5" s="425"/>
      <c r="F5" s="397"/>
      <c r="G5" s="120"/>
      <c r="H5" s="120"/>
      <c r="I5" s="120"/>
      <c r="J5" s="120"/>
      <c r="K5" s="120"/>
      <c r="L5" s="120"/>
      <c r="M5" s="105"/>
      <c r="N5" s="105"/>
      <c r="O5" s="106"/>
    </row>
    <row r="6" spans="1:15" ht="15" customHeight="1" thickBot="1" x14ac:dyDescent="0.3">
      <c r="A6" s="121"/>
      <c r="B6" s="120"/>
      <c r="C6" s="120"/>
      <c r="D6" s="120"/>
      <c r="E6" s="120"/>
      <c r="F6" s="120"/>
      <c r="G6" s="120"/>
      <c r="H6" s="120"/>
      <c r="I6" s="120"/>
      <c r="J6" s="120"/>
      <c r="K6" s="120"/>
      <c r="L6" s="120"/>
      <c r="M6" s="105"/>
      <c r="N6" s="105"/>
      <c r="O6" s="106"/>
    </row>
    <row r="7" spans="1:15" ht="30.75" thickBot="1" x14ac:dyDescent="0.3">
      <c r="A7" s="58" t="s">
        <v>170</v>
      </c>
      <c r="B7" s="379">
        <v>2011</v>
      </c>
      <c r="C7" s="109"/>
      <c r="D7" s="105"/>
      <c r="E7" s="105"/>
      <c r="F7" s="365"/>
      <c r="G7" s="185"/>
      <c r="H7" s="185"/>
      <c r="I7" s="185"/>
      <c r="J7" s="185"/>
      <c r="K7" s="185"/>
      <c r="L7" s="185"/>
      <c r="M7" s="185"/>
      <c r="N7" s="185"/>
      <c r="O7" s="106"/>
    </row>
    <row r="8" spans="1:15" ht="15.75" thickBot="1" x14ac:dyDescent="0.3">
      <c r="A8" s="58" t="s">
        <v>343</v>
      </c>
      <c r="B8" s="379">
        <v>2</v>
      </c>
      <c r="C8" s="105"/>
      <c r="D8" s="105"/>
      <c r="E8" s="105"/>
      <c r="F8" s="365"/>
      <c r="G8" s="185"/>
      <c r="H8" s="185"/>
      <c r="I8" s="185"/>
      <c r="J8" s="185"/>
      <c r="K8" s="185"/>
      <c r="L8" s="185"/>
      <c r="M8" s="185"/>
      <c r="N8" s="185"/>
      <c r="O8" s="106"/>
    </row>
    <row r="9" spans="1:15" ht="15.75" thickBot="1" x14ac:dyDescent="0.3">
      <c r="B9" s="365"/>
      <c r="C9" s="364"/>
      <c r="D9" s="105"/>
      <c r="E9" s="105"/>
      <c r="F9" s="105"/>
      <c r="G9" s="185"/>
      <c r="H9" s="185"/>
      <c r="I9" s="185"/>
      <c r="J9" s="185"/>
      <c r="K9" s="185"/>
      <c r="L9" s="185"/>
      <c r="M9" s="185"/>
      <c r="N9" s="185"/>
      <c r="O9" s="106"/>
    </row>
    <row r="10" spans="1:15" ht="31.5" customHeight="1" thickBot="1" x14ac:dyDescent="0.3">
      <c r="A10" s="221" t="s">
        <v>172</v>
      </c>
      <c r="B10" s="221" t="s">
        <v>171</v>
      </c>
      <c r="C10" s="190" t="s">
        <v>167</v>
      </c>
      <c r="D10" s="440"/>
      <c r="E10" s="441"/>
      <c r="F10" s="441"/>
      <c r="G10" s="441"/>
      <c r="H10" s="441"/>
      <c r="I10" s="441"/>
      <c r="J10" s="441"/>
      <c r="K10" s="441"/>
      <c r="L10" s="441"/>
      <c r="M10" s="441"/>
      <c r="N10" s="441"/>
      <c r="O10" s="442"/>
    </row>
    <row r="11" spans="1:15" ht="15.75" thickBot="1" x14ac:dyDescent="0.3">
      <c r="A11" s="194"/>
      <c r="B11" s="194"/>
      <c r="C11" s="222">
        <f>B7</f>
        <v>2011</v>
      </c>
      <c r="D11" s="381"/>
      <c r="E11" s="382"/>
      <c r="F11" s="382"/>
      <c r="G11" s="382"/>
      <c r="H11" s="382"/>
      <c r="I11" s="382"/>
      <c r="J11" s="382"/>
      <c r="K11" s="382"/>
      <c r="L11" s="382"/>
      <c r="M11" s="382"/>
      <c r="N11" s="382"/>
      <c r="O11" s="383"/>
    </row>
    <row r="12" spans="1:15" ht="15.75" thickBot="1" x14ac:dyDescent="0.3">
      <c r="A12" s="224" t="str">
        <f>A36</f>
        <v>Target Period 1</v>
      </c>
      <c r="B12" s="225">
        <v>2014</v>
      </c>
      <c r="C12" s="380">
        <v>0.01</v>
      </c>
      <c r="D12" s="384"/>
      <c r="E12" s="385"/>
      <c r="F12" s="385"/>
      <c r="G12" s="385"/>
      <c r="H12" s="385"/>
      <c r="I12" s="385"/>
      <c r="J12" s="385"/>
      <c r="K12" s="385"/>
      <c r="L12" s="385"/>
      <c r="M12" s="385"/>
      <c r="N12" s="385"/>
      <c r="O12" s="386"/>
    </row>
    <row r="13" spans="1:15" ht="15.75" thickBot="1" x14ac:dyDescent="0.3">
      <c r="A13" s="225" t="str">
        <f>A38</f>
        <v>Target Period 2</v>
      </c>
      <c r="B13" s="225">
        <v>2016</v>
      </c>
      <c r="C13" s="380">
        <v>8.3330000000000001E-2</v>
      </c>
      <c r="D13" s="384"/>
      <c r="E13" s="385"/>
      <c r="F13" s="385"/>
      <c r="G13" s="385"/>
      <c r="H13" s="385"/>
      <c r="I13" s="385"/>
      <c r="J13" s="385"/>
      <c r="K13" s="385"/>
      <c r="L13" s="385"/>
      <c r="M13" s="385"/>
      <c r="N13" s="385"/>
      <c r="O13" s="386"/>
    </row>
    <row r="14" spans="1:15" ht="15.75" thickBot="1" x14ac:dyDescent="0.3">
      <c r="A14" s="225" t="str">
        <f>A40</f>
        <v>Target Period 3</v>
      </c>
      <c r="B14" s="225">
        <v>2018</v>
      </c>
      <c r="C14" s="380">
        <v>0.13750000000000001</v>
      </c>
      <c r="D14" s="384"/>
      <c r="E14" s="385"/>
      <c r="F14" s="385"/>
      <c r="G14" s="385"/>
      <c r="H14" s="385"/>
      <c r="I14" s="385"/>
      <c r="J14" s="385"/>
      <c r="K14" s="385"/>
      <c r="L14" s="385"/>
      <c r="M14" s="385"/>
      <c r="N14" s="385"/>
      <c r="O14" s="386"/>
    </row>
    <row r="15" spans="1:15" ht="15.75" thickBot="1" x14ac:dyDescent="0.3">
      <c r="A15" s="225" t="str">
        <f>A42</f>
        <v>Target Period 4</v>
      </c>
      <c r="B15" s="225">
        <v>2020</v>
      </c>
      <c r="C15" s="380">
        <v>0.15</v>
      </c>
      <c r="D15" s="384"/>
      <c r="E15" s="385"/>
      <c r="F15" s="385"/>
      <c r="G15" s="385"/>
      <c r="H15" s="385"/>
      <c r="I15" s="385"/>
      <c r="J15" s="385"/>
      <c r="K15" s="385"/>
      <c r="L15" s="385"/>
      <c r="M15" s="385"/>
      <c r="N15" s="385"/>
      <c r="O15" s="386"/>
    </row>
    <row r="16" spans="1:15" ht="36.75" hidden="1" customHeight="1" x14ac:dyDescent="0.25">
      <c r="A16" s="185"/>
      <c r="B16" s="185"/>
      <c r="C16" s="185"/>
      <c r="D16" s="185"/>
      <c r="E16" s="185"/>
      <c r="F16" s="185"/>
      <c r="G16" s="185"/>
      <c r="H16" s="185"/>
      <c r="I16" s="185"/>
      <c r="J16" s="185"/>
      <c r="K16" s="185"/>
      <c r="L16" s="185"/>
      <c r="M16" s="185"/>
      <c r="N16" s="185"/>
      <c r="O16" s="106"/>
    </row>
    <row r="17" spans="1:16" ht="15.75" hidden="1" thickBot="1" x14ac:dyDescent="0.3">
      <c r="A17" s="61" t="s">
        <v>110</v>
      </c>
      <c r="B17" s="426" t="s">
        <v>112</v>
      </c>
      <c r="C17" s="427"/>
      <c r="D17" s="426" t="s">
        <v>111</v>
      </c>
      <c r="E17" s="427"/>
      <c r="F17" s="438" t="s">
        <v>156</v>
      </c>
      <c r="G17" s="439"/>
      <c r="H17" s="438" t="s">
        <v>131</v>
      </c>
      <c r="I17" s="443"/>
      <c r="J17" s="443"/>
      <c r="K17" s="443"/>
      <c r="L17" s="439"/>
      <c r="M17" s="105"/>
      <c r="N17" s="105"/>
      <c r="O17" s="106"/>
    </row>
    <row r="18" spans="1:16" ht="108" hidden="1" customHeight="1" thickBot="1" x14ac:dyDescent="0.3">
      <c r="A18" s="168" t="s">
        <v>108</v>
      </c>
      <c r="B18" s="428" t="s">
        <v>165</v>
      </c>
      <c r="C18" s="429"/>
      <c r="D18" s="428" t="s">
        <v>318</v>
      </c>
      <c r="E18" s="429"/>
      <c r="F18" s="428" t="s">
        <v>184</v>
      </c>
      <c r="G18" s="429"/>
      <c r="H18" s="428" t="s">
        <v>319</v>
      </c>
      <c r="I18" s="430"/>
      <c r="J18" s="430"/>
      <c r="K18" s="430"/>
      <c r="L18" s="429"/>
      <c r="M18" s="105"/>
      <c r="N18" s="105"/>
      <c r="O18" s="106"/>
    </row>
    <row r="19" spans="1:16" ht="71.25" hidden="1" customHeight="1" thickBot="1" x14ac:dyDescent="0.3">
      <c r="A19" s="419" t="s">
        <v>157</v>
      </c>
      <c r="B19" s="428" t="s">
        <v>159</v>
      </c>
      <c r="C19" s="429"/>
      <c r="D19" s="428" t="s">
        <v>185</v>
      </c>
      <c r="E19" s="429"/>
      <c r="F19" s="428" t="s">
        <v>186</v>
      </c>
      <c r="G19" s="429"/>
      <c r="H19" s="428" t="s">
        <v>195</v>
      </c>
      <c r="I19" s="430"/>
      <c r="J19" s="430"/>
      <c r="K19" s="430"/>
      <c r="L19" s="429"/>
      <c r="M19" s="105"/>
      <c r="N19" s="105"/>
      <c r="O19" s="106"/>
    </row>
    <row r="20" spans="1:16" ht="72" hidden="1" customHeight="1" thickBot="1" x14ac:dyDescent="0.3">
      <c r="A20" s="420"/>
      <c r="B20" s="428" t="s">
        <v>180</v>
      </c>
      <c r="C20" s="429"/>
      <c r="D20" s="428" t="s">
        <v>187</v>
      </c>
      <c r="E20" s="429"/>
      <c r="F20" s="428" t="s">
        <v>186</v>
      </c>
      <c r="G20" s="429"/>
      <c r="H20" s="428" t="s">
        <v>195</v>
      </c>
      <c r="I20" s="430"/>
      <c r="J20" s="430"/>
      <c r="K20" s="430"/>
      <c r="L20" s="429"/>
      <c r="M20" s="105"/>
      <c r="N20" s="105"/>
      <c r="O20" s="106"/>
    </row>
    <row r="21" spans="1:16" ht="72" hidden="1" customHeight="1" thickBot="1" x14ac:dyDescent="0.3">
      <c r="A21" s="420"/>
      <c r="B21" s="428" t="s">
        <v>160</v>
      </c>
      <c r="C21" s="429"/>
      <c r="D21" s="428" t="s">
        <v>199</v>
      </c>
      <c r="E21" s="429"/>
      <c r="F21" s="428" t="s">
        <v>188</v>
      </c>
      <c r="G21" s="429"/>
      <c r="H21" s="428" t="s">
        <v>181</v>
      </c>
      <c r="I21" s="430"/>
      <c r="J21" s="430"/>
      <c r="K21" s="430"/>
      <c r="L21" s="429"/>
      <c r="M21" s="105"/>
      <c r="N21" s="105"/>
      <c r="O21" s="106"/>
    </row>
    <row r="22" spans="1:16" ht="98.25" hidden="1" customHeight="1" thickBot="1" x14ac:dyDescent="0.3">
      <c r="A22" s="421"/>
      <c r="B22" s="428" t="s">
        <v>161</v>
      </c>
      <c r="C22" s="429"/>
      <c r="D22" s="428" t="s">
        <v>189</v>
      </c>
      <c r="E22" s="429"/>
      <c r="F22" s="428" t="s">
        <v>190</v>
      </c>
      <c r="G22" s="429"/>
      <c r="H22" s="428" t="s">
        <v>182</v>
      </c>
      <c r="I22" s="430"/>
      <c r="J22" s="430"/>
      <c r="K22" s="430"/>
      <c r="L22" s="429"/>
      <c r="M22" s="105"/>
      <c r="N22" s="105"/>
      <c r="O22" s="106"/>
    </row>
    <row r="23" spans="1:16" ht="97.5" hidden="1" customHeight="1" thickBot="1" x14ac:dyDescent="0.3">
      <c r="A23" s="419" t="s">
        <v>158</v>
      </c>
      <c r="B23" s="428" t="s">
        <v>162</v>
      </c>
      <c r="C23" s="429"/>
      <c r="D23" s="428" t="s">
        <v>191</v>
      </c>
      <c r="E23" s="429"/>
      <c r="F23" s="428" t="s">
        <v>192</v>
      </c>
      <c r="G23" s="429"/>
      <c r="H23" s="428" t="s">
        <v>183</v>
      </c>
      <c r="I23" s="430"/>
      <c r="J23" s="430"/>
      <c r="K23" s="430"/>
      <c r="L23" s="429"/>
      <c r="M23" s="105"/>
      <c r="N23" s="105"/>
      <c r="O23" s="106"/>
    </row>
    <row r="24" spans="1:16" ht="81.75" hidden="1" customHeight="1" thickBot="1" x14ac:dyDescent="0.3">
      <c r="A24" s="420"/>
      <c r="B24" s="428" t="s">
        <v>163</v>
      </c>
      <c r="C24" s="429"/>
      <c r="D24" s="428" t="s">
        <v>196</v>
      </c>
      <c r="E24" s="429"/>
      <c r="F24" s="428" t="s">
        <v>200</v>
      </c>
      <c r="G24" s="429"/>
      <c r="H24" s="428" t="s">
        <v>193</v>
      </c>
      <c r="I24" s="430"/>
      <c r="J24" s="430"/>
      <c r="K24" s="430"/>
      <c r="L24" s="429"/>
      <c r="M24" s="105"/>
      <c r="N24" s="105"/>
      <c r="O24" s="106"/>
    </row>
    <row r="25" spans="1:16" ht="70.5" hidden="1" customHeight="1" thickBot="1" x14ac:dyDescent="0.3">
      <c r="A25" s="421"/>
      <c r="B25" s="428" t="s">
        <v>164</v>
      </c>
      <c r="C25" s="429"/>
      <c r="D25" s="428" t="s">
        <v>197</v>
      </c>
      <c r="E25" s="429"/>
      <c r="F25" s="428" t="s">
        <v>201</v>
      </c>
      <c r="G25" s="429"/>
      <c r="H25" s="428" t="s">
        <v>194</v>
      </c>
      <c r="I25" s="430"/>
      <c r="J25" s="430"/>
      <c r="K25" s="430"/>
      <c r="L25" s="429"/>
      <c r="M25" s="105"/>
      <c r="N25" s="105"/>
      <c r="O25" s="106"/>
    </row>
    <row r="26" spans="1:16" ht="57.75" hidden="1" customHeight="1" thickBot="1" x14ac:dyDescent="0.3">
      <c r="A26" s="168" t="s">
        <v>109</v>
      </c>
      <c r="B26" s="428" t="s">
        <v>166</v>
      </c>
      <c r="C26" s="429"/>
      <c r="D26" s="428" t="s">
        <v>198</v>
      </c>
      <c r="E26" s="429"/>
      <c r="F26" s="428" t="s">
        <v>202</v>
      </c>
      <c r="G26" s="429"/>
      <c r="H26" s="428" t="s">
        <v>203</v>
      </c>
      <c r="I26" s="430"/>
      <c r="J26" s="430"/>
      <c r="K26" s="430"/>
      <c r="L26" s="429"/>
      <c r="M26" s="105"/>
      <c r="N26" s="105"/>
      <c r="O26" s="106"/>
    </row>
    <row r="27" spans="1:16" ht="51.75" customHeight="1" thickBot="1" x14ac:dyDescent="0.3">
      <c r="A27" s="192"/>
      <c r="B27" s="193"/>
      <c r="C27" s="193"/>
      <c r="D27" s="193"/>
      <c r="E27" s="193"/>
      <c r="F27" s="193"/>
      <c r="G27" s="193"/>
      <c r="H27" s="193"/>
      <c r="I27" s="193"/>
      <c r="J27" s="193"/>
      <c r="K27" s="193"/>
      <c r="L27" s="193"/>
      <c r="M27" s="99"/>
      <c r="N27" s="99"/>
      <c r="O27" s="111"/>
    </row>
    <row r="28" spans="1:16" ht="22.5" hidden="1" customHeight="1" thickBot="1" x14ac:dyDescent="0.3">
      <c r="A28" s="189"/>
      <c r="B28" s="195"/>
      <c r="C28" s="196"/>
      <c r="D28" s="196"/>
      <c r="E28" s="196"/>
      <c r="F28" s="196"/>
      <c r="G28" s="196"/>
      <c r="H28" s="196"/>
      <c r="I28" s="196"/>
      <c r="J28" s="196"/>
      <c r="K28" s="196"/>
      <c r="L28" s="196"/>
      <c r="M28" s="196"/>
      <c r="N28" s="196"/>
      <c r="O28" s="196"/>
    </row>
    <row r="29" spans="1:16" ht="33" hidden="1" customHeight="1" thickBot="1" x14ac:dyDescent="0.3">
      <c r="A29" s="187"/>
      <c r="B29" s="197" t="s">
        <v>94</v>
      </c>
      <c r="C29" s="229" t="s">
        <v>167</v>
      </c>
      <c r="D29" s="444" t="s">
        <v>179</v>
      </c>
      <c r="E29" s="445"/>
      <c r="F29" s="445"/>
      <c r="G29" s="445"/>
      <c r="H29" s="445"/>
      <c r="I29" s="445"/>
      <c r="J29" s="445"/>
      <c r="K29" s="445"/>
      <c r="L29" s="445"/>
      <c r="M29" s="445"/>
      <c r="N29" s="445"/>
      <c r="O29" s="445"/>
      <c r="P29" s="446"/>
    </row>
    <row r="30" spans="1:16" ht="19.5" hidden="1" customHeight="1" thickBot="1" x14ac:dyDescent="0.3">
      <c r="A30" s="58" t="s">
        <v>170</v>
      </c>
      <c r="B30" s="198">
        <v>2008</v>
      </c>
      <c r="C30" s="197">
        <v>0</v>
      </c>
      <c r="D30" s="230">
        <v>2008</v>
      </c>
      <c r="E30" s="230">
        <v>2009</v>
      </c>
      <c r="F30" s="230">
        <f>E30+1</f>
        <v>2010</v>
      </c>
      <c r="G30" s="230">
        <f t="shared" ref="G30:K30" si="0">F30+1</f>
        <v>2011</v>
      </c>
      <c r="H30" s="230">
        <f t="shared" si="0"/>
        <v>2012</v>
      </c>
      <c r="I30" s="230">
        <f t="shared" si="0"/>
        <v>2013</v>
      </c>
      <c r="J30" s="230">
        <f t="shared" si="0"/>
        <v>2014</v>
      </c>
      <c r="K30" s="230">
        <f t="shared" si="0"/>
        <v>2015</v>
      </c>
      <c r="L30" s="230">
        <f t="shared" ref="L30:N30" si="1">K30+1</f>
        <v>2016</v>
      </c>
      <c r="M30" s="230">
        <f t="shared" si="1"/>
        <v>2017</v>
      </c>
      <c r="N30" s="230">
        <f t="shared" si="1"/>
        <v>2018</v>
      </c>
      <c r="O30" s="230">
        <f t="shared" ref="O30:P30" si="2">N30+1</f>
        <v>2019</v>
      </c>
      <c r="P30" s="230">
        <f t="shared" si="2"/>
        <v>2020</v>
      </c>
    </row>
    <row r="31" spans="1:16" ht="15.75" hidden="1" thickBot="1" x14ac:dyDescent="0.3">
      <c r="A31" s="58"/>
      <c r="B31" s="197">
        <v>2009</v>
      </c>
      <c r="C31" s="199">
        <f>IF(B7=2008,(C36-C30)/6,IF(B7=2010,0,0))</f>
        <v>0</v>
      </c>
      <c r="D31" s="200" t="str">
        <f t="shared" ref="D31:D42" si="3">IFERROR(IF(D$30&gt;B30,0,ROUND(1-D$45*(1-$C31),5)),"-")</f>
        <v>-</v>
      </c>
      <c r="E31" s="200">
        <f t="shared" ref="E31:E42" si="4">IFERROR(IF(E$30&gt;B30,0,ROUND(1-E$45*(1-$C31),5)),"-")</f>
        <v>0</v>
      </c>
      <c r="F31" s="200">
        <f>IFERROR(IF(F$30&gt;B30,0,ROUND(1-F$45*(1-$C31),5)),"-")</f>
        <v>0</v>
      </c>
      <c r="G31" s="200">
        <f t="shared" ref="G31:G35" si="5">IF(G$30&gt;B31,0,ROUND(1-G$45*(1-$C31),5))</f>
        <v>0</v>
      </c>
      <c r="H31" s="200">
        <f t="shared" ref="H31:H35" si="6">IF(H$30&gt;B31,0,ROUND(1-H$45*(1-$C31),5))</f>
        <v>0</v>
      </c>
      <c r="I31" s="200">
        <f t="shared" ref="I31:I35" si="7">IF(I$30&gt;B31,0,ROUND(1-I$45*(1-$C31),5))</f>
        <v>0</v>
      </c>
      <c r="J31" s="200">
        <f t="shared" ref="J31:J35" si="8">IF(J$30&gt;B31,0,ROUND(1-J$45*(1-$C31),5))</f>
        <v>0</v>
      </c>
      <c r="K31" s="200">
        <f t="shared" ref="K31:K35" si="9">IF(K$30&gt;B31,0,ROUND(1-K$45*(1-$C31),5))</f>
        <v>0</v>
      </c>
      <c r="L31" s="200">
        <f t="shared" ref="L31:L35" si="10">IF(L$30&gt;B31,0,ROUND(1-L$45*(1-$C31),5))</f>
        <v>0</v>
      </c>
      <c r="M31" s="200">
        <f t="shared" ref="M31:M35" si="11">IF(M$30&gt;B31,0,ROUND(1-M$45*(1-$C31),5))</f>
        <v>0</v>
      </c>
      <c r="N31" s="200">
        <f t="shared" ref="N31:N35" si="12">IF(N$30&gt;B31,0,ROUND(1-N$45*(1-$C31),5))</f>
        <v>0</v>
      </c>
      <c r="O31" s="200">
        <f t="shared" ref="O31:O35" si="13">IF(O$30&gt;B31,0,ROUND(1-O$45*(1-$C31),5))</f>
        <v>0</v>
      </c>
      <c r="P31" s="200">
        <f t="shared" ref="P31:P35" si="14">IF(P$30&gt;B31,0,ROUND(1-P$45*(1-$C31),5))</f>
        <v>0</v>
      </c>
    </row>
    <row r="32" spans="1:16" ht="15.75" hidden="1" thickBot="1" x14ac:dyDescent="0.3">
      <c r="A32" s="58"/>
      <c r="B32" s="197">
        <v>2010</v>
      </c>
      <c r="C32" s="199">
        <f>IF(B7=2008,(C36-C30)/3,IF(B7=2010,0,0))</f>
        <v>0</v>
      </c>
      <c r="D32" s="200" t="str">
        <f t="shared" si="3"/>
        <v>-</v>
      </c>
      <c r="E32" s="200" t="str">
        <f t="shared" si="4"/>
        <v>-</v>
      </c>
      <c r="F32" s="200">
        <f t="shared" ref="F32:F42" si="15">IFERROR(IF(F$30&gt;B31,0,ROUND(1-F$45*(1-$C32),5)),"-")</f>
        <v>0</v>
      </c>
      <c r="G32" s="200">
        <f t="shared" si="5"/>
        <v>0</v>
      </c>
      <c r="H32" s="200">
        <f t="shared" si="6"/>
        <v>0</v>
      </c>
      <c r="I32" s="200">
        <f t="shared" si="7"/>
        <v>0</v>
      </c>
      <c r="J32" s="200">
        <f t="shared" si="8"/>
        <v>0</v>
      </c>
      <c r="K32" s="200">
        <f t="shared" si="9"/>
        <v>0</v>
      </c>
      <c r="L32" s="200">
        <f t="shared" si="10"/>
        <v>0</v>
      </c>
      <c r="M32" s="200">
        <f t="shared" si="11"/>
        <v>0</v>
      </c>
      <c r="N32" s="200">
        <f t="shared" si="12"/>
        <v>0</v>
      </c>
      <c r="O32" s="200">
        <f t="shared" si="13"/>
        <v>0</v>
      </c>
      <c r="P32" s="200">
        <f t="shared" si="14"/>
        <v>0</v>
      </c>
    </row>
    <row r="33" spans="1:16" s="52" customFormat="1" ht="15.75" hidden="1" thickBot="1" x14ac:dyDescent="0.3">
      <c r="A33" s="58"/>
      <c r="B33" s="197">
        <v>2011</v>
      </c>
      <c r="C33" s="199">
        <f>IF(B7=2008,(C36-C30)/2,IF(B7=2010,(C36-C32)/4,0))</f>
        <v>0</v>
      </c>
      <c r="D33" s="200" t="str">
        <f t="shared" si="3"/>
        <v>-</v>
      </c>
      <c r="E33" s="200" t="str">
        <f t="shared" si="4"/>
        <v>-</v>
      </c>
      <c r="F33" s="200" t="str">
        <f t="shared" si="15"/>
        <v>-</v>
      </c>
      <c r="G33" s="200">
        <f t="shared" si="5"/>
        <v>0</v>
      </c>
      <c r="H33" s="200">
        <f t="shared" si="6"/>
        <v>0</v>
      </c>
      <c r="I33" s="200">
        <f t="shared" si="7"/>
        <v>0</v>
      </c>
      <c r="J33" s="200">
        <f t="shared" si="8"/>
        <v>0</v>
      </c>
      <c r="K33" s="200">
        <f t="shared" si="9"/>
        <v>0</v>
      </c>
      <c r="L33" s="200">
        <f t="shared" si="10"/>
        <v>0</v>
      </c>
      <c r="M33" s="200">
        <f t="shared" si="11"/>
        <v>0</v>
      </c>
      <c r="N33" s="200">
        <f t="shared" si="12"/>
        <v>0</v>
      </c>
      <c r="O33" s="200">
        <f t="shared" si="13"/>
        <v>0</v>
      </c>
      <c r="P33" s="200">
        <f t="shared" si="14"/>
        <v>0</v>
      </c>
    </row>
    <row r="34" spans="1:16" ht="15.75" hidden="1" thickBot="1" x14ac:dyDescent="0.3">
      <c r="A34" s="58"/>
      <c r="B34" s="197">
        <v>2012</v>
      </c>
      <c r="C34" s="199">
        <f>IF(B7=2008,(C36-C30)*2/3,IF(B7=2010,(C36-C32)/2,(C36-C33)/3))</f>
        <v>3.3333333333333335E-3</v>
      </c>
      <c r="D34" s="200" t="str">
        <f t="shared" si="3"/>
        <v>-</v>
      </c>
      <c r="E34" s="200" t="str">
        <f t="shared" si="4"/>
        <v>-</v>
      </c>
      <c r="F34" s="200" t="str">
        <f t="shared" si="15"/>
        <v>-</v>
      </c>
      <c r="G34" s="200">
        <f t="shared" si="5"/>
        <v>3.3300000000000001E-3</v>
      </c>
      <c r="H34" s="200">
        <f t="shared" si="6"/>
        <v>0</v>
      </c>
      <c r="I34" s="200">
        <f t="shared" si="7"/>
        <v>0</v>
      </c>
      <c r="J34" s="200">
        <f t="shared" si="8"/>
        <v>0</v>
      </c>
      <c r="K34" s="200">
        <f t="shared" si="9"/>
        <v>0</v>
      </c>
      <c r="L34" s="200">
        <f t="shared" si="10"/>
        <v>0</v>
      </c>
      <c r="M34" s="200">
        <f t="shared" si="11"/>
        <v>0</v>
      </c>
      <c r="N34" s="200">
        <f t="shared" si="12"/>
        <v>0</v>
      </c>
      <c r="O34" s="200">
        <f t="shared" si="13"/>
        <v>0</v>
      </c>
      <c r="P34" s="200">
        <f t="shared" si="14"/>
        <v>0</v>
      </c>
    </row>
    <row r="35" spans="1:16" s="52" customFormat="1" ht="15.75" hidden="1" thickBot="1" x14ac:dyDescent="0.3">
      <c r="A35" s="58"/>
      <c r="B35" s="197">
        <v>2013</v>
      </c>
      <c r="C35" s="199">
        <f>IF(B7=2008,(C36-C30)*5/6,IF(B7=2010,(C36-C32)*3/4,(C36-C33)*2/3))</f>
        <v>6.6666666666666671E-3</v>
      </c>
      <c r="D35" s="200" t="str">
        <f t="shared" si="3"/>
        <v>-</v>
      </c>
      <c r="E35" s="200" t="str">
        <f t="shared" si="4"/>
        <v>-</v>
      </c>
      <c r="F35" s="200" t="str">
        <f t="shared" si="15"/>
        <v>-</v>
      </c>
      <c r="G35" s="200">
        <f t="shared" si="5"/>
        <v>6.6699999999999997E-3</v>
      </c>
      <c r="H35" s="200">
        <f t="shared" si="6"/>
        <v>3.3400000000000001E-3</v>
      </c>
      <c r="I35" s="200">
        <f t="shared" si="7"/>
        <v>0</v>
      </c>
      <c r="J35" s="200">
        <f t="shared" si="8"/>
        <v>0</v>
      </c>
      <c r="K35" s="200">
        <f t="shared" si="9"/>
        <v>0</v>
      </c>
      <c r="L35" s="200">
        <f t="shared" si="10"/>
        <v>0</v>
      </c>
      <c r="M35" s="200">
        <f t="shared" si="11"/>
        <v>0</v>
      </c>
      <c r="N35" s="200">
        <f t="shared" si="12"/>
        <v>0</v>
      </c>
      <c r="O35" s="200">
        <f t="shared" si="13"/>
        <v>0</v>
      </c>
      <c r="P35" s="200">
        <f t="shared" si="14"/>
        <v>0</v>
      </c>
    </row>
    <row r="36" spans="1:16" ht="15.75" hidden="1" thickBot="1" x14ac:dyDescent="0.3">
      <c r="A36" s="58" t="s">
        <v>69</v>
      </c>
      <c r="B36" s="197">
        <v>2014</v>
      </c>
      <c r="C36" s="202">
        <f>ROUND(C12,5)</f>
        <v>0.01</v>
      </c>
      <c r="D36" s="200" t="str">
        <f t="shared" si="3"/>
        <v>-</v>
      </c>
      <c r="E36" s="200" t="str">
        <f t="shared" si="4"/>
        <v>-</v>
      </c>
      <c r="F36" s="200" t="str">
        <f t="shared" si="15"/>
        <v>-</v>
      </c>
      <c r="G36" s="200">
        <f>IF(G$30&gt;B36,0,ROUND(1-G$45*(1-$C36),5))</f>
        <v>0.01</v>
      </c>
      <c r="H36" s="200">
        <f>IF(H$30&gt;B36,0,ROUND(1-H$45*(1-$C36),5))</f>
        <v>6.6899999999999998E-3</v>
      </c>
      <c r="I36" s="200">
        <f>IF(I$30&gt;B36,0,ROUND(1-I$45*(1-$C36),5))</f>
        <v>3.3600000000000001E-3</v>
      </c>
      <c r="J36" s="200">
        <f>IF(J$30&gt;B36,0,ROUND(1-J$45*(1-$C36),5))</f>
        <v>0</v>
      </c>
      <c r="K36" s="200">
        <f>IF(K$30&gt;B36,0,ROUND(1-K$45*(1-$C36),5))</f>
        <v>0</v>
      </c>
      <c r="L36" s="200">
        <f>IF(L$30&gt;B36,0,ROUND(1-L$45*(1-$C36),5))</f>
        <v>0</v>
      </c>
      <c r="M36" s="200">
        <f>IF(M$30&gt;B36,0,ROUND(1-M$45*(1-$C36),5))</f>
        <v>0</v>
      </c>
      <c r="N36" s="200">
        <f>IF(N$30&gt;B36,0,ROUND(1-N$45*(1-$C36),5))</f>
        <v>0</v>
      </c>
      <c r="O36" s="200">
        <f>IF(O$30&gt;B36,0,ROUND(1-O$45*(1-$C36),5))</f>
        <v>0</v>
      </c>
      <c r="P36" s="200">
        <f>IF(P$30&gt;B36,0,ROUND(1-P$45*(1-$C36),5))</f>
        <v>0</v>
      </c>
    </row>
    <row r="37" spans="1:16" ht="15.75" hidden="1" thickBot="1" x14ac:dyDescent="0.3">
      <c r="A37" s="58"/>
      <c r="B37" s="197">
        <v>2015</v>
      </c>
      <c r="C37" s="199">
        <f>(C38-C36)/2+C36</f>
        <v>4.6665000000000005E-2</v>
      </c>
      <c r="D37" s="200" t="str">
        <f t="shared" si="3"/>
        <v>-</v>
      </c>
      <c r="E37" s="200" t="str">
        <f t="shared" si="4"/>
        <v>-</v>
      </c>
      <c r="F37" s="200" t="str">
        <f t="shared" si="15"/>
        <v>-</v>
      </c>
      <c r="G37" s="200">
        <f t="shared" ref="G37:G42" si="16">IF(G$30&gt;B37,0,ROUND(1-G$45*(1-$C37),5))</f>
        <v>4.6670000000000003E-2</v>
      </c>
      <c r="H37" s="200">
        <f t="shared" ref="H37:H42" si="17">IF(H$30&gt;B37,0,ROUND(1-H$45*(1-$C37),5))</f>
        <v>4.3479999999999998E-2</v>
      </c>
      <c r="I37" s="200">
        <f t="shared" ref="I37:I42" si="18">IF(I$30&gt;B37,0,ROUND(1-I$45*(1-$C37),5))</f>
        <v>4.027E-2</v>
      </c>
      <c r="J37" s="200">
        <f t="shared" ref="J37:J42" si="19">IF(J$30&gt;B37,0,ROUND(1-J$45*(1-$C37),5))</f>
        <v>3.7039999999999997E-2</v>
      </c>
      <c r="K37" s="200">
        <f t="shared" ref="K37:K42" si="20">IF(K$30&gt;B37,0,ROUND(1-K$45*(1-$C37),5))</f>
        <v>0</v>
      </c>
      <c r="L37" s="200">
        <f t="shared" ref="L37:L42" si="21">IF(L$30&gt;B37,0,ROUND(1-L$45*(1-$C37),5))</f>
        <v>0</v>
      </c>
      <c r="M37" s="200">
        <f t="shared" ref="M37:M42" si="22">IF(M$30&gt;B37,0,ROUND(1-M$45*(1-$C37),5))</f>
        <v>0</v>
      </c>
      <c r="N37" s="200">
        <f t="shared" ref="N37:N42" si="23">IF(N$30&gt;B37,0,ROUND(1-N$45*(1-$C37),5))</f>
        <v>0</v>
      </c>
      <c r="O37" s="200">
        <f t="shared" ref="O37:O42" si="24">IF(O$30&gt;B37,0,ROUND(1-O$45*(1-$C37),5))</f>
        <v>0</v>
      </c>
      <c r="P37" s="200">
        <f t="shared" ref="P37:P42" si="25">IF(P$30&gt;B37,0,ROUND(1-P$45*(1-$C37),5))</f>
        <v>0</v>
      </c>
    </row>
    <row r="38" spans="1:16" ht="15.75" hidden="1" thickBot="1" x14ac:dyDescent="0.3">
      <c r="A38" s="58" t="s">
        <v>70</v>
      </c>
      <c r="B38" s="197">
        <v>2016</v>
      </c>
      <c r="C38" s="202">
        <f>ROUND(C13,5)</f>
        <v>8.3330000000000001E-2</v>
      </c>
      <c r="D38" s="200" t="str">
        <f t="shared" si="3"/>
        <v>-</v>
      </c>
      <c r="E38" s="200" t="str">
        <f t="shared" si="4"/>
        <v>-</v>
      </c>
      <c r="F38" s="200" t="str">
        <f t="shared" si="15"/>
        <v>-</v>
      </c>
      <c r="G38" s="200">
        <f t="shared" si="16"/>
        <v>8.3330000000000001E-2</v>
      </c>
      <c r="H38" s="200">
        <f t="shared" si="17"/>
        <v>8.0259999999999998E-2</v>
      </c>
      <c r="I38" s="200">
        <f t="shared" si="18"/>
        <v>7.7179999999999999E-2</v>
      </c>
      <c r="J38" s="200">
        <f t="shared" si="19"/>
        <v>7.4069999999999997E-2</v>
      </c>
      <c r="K38" s="200">
        <f t="shared" si="20"/>
        <v>3.8460000000000001E-2</v>
      </c>
      <c r="L38" s="200">
        <f t="shared" si="21"/>
        <v>0</v>
      </c>
      <c r="M38" s="200">
        <f t="shared" si="22"/>
        <v>0</v>
      </c>
      <c r="N38" s="200">
        <f t="shared" si="23"/>
        <v>0</v>
      </c>
      <c r="O38" s="200">
        <f t="shared" si="24"/>
        <v>0</v>
      </c>
      <c r="P38" s="200">
        <f t="shared" si="25"/>
        <v>0</v>
      </c>
    </row>
    <row r="39" spans="1:16" ht="15.75" hidden="1" thickBot="1" x14ac:dyDescent="0.3">
      <c r="A39" s="58"/>
      <c r="B39" s="197">
        <v>2017</v>
      </c>
      <c r="C39" s="199">
        <f>(C40-C38)/2+C38</f>
        <v>0.11041500000000001</v>
      </c>
      <c r="D39" s="200" t="str">
        <f t="shared" si="3"/>
        <v>-</v>
      </c>
      <c r="E39" s="200" t="str">
        <f t="shared" si="4"/>
        <v>-</v>
      </c>
      <c r="F39" s="200" t="str">
        <f t="shared" si="15"/>
        <v>-</v>
      </c>
      <c r="G39" s="200">
        <f t="shared" si="16"/>
        <v>0.11042</v>
      </c>
      <c r="H39" s="200">
        <f t="shared" si="17"/>
        <v>0.10743999999999999</v>
      </c>
      <c r="I39" s="200">
        <f t="shared" si="18"/>
        <v>0.10444000000000001</v>
      </c>
      <c r="J39" s="200">
        <f t="shared" si="19"/>
        <v>0.10143000000000001</v>
      </c>
      <c r="K39" s="200">
        <f t="shared" si="20"/>
        <v>6.6869999999999999E-2</v>
      </c>
      <c r="L39" s="200">
        <f t="shared" si="21"/>
        <v>2.955E-2</v>
      </c>
      <c r="M39" s="200">
        <f t="shared" si="22"/>
        <v>0</v>
      </c>
      <c r="N39" s="200">
        <f t="shared" si="23"/>
        <v>0</v>
      </c>
      <c r="O39" s="200">
        <f t="shared" si="24"/>
        <v>0</v>
      </c>
      <c r="P39" s="200">
        <f t="shared" si="25"/>
        <v>0</v>
      </c>
    </row>
    <row r="40" spans="1:16" ht="15.75" hidden="1" thickBot="1" x14ac:dyDescent="0.3">
      <c r="A40" s="58" t="s">
        <v>71</v>
      </c>
      <c r="B40" s="197">
        <v>2018</v>
      </c>
      <c r="C40" s="202">
        <f>ROUND(C14,5)</f>
        <v>0.13750000000000001</v>
      </c>
      <c r="D40" s="200" t="str">
        <f t="shared" si="3"/>
        <v>-</v>
      </c>
      <c r="E40" s="200" t="str">
        <f t="shared" si="4"/>
        <v>-</v>
      </c>
      <c r="F40" s="200" t="str">
        <f t="shared" si="15"/>
        <v>-</v>
      </c>
      <c r="G40" s="200">
        <f t="shared" si="16"/>
        <v>0.13750000000000001</v>
      </c>
      <c r="H40" s="200">
        <f t="shared" si="17"/>
        <v>0.13461999999999999</v>
      </c>
      <c r="I40" s="200">
        <f t="shared" si="18"/>
        <v>0.13170999999999999</v>
      </c>
      <c r="J40" s="200">
        <f t="shared" si="19"/>
        <v>0.12878999999999999</v>
      </c>
      <c r="K40" s="200">
        <f t="shared" si="20"/>
        <v>9.5280000000000004E-2</v>
      </c>
      <c r="L40" s="200">
        <f t="shared" si="21"/>
        <v>5.9089999999999997E-2</v>
      </c>
      <c r="M40" s="200">
        <f t="shared" si="22"/>
        <v>3.0450000000000001E-2</v>
      </c>
      <c r="N40" s="200">
        <f t="shared" si="23"/>
        <v>0</v>
      </c>
      <c r="O40" s="200">
        <f t="shared" si="24"/>
        <v>0</v>
      </c>
      <c r="P40" s="200">
        <f t="shared" si="25"/>
        <v>0</v>
      </c>
    </row>
    <row r="41" spans="1:16" ht="15.75" hidden="1" thickBot="1" x14ac:dyDescent="0.3">
      <c r="A41" s="58"/>
      <c r="B41" s="197">
        <v>2019</v>
      </c>
      <c r="C41" s="199">
        <f>(C42-C40)/2+C40</f>
        <v>0.14374999999999999</v>
      </c>
      <c r="D41" s="200" t="str">
        <f t="shared" si="3"/>
        <v>-</v>
      </c>
      <c r="E41" s="200" t="str">
        <f t="shared" si="4"/>
        <v>-</v>
      </c>
      <c r="F41" s="200" t="str">
        <f t="shared" si="15"/>
        <v>-</v>
      </c>
      <c r="G41" s="200">
        <f t="shared" si="16"/>
        <v>0.14374999999999999</v>
      </c>
      <c r="H41" s="200">
        <f t="shared" si="17"/>
        <v>0.14088999999999999</v>
      </c>
      <c r="I41" s="200">
        <f t="shared" si="18"/>
        <v>0.13800000000000001</v>
      </c>
      <c r="J41" s="200">
        <f t="shared" si="19"/>
        <v>0.1351</v>
      </c>
      <c r="K41" s="200">
        <f t="shared" si="20"/>
        <v>0.10184</v>
      </c>
      <c r="L41" s="200">
        <f t="shared" si="21"/>
        <v>6.5909999999999996E-2</v>
      </c>
      <c r="M41" s="200">
        <f t="shared" si="22"/>
        <v>3.7470000000000003E-2</v>
      </c>
      <c r="N41" s="200">
        <f t="shared" si="23"/>
        <v>7.2500000000000004E-3</v>
      </c>
      <c r="O41" s="200">
        <f t="shared" si="24"/>
        <v>0</v>
      </c>
      <c r="P41" s="200">
        <f t="shared" si="25"/>
        <v>0</v>
      </c>
    </row>
    <row r="42" spans="1:16" ht="15.75" hidden="1" thickBot="1" x14ac:dyDescent="0.3">
      <c r="A42" s="58" t="s">
        <v>72</v>
      </c>
      <c r="B42" s="197">
        <v>2020</v>
      </c>
      <c r="C42" s="202">
        <f>ROUND(C15,5)</f>
        <v>0.15</v>
      </c>
      <c r="D42" s="200" t="str">
        <f t="shared" si="3"/>
        <v>-</v>
      </c>
      <c r="E42" s="200" t="str">
        <f t="shared" si="4"/>
        <v>-</v>
      </c>
      <c r="F42" s="200" t="str">
        <f t="shared" si="15"/>
        <v>-</v>
      </c>
      <c r="G42" s="200">
        <f t="shared" si="16"/>
        <v>0.15</v>
      </c>
      <c r="H42" s="200">
        <f t="shared" si="17"/>
        <v>0.14716000000000001</v>
      </c>
      <c r="I42" s="200">
        <f t="shared" si="18"/>
        <v>0.14430000000000001</v>
      </c>
      <c r="J42" s="200">
        <f t="shared" si="19"/>
        <v>0.14141000000000001</v>
      </c>
      <c r="K42" s="200">
        <f t="shared" si="20"/>
        <v>0.10839</v>
      </c>
      <c r="L42" s="200">
        <f t="shared" si="21"/>
        <v>7.2730000000000003E-2</v>
      </c>
      <c r="M42" s="200">
        <f t="shared" si="22"/>
        <v>4.4499999999999998E-2</v>
      </c>
      <c r="N42" s="200">
        <f t="shared" si="23"/>
        <v>1.4489999999999999E-2</v>
      </c>
      <c r="O42" s="200">
        <f t="shared" si="24"/>
        <v>7.3000000000000001E-3</v>
      </c>
      <c r="P42" s="200">
        <f t="shared" si="25"/>
        <v>0</v>
      </c>
    </row>
    <row r="43" spans="1:16" ht="52.5" hidden="1" customHeight="1" thickBot="1" x14ac:dyDescent="0.3">
      <c r="A43" s="188"/>
      <c r="B43" s="201"/>
      <c r="C43" s="201"/>
      <c r="D43" s="201"/>
      <c r="E43" s="83"/>
      <c r="F43" s="83"/>
      <c r="G43" s="83"/>
      <c r="H43" s="83"/>
      <c r="I43" s="83"/>
      <c r="J43" s="83"/>
      <c r="K43" s="83"/>
      <c r="L43" s="83"/>
      <c r="M43" s="83"/>
      <c r="N43" s="83"/>
      <c r="O43" s="83"/>
    </row>
    <row r="44" spans="1:16" ht="45.75" hidden="1" thickBot="1" x14ac:dyDescent="0.3">
      <c r="A44" s="88" t="s">
        <v>168</v>
      </c>
      <c r="B44" s="197"/>
      <c r="C44" s="200"/>
      <c r="D44" s="200" t="str">
        <f>IF(OR(E44=0,E44="-"),"-",LOOKUP(D30,$B30:$B42,$C30:$C42))</f>
        <v>-</v>
      </c>
      <c r="E44" s="200" t="str">
        <f t="shared" ref="E44:G44" si="26">IF(OR(F44=0,F44="-"),"-",LOOKUP(E30,$B30:$B42,$C30:$C42))</f>
        <v>-</v>
      </c>
      <c r="F44" s="200" t="str">
        <f t="shared" si="26"/>
        <v>-</v>
      </c>
      <c r="G44" s="200">
        <f t="shared" si="26"/>
        <v>0</v>
      </c>
      <c r="H44" s="200">
        <f t="shared" ref="H44:P44" si="27">LOOKUP(H30,$B30:$B42,$C30:$C42)</f>
        <v>3.3333333333333335E-3</v>
      </c>
      <c r="I44" s="200">
        <f t="shared" si="27"/>
        <v>6.6666666666666671E-3</v>
      </c>
      <c r="J44" s="200">
        <f t="shared" si="27"/>
        <v>0.01</v>
      </c>
      <c r="K44" s="200">
        <f t="shared" si="27"/>
        <v>4.6665000000000005E-2</v>
      </c>
      <c r="L44" s="200">
        <f t="shared" si="27"/>
        <v>8.3330000000000001E-2</v>
      </c>
      <c r="M44" s="200">
        <f t="shared" si="27"/>
        <v>0.11041500000000001</v>
      </c>
      <c r="N44" s="200">
        <f t="shared" si="27"/>
        <v>0.13750000000000001</v>
      </c>
      <c r="O44" s="200">
        <f t="shared" si="27"/>
        <v>0.14374999999999999</v>
      </c>
      <c r="P44" s="200">
        <f t="shared" si="27"/>
        <v>0.15</v>
      </c>
    </row>
    <row r="45" spans="1:16" ht="45.75" hidden="1" thickBot="1" x14ac:dyDescent="0.3">
      <c r="A45" s="88" t="s">
        <v>169</v>
      </c>
      <c r="B45" s="197"/>
      <c r="C45" s="197"/>
      <c r="D45" s="197" t="str">
        <f>IFERROR(1/(1-D44),"-")</f>
        <v>-</v>
      </c>
      <c r="E45" s="197" t="str">
        <f t="shared" ref="E45:G45" si="28">IFERROR(1/(1-E44),"-")</f>
        <v>-</v>
      </c>
      <c r="F45" s="197" t="str">
        <f t="shared" si="28"/>
        <v>-</v>
      </c>
      <c r="G45" s="197">
        <f t="shared" si="28"/>
        <v>1</v>
      </c>
      <c r="H45" s="197">
        <f t="shared" ref="H45:K45" si="29">1/(1-H44)</f>
        <v>1.0033444816053512</v>
      </c>
      <c r="I45" s="197">
        <f t="shared" si="29"/>
        <v>1.0067114093959733</v>
      </c>
      <c r="J45" s="197">
        <f t="shared" si="29"/>
        <v>1.0101010101010102</v>
      </c>
      <c r="K45" s="197">
        <f t="shared" si="29"/>
        <v>1.0489492151237498</v>
      </c>
      <c r="L45" s="197">
        <f t="shared" ref="L45:N45" si="30">1/(1-L44)</f>
        <v>1.0909051239813674</v>
      </c>
      <c r="M45" s="197">
        <f t="shared" si="30"/>
        <v>1.1241196737804706</v>
      </c>
      <c r="N45" s="197">
        <f t="shared" si="30"/>
        <v>1.1594202898550725</v>
      </c>
      <c r="O45" s="197">
        <f t="shared" ref="O45:P45" si="31">1/(1-O44)</f>
        <v>1.1678832116788322</v>
      </c>
      <c r="P45" s="197">
        <f t="shared" si="31"/>
        <v>1.1764705882352942</v>
      </c>
    </row>
    <row r="46" spans="1:16" hidden="1" x14ac:dyDescent="0.25">
      <c r="A46" s="191"/>
      <c r="B46" s="196"/>
      <c r="C46" s="196"/>
      <c r="D46" s="196"/>
      <c r="E46" s="83"/>
      <c r="F46" s="83"/>
      <c r="G46" s="83"/>
      <c r="H46" s="83"/>
      <c r="I46" s="83"/>
      <c r="J46" s="83"/>
      <c r="K46" s="83"/>
      <c r="L46" s="83"/>
      <c r="M46" s="83"/>
      <c r="N46" s="83"/>
      <c r="O46" s="83"/>
    </row>
    <row r="47" spans="1:16" hidden="1" x14ac:dyDescent="0.25">
      <c r="B47" s="83"/>
      <c r="C47" s="83"/>
      <c r="D47" s="83"/>
      <c r="E47" s="83"/>
      <c r="F47" s="83"/>
      <c r="G47" s="83"/>
      <c r="H47" s="83"/>
      <c r="I47" s="83"/>
      <c r="J47" s="83"/>
      <c r="K47" s="83"/>
      <c r="L47" s="83"/>
      <c r="M47" s="83"/>
      <c r="N47" s="83"/>
      <c r="O47" s="83"/>
    </row>
    <row r="48" spans="1:16" x14ac:dyDescent="0.25">
      <c r="B48" s="83"/>
      <c r="C48" s="83"/>
      <c r="D48" s="83"/>
      <c r="E48" s="83"/>
      <c r="F48" s="83"/>
      <c r="G48" s="83"/>
      <c r="H48" s="83"/>
      <c r="I48" s="83"/>
      <c r="J48" s="83"/>
      <c r="K48" s="83"/>
      <c r="L48" s="83"/>
      <c r="M48" s="83"/>
      <c r="N48" s="83"/>
      <c r="O48" s="83"/>
    </row>
    <row r="49" spans="2:15" x14ac:dyDescent="0.25">
      <c r="B49" s="83"/>
      <c r="C49" s="83"/>
      <c r="D49" s="83"/>
      <c r="E49" s="83"/>
      <c r="F49" s="83"/>
      <c r="G49" s="83"/>
      <c r="H49" s="83"/>
      <c r="I49" s="83"/>
      <c r="J49" s="83"/>
      <c r="K49" s="83"/>
      <c r="L49" s="83"/>
      <c r="M49" s="83"/>
      <c r="N49" s="83"/>
      <c r="O49" s="83"/>
    </row>
    <row r="50" spans="2:15" x14ac:dyDescent="0.25">
      <c r="B50" s="83"/>
      <c r="C50" s="83"/>
      <c r="D50" s="83"/>
      <c r="E50" s="83"/>
      <c r="F50" s="83"/>
      <c r="G50" s="83"/>
      <c r="H50" s="83"/>
      <c r="I50" s="83"/>
      <c r="J50" s="83"/>
      <c r="K50" s="83"/>
      <c r="L50" s="83"/>
      <c r="M50" s="83"/>
      <c r="N50" s="83"/>
      <c r="O50" s="83"/>
    </row>
    <row r="51" spans="2:15" x14ac:dyDescent="0.25">
      <c r="B51" s="83"/>
      <c r="C51" s="83"/>
      <c r="D51" s="83"/>
      <c r="E51" s="83"/>
      <c r="F51" s="83"/>
      <c r="G51" s="83"/>
      <c r="H51" s="83"/>
      <c r="I51" s="83"/>
      <c r="J51" s="83"/>
      <c r="K51" s="83"/>
      <c r="L51" s="83"/>
      <c r="M51" s="83"/>
      <c r="N51" s="83"/>
      <c r="O51" s="83"/>
    </row>
    <row r="52" spans="2:15" x14ac:dyDescent="0.25">
      <c r="B52" s="83"/>
      <c r="C52" s="83"/>
      <c r="D52" s="83"/>
      <c r="E52" s="83"/>
      <c r="F52" s="83"/>
      <c r="G52" s="83"/>
      <c r="H52" s="83"/>
      <c r="I52" s="83"/>
      <c r="J52" s="83"/>
      <c r="K52" s="83"/>
      <c r="L52" s="83"/>
      <c r="M52" s="83"/>
      <c r="N52" s="83"/>
      <c r="O52" s="83"/>
    </row>
    <row r="53" spans="2:15" x14ac:dyDescent="0.25">
      <c r="B53" s="83"/>
      <c r="C53" s="83"/>
      <c r="D53" s="83"/>
      <c r="E53" s="83"/>
      <c r="F53" s="83"/>
      <c r="G53" s="83"/>
      <c r="H53" s="83"/>
      <c r="I53" s="83"/>
      <c r="J53" s="83"/>
      <c r="K53" s="83"/>
      <c r="L53" s="83"/>
      <c r="M53" s="83"/>
      <c r="N53" s="83"/>
      <c r="O53" s="83"/>
    </row>
  </sheetData>
  <sheetProtection password="CF99" sheet="1" objects="1" scenarios="1"/>
  <mergeCells count="49">
    <mergeCell ref="D29:P29"/>
    <mergeCell ref="B25:C25"/>
    <mergeCell ref="B26:C26"/>
    <mergeCell ref="F26:G26"/>
    <mergeCell ref="H24:L24"/>
    <mergeCell ref="B24:C24"/>
    <mergeCell ref="H25:L25"/>
    <mergeCell ref="H26:L26"/>
    <mergeCell ref="D25:E25"/>
    <mergeCell ref="F24:G24"/>
    <mergeCell ref="F25:G25"/>
    <mergeCell ref="D26:E26"/>
    <mergeCell ref="D24:E24"/>
    <mergeCell ref="H23:L23"/>
    <mergeCell ref="B23:C23"/>
    <mergeCell ref="H20:L20"/>
    <mergeCell ref="F22:G22"/>
    <mergeCell ref="F23:G23"/>
    <mergeCell ref="H21:L21"/>
    <mergeCell ref="D22:E22"/>
    <mergeCell ref="B22:C22"/>
    <mergeCell ref="D23:E23"/>
    <mergeCell ref="B20:C20"/>
    <mergeCell ref="B21:C21"/>
    <mergeCell ref="H18:L18"/>
    <mergeCell ref="H19:L19"/>
    <mergeCell ref="H22:L22"/>
    <mergeCell ref="A1:E1"/>
    <mergeCell ref="A2:E2"/>
    <mergeCell ref="A3:E3"/>
    <mergeCell ref="F17:G17"/>
    <mergeCell ref="F18:G18"/>
    <mergeCell ref="B17:C17"/>
    <mergeCell ref="B18:C18"/>
    <mergeCell ref="D10:O10"/>
    <mergeCell ref="H17:L17"/>
    <mergeCell ref="F19:G19"/>
    <mergeCell ref="F20:G20"/>
    <mergeCell ref="F21:G21"/>
    <mergeCell ref="A23:A25"/>
    <mergeCell ref="A19:A22"/>
    <mergeCell ref="A4:E4"/>
    <mergeCell ref="A5:E5"/>
    <mergeCell ref="D17:E17"/>
    <mergeCell ref="D18:E18"/>
    <mergeCell ref="D19:E19"/>
    <mergeCell ref="D20:E20"/>
    <mergeCell ref="D21:E21"/>
    <mergeCell ref="B19:C19"/>
  </mergeCells>
  <conditionalFormatting sqref="B30">
    <cfRule type="cellIs" dxfId="1141" priority="4" stopIfTrue="1" operator="equal">
      <formula>"Yes"</formula>
    </cfRule>
  </conditionalFormatting>
  <conditionalFormatting sqref="B7:B8">
    <cfRule type="cellIs" dxfId="1140" priority="3" stopIfTrue="1" operator="equal">
      <formula>"Yes"</formula>
    </cfRule>
  </conditionalFormatting>
  <conditionalFormatting sqref="F4">
    <cfRule type="cellIs" dxfId="1139" priority="1" stopIfTrue="1" operator="equal">
      <formula>"Yes"</formula>
    </cfRule>
  </conditionalFormatting>
  <pageMargins left="0.70866141732283472" right="0.70866141732283472" top="0.74803149606299213" bottom="0.74803149606299213" header="0.31496062992125984" footer="0.31496062992125984"/>
  <pageSetup paperSize="8" scale="78" orientation="landscape" cellComments="asDisplayed"/>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CR77"/>
  <sheetViews>
    <sheetView zoomScale="80" zoomScaleNormal="80" workbookViewId="0">
      <pane xSplit="1" topLeftCell="B1" activePane="topRight" state="frozen"/>
      <selection pane="topRight"/>
    </sheetView>
  </sheetViews>
  <sheetFormatPr defaultRowHeight="15" x14ac:dyDescent="0.25"/>
  <cols>
    <col min="1" max="1" width="69.7109375" customWidth="1"/>
    <col min="2" max="22" width="29.7109375" customWidth="1"/>
    <col min="23" max="94" width="30.7109375" customWidth="1"/>
    <col min="95" max="95" width="29.7109375" customWidth="1"/>
  </cols>
  <sheetData>
    <row r="1" spans="1:96" ht="30.75" thickBot="1" x14ac:dyDescent="0.3">
      <c r="A1" s="173" t="s">
        <v>146</v>
      </c>
      <c r="B1" s="85" t="s">
        <v>60</v>
      </c>
      <c r="C1" s="118"/>
      <c r="D1" s="118"/>
      <c r="E1" s="124"/>
      <c r="F1" s="118"/>
      <c r="G1" s="118"/>
      <c r="H1" s="124"/>
      <c r="I1" s="118"/>
      <c r="J1" s="118"/>
      <c r="K1" s="124"/>
      <c r="L1" s="118"/>
      <c r="M1" s="118"/>
      <c r="N1" s="124"/>
      <c r="O1" s="118"/>
      <c r="P1" s="118"/>
      <c r="Q1" s="124"/>
      <c r="R1" s="118"/>
      <c r="S1" s="118"/>
      <c r="T1" s="124"/>
      <c r="U1" s="118"/>
      <c r="V1" s="118"/>
      <c r="W1" s="124"/>
      <c r="X1" s="118"/>
      <c r="Y1" s="118"/>
      <c r="Z1" s="124"/>
      <c r="AA1" s="118"/>
      <c r="AB1" s="118"/>
      <c r="AC1" s="124"/>
      <c r="AD1" s="118"/>
      <c r="AE1" s="118"/>
      <c r="AF1" s="124"/>
      <c r="AG1" s="118"/>
      <c r="AH1" s="118"/>
      <c r="AI1" s="124"/>
      <c r="AJ1" s="118"/>
      <c r="AK1" s="118"/>
      <c r="AL1" s="124"/>
      <c r="AM1" s="118"/>
      <c r="AN1" s="118"/>
      <c r="AO1" s="124"/>
      <c r="AP1" s="118"/>
      <c r="AQ1" s="118"/>
      <c r="AR1" s="124"/>
      <c r="AS1" s="118"/>
      <c r="AT1" s="118"/>
      <c r="AU1" s="124"/>
      <c r="AV1" s="118"/>
      <c r="AW1" s="118"/>
      <c r="AX1" s="124"/>
      <c r="AY1" s="118"/>
      <c r="AZ1" s="118"/>
      <c r="BA1" s="124"/>
      <c r="BB1" s="118"/>
      <c r="BC1" s="118"/>
      <c r="BD1" s="124"/>
      <c r="BE1" s="118"/>
      <c r="BF1" s="118"/>
      <c r="BG1" s="124"/>
      <c r="BH1" s="118"/>
      <c r="BI1" s="118"/>
      <c r="BJ1" s="124"/>
      <c r="BK1" s="118"/>
      <c r="BL1" s="118"/>
      <c r="BM1" s="124"/>
      <c r="BN1" s="118"/>
      <c r="BO1" s="118"/>
      <c r="BP1" s="124"/>
      <c r="BQ1" s="118"/>
      <c r="BR1" s="118"/>
      <c r="BS1" s="124"/>
      <c r="BT1" s="118"/>
      <c r="BU1" s="118"/>
      <c r="BV1" s="124"/>
      <c r="BW1" s="118"/>
      <c r="BX1" s="118"/>
      <c r="BY1" s="124"/>
      <c r="BZ1" s="118"/>
      <c r="CA1" s="118"/>
      <c r="CB1" s="124"/>
      <c r="CC1" s="118"/>
      <c r="CD1" s="118"/>
      <c r="CE1" s="124"/>
      <c r="CF1" s="118"/>
      <c r="CG1" s="118"/>
      <c r="CH1" s="124"/>
      <c r="CI1" s="118"/>
      <c r="CJ1" s="118"/>
      <c r="CK1" s="124"/>
      <c r="CL1" s="118"/>
      <c r="CM1" s="118"/>
      <c r="CN1" s="124"/>
      <c r="CO1" s="118"/>
      <c r="CP1" s="118"/>
      <c r="CQ1" s="118"/>
      <c r="CR1" s="119"/>
    </row>
    <row r="2" spans="1:96" ht="21" thickBot="1" x14ac:dyDescent="0.35">
      <c r="A2" s="125" t="s">
        <v>98</v>
      </c>
      <c r="B2" s="58" t="s">
        <v>61</v>
      </c>
      <c r="C2" s="105"/>
      <c r="D2" s="160" t="str">
        <f>'Instructions '!A58</f>
        <v>Workbook Version: OM Issue 6.1 Data Centres</v>
      </c>
      <c r="E2" s="126"/>
      <c r="F2" s="105"/>
      <c r="G2" s="105"/>
      <c r="H2" s="126"/>
      <c r="I2" s="105"/>
      <c r="J2" s="105"/>
      <c r="K2" s="126"/>
      <c r="L2" s="105"/>
      <c r="M2" s="105"/>
      <c r="N2" s="126"/>
      <c r="O2" s="105"/>
      <c r="P2" s="105"/>
      <c r="Q2" s="126"/>
      <c r="R2" s="105"/>
      <c r="S2" s="105"/>
      <c r="T2" s="126"/>
      <c r="U2" s="105"/>
      <c r="V2" s="105"/>
      <c r="W2" s="126"/>
      <c r="X2" s="105"/>
      <c r="Y2" s="105"/>
      <c r="Z2" s="126"/>
      <c r="AA2" s="105"/>
      <c r="AB2" s="105"/>
      <c r="AC2" s="126"/>
      <c r="AD2" s="105"/>
      <c r="AE2" s="105"/>
      <c r="AF2" s="126"/>
      <c r="AG2" s="105"/>
      <c r="AH2" s="105"/>
      <c r="AI2" s="126"/>
      <c r="AJ2" s="105"/>
      <c r="AK2" s="105"/>
      <c r="AL2" s="126"/>
      <c r="AM2" s="105"/>
      <c r="AN2" s="105"/>
      <c r="AO2" s="126"/>
      <c r="AP2" s="105"/>
      <c r="AQ2" s="105"/>
      <c r="AR2" s="126"/>
      <c r="AS2" s="105"/>
      <c r="AT2" s="105"/>
      <c r="AU2" s="126"/>
      <c r="AV2" s="105"/>
      <c r="AW2" s="105"/>
      <c r="AX2" s="126"/>
      <c r="AY2" s="105"/>
      <c r="AZ2" s="105"/>
      <c r="BA2" s="126"/>
      <c r="BB2" s="105"/>
      <c r="BC2" s="105"/>
      <c r="BD2" s="126"/>
      <c r="BE2" s="105"/>
      <c r="BF2" s="105"/>
      <c r="BG2" s="126"/>
      <c r="BH2" s="105"/>
      <c r="BI2" s="105"/>
      <c r="BJ2" s="126"/>
      <c r="BK2" s="105"/>
      <c r="BL2" s="105"/>
      <c r="BM2" s="126"/>
      <c r="BN2" s="105"/>
      <c r="BO2" s="105"/>
      <c r="BP2" s="126"/>
      <c r="BQ2" s="105"/>
      <c r="BR2" s="105"/>
      <c r="BS2" s="126"/>
      <c r="BT2" s="105"/>
      <c r="BU2" s="105"/>
      <c r="BV2" s="126"/>
      <c r="BW2" s="105"/>
      <c r="BX2" s="105"/>
      <c r="BY2" s="126"/>
      <c r="BZ2" s="105"/>
      <c r="CA2" s="105"/>
      <c r="CB2" s="126"/>
      <c r="CC2" s="105"/>
      <c r="CD2" s="105"/>
      <c r="CE2" s="126"/>
      <c r="CF2" s="105"/>
      <c r="CG2" s="105"/>
      <c r="CH2" s="126"/>
      <c r="CI2" s="105"/>
      <c r="CJ2" s="105"/>
      <c r="CK2" s="126"/>
      <c r="CL2" s="105"/>
      <c r="CM2" s="105"/>
      <c r="CN2" s="126"/>
      <c r="CO2" s="105"/>
      <c r="CP2" s="105"/>
      <c r="CQ2" s="105"/>
      <c r="CR2" s="106"/>
    </row>
    <row r="3" spans="1:96" ht="21" thickBot="1" x14ac:dyDescent="0.35">
      <c r="A3" s="447" t="s">
        <v>239</v>
      </c>
      <c r="B3" s="59" t="s">
        <v>62</v>
      </c>
      <c r="C3" s="105"/>
      <c r="D3" s="160" t="str">
        <f>'Instructions '!$A$59</f>
        <v>Workbook date: 4/5/17 (includes stringency test)</v>
      </c>
      <c r="E3" s="127"/>
      <c r="F3" s="105"/>
      <c r="G3" s="105"/>
      <c r="H3" s="127"/>
      <c r="I3" s="105"/>
      <c r="J3" s="105"/>
      <c r="K3" s="127"/>
      <c r="L3" s="105"/>
      <c r="M3" s="105"/>
      <c r="N3" s="127"/>
      <c r="O3" s="105"/>
      <c r="P3" s="105"/>
      <c r="Q3" s="127"/>
      <c r="R3" s="105"/>
      <c r="S3" s="105"/>
      <c r="T3" s="127"/>
      <c r="U3" s="105"/>
      <c r="V3" s="105"/>
      <c r="W3" s="174"/>
      <c r="X3" s="105"/>
      <c r="Y3" s="105"/>
      <c r="Z3" s="174"/>
      <c r="AA3" s="105"/>
      <c r="AB3" s="105"/>
      <c r="AC3" s="174"/>
      <c r="AD3" s="105"/>
      <c r="AE3" s="105"/>
      <c r="AF3" s="174"/>
      <c r="AG3" s="105"/>
      <c r="AH3" s="105"/>
      <c r="AI3" s="174"/>
      <c r="AJ3" s="105"/>
      <c r="AK3" s="105"/>
      <c r="AL3" s="174"/>
      <c r="AM3" s="105"/>
      <c r="AN3" s="105"/>
      <c r="AO3" s="174"/>
      <c r="AP3" s="105"/>
      <c r="AQ3" s="105"/>
      <c r="AR3" s="174"/>
      <c r="AS3" s="105"/>
      <c r="AT3" s="105"/>
      <c r="AU3" s="174"/>
      <c r="AV3" s="105"/>
      <c r="AW3" s="105"/>
      <c r="AX3" s="174"/>
      <c r="AY3" s="105"/>
      <c r="AZ3" s="105"/>
      <c r="BA3" s="174"/>
      <c r="BB3" s="105"/>
      <c r="BC3" s="105"/>
      <c r="BD3" s="174"/>
      <c r="BE3" s="105"/>
      <c r="BF3" s="105"/>
      <c r="BG3" s="174"/>
      <c r="BH3" s="105"/>
      <c r="BI3" s="105"/>
      <c r="BJ3" s="174"/>
      <c r="BK3" s="105"/>
      <c r="BL3" s="105"/>
      <c r="BM3" s="174"/>
      <c r="BN3" s="105"/>
      <c r="BO3" s="105"/>
      <c r="BP3" s="174"/>
      <c r="BQ3" s="105"/>
      <c r="BR3" s="105"/>
      <c r="BS3" s="174"/>
      <c r="BT3" s="105"/>
      <c r="BU3" s="105"/>
      <c r="BV3" s="174"/>
      <c r="BW3" s="105"/>
      <c r="BX3" s="105"/>
      <c r="BY3" s="174"/>
      <c r="BZ3" s="105"/>
      <c r="CA3" s="105"/>
      <c r="CB3" s="174"/>
      <c r="CC3" s="105"/>
      <c r="CD3" s="105"/>
      <c r="CE3" s="174"/>
      <c r="CF3" s="105"/>
      <c r="CG3" s="105"/>
      <c r="CH3" s="174"/>
      <c r="CI3" s="105"/>
      <c r="CJ3" s="105"/>
      <c r="CK3" s="174"/>
      <c r="CL3" s="105"/>
      <c r="CM3" s="105"/>
      <c r="CN3" s="174"/>
      <c r="CO3" s="105"/>
      <c r="CP3" s="105"/>
      <c r="CQ3" s="105"/>
      <c r="CR3" s="106"/>
    </row>
    <row r="4" spans="1:96" ht="15.75" thickBot="1" x14ac:dyDescent="0.3">
      <c r="A4" s="447"/>
      <c r="B4" s="128" t="s">
        <v>63</v>
      </c>
      <c r="C4" s="105"/>
      <c r="D4" s="105"/>
      <c r="E4" s="129"/>
      <c r="F4" s="105"/>
      <c r="G4" s="105"/>
      <c r="H4" s="129"/>
      <c r="I4" s="105"/>
      <c r="J4" s="105"/>
      <c r="K4" s="129"/>
      <c r="L4" s="105"/>
      <c r="M4" s="105"/>
      <c r="N4" s="129"/>
      <c r="O4" s="105"/>
      <c r="P4" s="105"/>
      <c r="Q4" s="129"/>
      <c r="R4" s="105"/>
      <c r="S4" s="105"/>
      <c r="T4" s="129"/>
      <c r="U4" s="105"/>
      <c r="V4" s="105"/>
      <c r="W4" s="129"/>
      <c r="X4" s="105"/>
      <c r="Y4" s="105"/>
      <c r="Z4" s="129"/>
      <c r="AA4" s="105"/>
      <c r="AB4" s="105"/>
      <c r="AC4" s="129"/>
      <c r="AD4" s="105"/>
      <c r="AE4" s="105"/>
      <c r="AF4" s="129"/>
      <c r="AG4" s="105"/>
      <c r="AH4" s="105"/>
      <c r="AI4" s="129"/>
      <c r="AJ4" s="105"/>
      <c r="AK4" s="105"/>
      <c r="AL4" s="129"/>
      <c r="AM4" s="105"/>
      <c r="AN4" s="105"/>
      <c r="AO4" s="129"/>
      <c r="AP4" s="105"/>
      <c r="AQ4" s="105"/>
      <c r="AR4" s="129"/>
      <c r="AS4" s="105"/>
      <c r="AT4" s="105"/>
      <c r="AU4" s="129"/>
      <c r="AV4" s="105"/>
      <c r="AW4" s="105"/>
      <c r="AX4" s="129"/>
      <c r="AY4" s="105"/>
      <c r="AZ4" s="105"/>
      <c r="BA4" s="129"/>
      <c r="BB4" s="105"/>
      <c r="BC4" s="105"/>
      <c r="BD4" s="129"/>
      <c r="BE4" s="105"/>
      <c r="BF4" s="105"/>
      <c r="BG4" s="129"/>
      <c r="BH4" s="105"/>
      <c r="BI4" s="105"/>
      <c r="BJ4" s="129"/>
      <c r="BK4" s="105"/>
      <c r="BL4" s="105"/>
      <c r="BM4" s="129"/>
      <c r="BN4" s="105"/>
      <c r="BO4" s="105"/>
      <c r="BP4" s="129"/>
      <c r="BQ4" s="105"/>
      <c r="BR4" s="105"/>
      <c r="BS4" s="129"/>
      <c r="BT4" s="105"/>
      <c r="BU4" s="105"/>
      <c r="BV4" s="129"/>
      <c r="BW4" s="105"/>
      <c r="BX4" s="105"/>
      <c r="BY4" s="129"/>
      <c r="BZ4" s="105"/>
      <c r="CA4" s="105"/>
      <c r="CB4" s="129"/>
      <c r="CC4" s="105"/>
      <c r="CD4" s="105"/>
      <c r="CE4" s="129"/>
      <c r="CF4" s="105"/>
      <c r="CG4" s="105"/>
      <c r="CH4" s="129"/>
      <c r="CI4" s="105"/>
      <c r="CJ4" s="105"/>
      <c r="CK4" s="129"/>
      <c r="CL4" s="105"/>
      <c r="CM4" s="105"/>
      <c r="CN4" s="129"/>
      <c r="CO4" s="105"/>
      <c r="CP4" s="105"/>
      <c r="CQ4" s="105"/>
      <c r="CR4" s="106"/>
    </row>
    <row r="5" spans="1:96" ht="30.75" customHeight="1" thickBot="1" x14ac:dyDescent="0.3">
      <c r="A5" s="130" t="s">
        <v>238</v>
      </c>
      <c r="B5" s="60" t="s">
        <v>114</v>
      </c>
      <c r="C5" s="105"/>
      <c r="D5" s="105"/>
      <c r="E5" s="131"/>
      <c r="F5" s="105"/>
      <c r="G5" s="105"/>
      <c r="H5" s="131"/>
      <c r="I5" s="105"/>
      <c r="J5" s="105"/>
      <c r="K5" s="131"/>
      <c r="L5" s="105"/>
      <c r="M5" s="105"/>
      <c r="N5" s="131"/>
      <c r="O5" s="105"/>
      <c r="P5" s="105"/>
      <c r="Q5" s="131"/>
      <c r="R5" s="105"/>
      <c r="S5" s="105"/>
      <c r="T5" s="131"/>
      <c r="U5" s="105"/>
      <c r="V5" s="105"/>
      <c r="W5" s="131"/>
      <c r="X5" s="105"/>
      <c r="Y5" s="105"/>
      <c r="Z5" s="131"/>
      <c r="AA5" s="105"/>
      <c r="AB5" s="105"/>
      <c r="AC5" s="131"/>
      <c r="AD5" s="105"/>
      <c r="AE5" s="105"/>
      <c r="AF5" s="131"/>
      <c r="AG5" s="105"/>
      <c r="AH5" s="105"/>
      <c r="AI5" s="131"/>
      <c r="AJ5" s="105"/>
      <c r="AK5" s="105"/>
      <c r="AL5" s="131"/>
      <c r="AM5" s="105"/>
      <c r="AN5" s="105"/>
      <c r="AO5" s="131"/>
      <c r="AP5" s="105"/>
      <c r="AQ5" s="105"/>
      <c r="AR5" s="131"/>
      <c r="AS5" s="105"/>
      <c r="AT5" s="105"/>
      <c r="AU5" s="131"/>
      <c r="AV5" s="105"/>
      <c r="AW5" s="105"/>
      <c r="AX5" s="131"/>
      <c r="AY5" s="105"/>
      <c r="AZ5" s="105"/>
      <c r="BA5" s="131"/>
      <c r="BB5" s="105"/>
      <c r="BC5" s="105"/>
      <c r="BD5" s="131"/>
      <c r="BE5" s="105"/>
      <c r="BF5" s="105"/>
      <c r="BG5" s="131"/>
      <c r="BH5" s="105"/>
      <c r="BI5" s="105"/>
      <c r="BJ5" s="131"/>
      <c r="BK5" s="105"/>
      <c r="BL5" s="105"/>
      <c r="BM5" s="131"/>
      <c r="BN5" s="105"/>
      <c r="BO5" s="105"/>
      <c r="BP5" s="131"/>
      <c r="BQ5" s="105"/>
      <c r="BR5" s="105"/>
      <c r="BS5" s="131"/>
      <c r="BT5" s="105"/>
      <c r="BU5" s="105"/>
      <c r="BV5" s="131"/>
      <c r="BW5" s="105"/>
      <c r="BX5" s="105"/>
      <c r="BY5" s="131"/>
      <c r="BZ5" s="105"/>
      <c r="CA5" s="105"/>
      <c r="CB5" s="131"/>
      <c r="CC5" s="105"/>
      <c r="CD5" s="105"/>
      <c r="CE5" s="131"/>
      <c r="CF5" s="105"/>
      <c r="CG5" s="105"/>
      <c r="CH5" s="131"/>
      <c r="CI5" s="105"/>
      <c r="CJ5" s="105"/>
      <c r="CK5" s="131"/>
      <c r="CL5" s="105"/>
      <c r="CM5" s="105"/>
      <c r="CN5" s="131"/>
      <c r="CO5" s="105"/>
      <c r="CP5" s="105"/>
      <c r="CQ5" s="105"/>
      <c r="CR5" s="106"/>
    </row>
    <row r="6" spans="1:96" ht="15.75" thickBot="1" x14ac:dyDescent="0.3">
      <c r="A6" s="132"/>
      <c r="B6" s="133" t="s">
        <v>106</v>
      </c>
      <c r="C6" s="105"/>
      <c r="D6" s="105"/>
      <c r="E6" s="134"/>
      <c r="F6" s="105"/>
      <c r="G6" s="105"/>
      <c r="H6" s="134"/>
      <c r="I6" s="105"/>
      <c r="J6" s="105"/>
      <c r="K6" s="134"/>
      <c r="L6" s="105"/>
      <c r="M6" s="105"/>
      <c r="N6" s="134"/>
      <c r="O6" s="105"/>
      <c r="P6" s="105"/>
      <c r="Q6" s="134"/>
      <c r="R6" s="105"/>
      <c r="S6" s="105"/>
      <c r="T6" s="134"/>
      <c r="U6" s="105"/>
      <c r="V6" s="105"/>
      <c r="W6" s="134"/>
      <c r="X6" s="105"/>
      <c r="Y6" s="105"/>
      <c r="Z6" s="134"/>
      <c r="AA6" s="105"/>
      <c r="AB6" s="105"/>
      <c r="AC6" s="134"/>
      <c r="AD6" s="105"/>
      <c r="AE6" s="105"/>
      <c r="AF6" s="134"/>
      <c r="AG6" s="105"/>
      <c r="AH6" s="105"/>
      <c r="AI6" s="134"/>
      <c r="AJ6" s="105"/>
      <c r="AK6" s="105"/>
      <c r="AL6" s="134"/>
      <c r="AM6" s="105"/>
      <c r="AN6" s="105"/>
      <c r="AO6" s="134"/>
      <c r="AP6" s="105"/>
      <c r="AQ6" s="105"/>
      <c r="AR6" s="134"/>
      <c r="AS6" s="105"/>
      <c r="AT6" s="105"/>
      <c r="AU6" s="134"/>
      <c r="AV6" s="105"/>
      <c r="AW6" s="105"/>
      <c r="AX6" s="134"/>
      <c r="AY6" s="105"/>
      <c r="AZ6" s="105"/>
      <c r="BA6" s="134"/>
      <c r="BB6" s="105"/>
      <c r="BC6" s="105"/>
      <c r="BD6" s="134"/>
      <c r="BE6" s="105"/>
      <c r="BF6" s="105"/>
      <c r="BG6" s="134"/>
      <c r="BH6" s="105"/>
      <c r="BI6" s="105"/>
      <c r="BJ6" s="134"/>
      <c r="BK6" s="105"/>
      <c r="BL6" s="105"/>
      <c r="BM6" s="134"/>
      <c r="BN6" s="105"/>
      <c r="BO6" s="105"/>
      <c r="BP6" s="134"/>
      <c r="BQ6" s="105"/>
      <c r="BR6" s="105"/>
      <c r="BS6" s="134"/>
      <c r="BT6" s="105"/>
      <c r="BU6" s="105"/>
      <c r="BV6" s="134"/>
      <c r="BW6" s="105"/>
      <c r="BX6" s="105"/>
      <c r="BY6" s="134"/>
      <c r="BZ6" s="105"/>
      <c r="CA6" s="105"/>
      <c r="CB6" s="134"/>
      <c r="CC6" s="105"/>
      <c r="CD6" s="105"/>
      <c r="CE6" s="134"/>
      <c r="CF6" s="105"/>
      <c r="CG6" s="105"/>
      <c r="CH6" s="134"/>
      <c r="CI6" s="105"/>
      <c r="CJ6" s="105"/>
      <c r="CK6" s="134"/>
      <c r="CL6" s="105"/>
      <c r="CM6" s="105"/>
      <c r="CN6" s="134"/>
      <c r="CO6" s="105"/>
      <c r="CP6" s="105"/>
      <c r="CQ6" s="105"/>
      <c r="CR6" s="106"/>
    </row>
    <row r="7" spans="1:96" ht="15" customHeight="1" thickBot="1" x14ac:dyDescent="0.3">
      <c r="A7" s="109"/>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6"/>
    </row>
    <row r="8" spans="1:96" ht="15" customHeight="1" thickBot="1" x14ac:dyDescent="0.3">
      <c r="A8" s="58" t="s">
        <v>131</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6"/>
    </row>
    <row r="9" spans="1:96" ht="95.25" customHeight="1" thickBot="1" x14ac:dyDescent="0.3">
      <c r="A9" s="203"/>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6"/>
    </row>
    <row r="10" spans="1:96" ht="18.75" customHeight="1" x14ac:dyDescent="0.25">
      <c r="A10" s="109"/>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6"/>
    </row>
    <row r="11" spans="1:96" ht="0.95" customHeight="1" x14ac:dyDescent="0.25">
      <c r="A11" s="109"/>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6"/>
    </row>
    <row r="12" spans="1:96" ht="0.95" customHeight="1" x14ac:dyDescent="0.25">
      <c r="A12" s="109"/>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6"/>
    </row>
    <row r="13" spans="1:96" ht="0.95" customHeight="1" x14ac:dyDescent="0.25">
      <c r="A13" s="109"/>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6"/>
    </row>
    <row r="14" spans="1:96" ht="0.95" customHeight="1" x14ac:dyDescent="0.25">
      <c r="A14" s="109"/>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6"/>
    </row>
    <row r="15" spans="1:96" ht="0.95" customHeight="1" x14ac:dyDescent="0.25">
      <c r="A15" s="109"/>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6"/>
    </row>
    <row r="16" spans="1:96" ht="0.95" customHeight="1" x14ac:dyDescent="0.25">
      <c r="A16" s="109"/>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6"/>
    </row>
    <row r="17" spans="1:96" ht="0.95" customHeight="1" x14ac:dyDescent="0.25">
      <c r="A17" s="109"/>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6"/>
    </row>
    <row r="18" spans="1:96" ht="0.75" customHeight="1" thickBot="1" x14ac:dyDescent="0.3">
      <c r="A18" s="109"/>
      <c r="B18" s="105"/>
      <c r="C18" s="105"/>
      <c r="D18" s="105"/>
      <c r="E18" s="105"/>
      <c r="F18" s="105"/>
      <c r="G18" s="105"/>
      <c r="H18" s="105"/>
      <c r="I18" s="105"/>
      <c r="J18" s="105"/>
      <c r="K18" s="105"/>
      <c r="L18" s="105"/>
      <c r="M18" s="105"/>
      <c r="N18" s="105"/>
      <c r="O18" s="105"/>
      <c r="P18" s="105"/>
      <c r="Q18" s="105"/>
      <c r="R18" s="105"/>
      <c r="S18" s="105"/>
      <c r="T18" s="105"/>
      <c r="U18" s="105"/>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106"/>
    </row>
    <row r="19" spans="1:96" ht="100.5" customHeight="1" thickBot="1" x14ac:dyDescent="0.3">
      <c r="A19" s="107"/>
      <c r="C19" s="448" t="s">
        <v>148</v>
      </c>
      <c r="D19" s="449"/>
      <c r="E19" s="450"/>
      <c r="F19" s="135" t="s">
        <v>255</v>
      </c>
      <c r="G19" s="136" t="s">
        <v>257</v>
      </c>
      <c r="H19" s="277"/>
      <c r="I19" s="135" t="s">
        <v>256</v>
      </c>
      <c r="J19" s="136" t="s">
        <v>257</v>
      </c>
      <c r="K19" s="277"/>
      <c r="L19" s="135" t="s">
        <v>258</v>
      </c>
      <c r="M19" s="136" t="s">
        <v>257</v>
      </c>
      <c r="N19" s="277"/>
      <c r="O19" s="135" t="s">
        <v>259</v>
      </c>
      <c r="P19" s="136" t="s">
        <v>257</v>
      </c>
      <c r="Q19" s="277"/>
      <c r="R19" s="135" t="s">
        <v>260</v>
      </c>
      <c r="S19" s="136" t="s">
        <v>257</v>
      </c>
      <c r="T19" s="277"/>
      <c r="U19" s="135" t="s">
        <v>261</v>
      </c>
      <c r="V19" s="136" t="s">
        <v>257</v>
      </c>
      <c r="W19" s="277"/>
      <c r="X19" s="177" t="s">
        <v>262</v>
      </c>
      <c r="Y19" s="136" t="s">
        <v>257</v>
      </c>
      <c r="Z19" s="278"/>
      <c r="AA19" s="177" t="s">
        <v>263</v>
      </c>
      <c r="AB19" s="136" t="s">
        <v>257</v>
      </c>
      <c r="AC19" s="278"/>
      <c r="AD19" s="177" t="s">
        <v>264</v>
      </c>
      <c r="AE19" s="136" t="s">
        <v>257</v>
      </c>
      <c r="AF19" s="278"/>
      <c r="AG19" s="177" t="s">
        <v>265</v>
      </c>
      <c r="AH19" s="136" t="s">
        <v>257</v>
      </c>
      <c r="AI19" s="278"/>
      <c r="AJ19" s="177" t="s">
        <v>266</v>
      </c>
      <c r="AK19" s="136" t="s">
        <v>257</v>
      </c>
      <c r="AL19" s="278"/>
      <c r="AM19" s="177" t="s">
        <v>267</v>
      </c>
      <c r="AN19" s="136" t="s">
        <v>257</v>
      </c>
      <c r="AO19" s="278"/>
      <c r="AP19" s="177" t="s">
        <v>268</v>
      </c>
      <c r="AQ19" s="136" t="s">
        <v>257</v>
      </c>
      <c r="AR19" s="278"/>
      <c r="AS19" s="177" t="s">
        <v>269</v>
      </c>
      <c r="AT19" s="136" t="s">
        <v>257</v>
      </c>
      <c r="AU19" s="278"/>
      <c r="AV19" s="177" t="s">
        <v>270</v>
      </c>
      <c r="AW19" s="136" t="s">
        <v>257</v>
      </c>
      <c r="AX19" s="278"/>
      <c r="AY19" s="177" t="s">
        <v>271</v>
      </c>
      <c r="AZ19" s="136" t="s">
        <v>257</v>
      </c>
      <c r="BA19" s="278"/>
      <c r="BB19" s="177" t="s">
        <v>272</v>
      </c>
      <c r="BC19" s="136" t="s">
        <v>257</v>
      </c>
      <c r="BD19" s="278"/>
      <c r="BE19" s="177" t="s">
        <v>273</v>
      </c>
      <c r="BF19" s="136" t="s">
        <v>257</v>
      </c>
      <c r="BG19" s="278"/>
      <c r="BH19" s="177" t="s">
        <v>274</v>
      </c>
      <c r="BI19" s="136" t="s">
        <v>257</v>
      </c>
      <c r="BJ19" s="278"/>
      <c r="BK19" s="177" t="s">
        <v>275</v>
      </c>
      <c r="BL19" s="136" t="s">
        <v>257</v>
      </c>
      <c r="BM19" s="278"/>
      <c r="BN19" s="177" t="s">
        <v>276</v>
      </c>
      <c r="BO19" s="136" t="s">
        <v>257</v>
      </c>
      <c r="BP19" s="278"/>
      <c r="BQ19" s="177" t="s">
        <v>277</v>
      </c>
      <c r="BR19" s="136" t="s">
        <v>257</v>
      </c>
      <c r="BS19" s="278"/>
      <c r="BT19" s="177" t="s">
        <v>278</v>
      </c>
      <c r="BU19" s="136" t="s">
        <v>257</v>
      </c>
      <c r="BV19" s="278"/>
      <c r="BW19" s="177" t="s">
        <v>279</v>
      </c>
      <c r="BX19" s="136" t="s">
        <v>257</v>
      </c>
      <c r="BY19" s="278"/>
      <c r="BZ19" s="177" t="s">
        <v>280</v>
      </c>
      <c r="CA19" s="136" t="s">
        <v>257</v>
      </c>
      <c r="CB19" s="278"/>
      <c r="CC19" s="177" t="s">
        <v>281</v>
      </c>
      <c r="CD19" s="136" t="s">
        <v>257</v>
      </c>
      <c r="CE19" s="278"/>
      <c r="CF19" s="177" t="s">
        <v>282</v>
      </c>
      <c r="CG19" s="136" t="s">
        <v>257</v>
      </c>
      <c r="CH19" s="278"/>
      <c r="CI19" s="177" t="s">
        <v>283</v>
      </c>
      <c r="CJ19" s="136" t="s">
        <v>257</v>
      </c>
      <c r="CK19" s="278"/>
      <c r="CL19" s="177" t="s">
        <v>284</v>
      </c>
      <c r="CM19" s="136" t="s">
        <v>257</v>
      </c>
      <c r="CN19" s="278"/>
      <c r="CO19" s="177" t="s">
        <v>285</v>
      </c>
      <c r="CP19" s="136" t="s">
        <v>257</v>
      </c>
      <c r="CQ19" s="278"/>
      <c r="CR19" s="106"/>
    </row>
    <row r="20" spans="1:96" ht="32.25" customHeight="1" thickBot="1" x14ac:dyDescent="0.3">
      <c r="A20" s="62" t="s">
        <v>115</v>
      </c>
      <c r="B20" s="63" t="s">
        <v>175</v>
      </c>
      <c r="C20" s="63" t="s">
        <v>176</v>
      </c>
      <c r="D20" s="63" t="s">
        <v>177</v>
      </c>
      <c r="E20" s="63" t="s">
        <v>178</v>
      </c>
      <c r="F20" s="63" t="s">
        <v>176</v>
      </c>
      <c r="G20" s="63" t="s">
        <v>177</v>
      </c>
      <c r="H20" s="63" t="s">
        <v>178</v>
      </c>
      <c r="I20" s="63" t="s">
        <v>176</v>
      </c>
      <c r="J20" s="63" t="s">
        <v>177</v>
      </c>
      <c r="K20" s="63" t="s">
        <v>178</v>
      </c>
      <c r="L20" s="63" t="s">
        <v>176</v>
      </c>
      <c r="M20" s="63" t="s">
        <v>177</v>
      </c>
      <c r="N20" s="63" t="s">
        <v>178</v>
      </c>
      <c r="O20" s="63" t="s">
        <v>176</v>
      </c>
      <c r="P20" s="63" t="s">
        <v>177</v>
      </c>
      <c r="Q20" s="63" t="s">
        <v>178</v>
      </c>
      <c r="R20" s="63" t="s">
        <v>176</v>
      </c>
      <c r="S20" s="63" t="s">
        <v>177</v>
      </c>
      <c r="T20" s="63" t="s">
        <v>178</v>
      </c>
      <c r="U20" s="63" t="s">
        <v>176</v>
      </c>
      <c r="V20" s="63" t="s">
        <v>177</v>
      </c>
      <c r="W20" s="63" t="s">
        <v>178</v>
      </c>
      <c r="X20" s="63" t="s">
        <v>176</v>
      </c>
      <c r="Y20" s="63" t="s">
        <v>177</v>
      </c>
      <c r="Z20" s="63" t="s">
        <v>178</v>
      </c>
      <c r="AA20" s="63" t="s">
        <v>176</v>
      </c>
      <c r="AB20" s="63" t="s">
        <v>177</v>
      </c>
      <c r="AC20" s="63" t="s">
        <v>178</v>
      </c>
      <c r="AD20" s="63" t="s">
        <v>176</v>
      </c>
      <c r="AE20" s="63" t="s">
        <v>177</v>
      </c>
      <c r="AF20" s="63" t="s">
        <v>178</v>
      </c>
      <c r="AG20" s="63" t="s">
        <v>176</v>
      </c>
      <c r="AH20" s="63" t="s">
        <v>177</v>
      </c>
      <c r="AI20" s="63" t="s">
        <v>178</v>
      </c>
      <c r="AJ20" s="63" t="s">
        <v>176</v>
      </c>
      <c r="AK20" s="63" t="s">
        <v>177</v>
      </c>
      <c r="AL20" s="63" t="s">
        <v>178</v>
      </c>
      <c r="AM20" s="63" t="s">
        <v>176</v>
      </c>
      <c r="AN20" s="63" t="s">
        <v>177</v>
      </c>
      <c r="AO20" s="63" t="s">
        <v>178</v>
      </c>
      <c r="AP20" s="63" t="s">
        <v>176</v>
      </c>
      <c r="AQ20" s="63" t="s">
        <v>177</v>
      </c>
      <c r="AR20" s="63" t="s">
        <v>178</v>
      </c>
      <c r="AS20" s="63" t="s">
        <v>176</v>
      </c>
      <c r="AT20" s="63" t="s">
        <v>177</v>
      </c>
      <c r="AU20" s="63" t="s">
        <v>178</v>
      </c>
      <c r="AV20" s="63" t="s">
        <v>176</v>
      </c>
      <c r="AW20" s="63" t="s">
        <v>177</v>
      </c>
      <c r="AX20" s="63" t="s">
        <v>178</v>
      </c>
      <c r="AY20" s="63" t="s">
        <v>176</v>
      </c>
      <c r="AZ20" s="63" t="s">
        <v>177</v>
      </c>
      <c r="BA20" s="63" t="s">
        <v>178</v>
      </c>
      <c r="BB20" s="63" t="s">
        <v>176</v>
      </c>
      <c r="BC20" s="63" t="s">
        <v>177</v>
      </c>
      <c r="BD20" s="63" t="s">
        <v>178</v>
      </c>
      <c r="BE20" s="63" t="s">
        <v>176</v>
      </c>
      <c r="BF20" s="63" t="s">
        <v>177</v>
      </c>
      <c r="BG20" s="63" t="s">
        <v>178</v>
      </c>
      <c r="BH20" s="63" t="s">
        <v>176</v>
      </c>
      <c r="BI20" s="63" t="s">
        <v>177</v>
      </c>
      <c r="BJ20" s="63" t="s">
        <v>178</v>
      </c>
      <c r="BK20" s="63" t="s">
        <v>176</v>
      </c>
      <c r="BL20" s="63" t="s">
        <v>177</v>
      </c>
      <c r="BM20" s="63" t="s">
        <v>178</v>
      </c>
      <c r="BN20" s="63" t="s">
        <v>176</v>
      </c>
      <c r="BO20" s="63" t="s">
        <v>177</v>
      </c>
      <c r="BP20" s="63" t="s">
        <v>178</v>
      </c>
      <c r="BQ20" s="63" t="s">
        <v>176</v>
      </c>
      <c r="BR20" s="63" t="s">
        <v>177</v>
      </c>
      <c r="BS20" s="63" t="s">
        <v>178</v>
      </c>
      <c r="BT20" s="63" t="s">
        <v>176</v>
      </c>
      <c r="BU20" s="63" t="s">
        <v>177</v>
      </c>
      <c r="BV20" s="63" t="s">
        <v>178</v>
      </c>
      <c r="BW20" s="63" t="s">
        <v>176</v>
      </c>
      <c r="BX20" s="63" t="s">
        <v>177</v>
      </c>
      <c r="BY20" s="63" t="s">
        <v>178</v>
      </c>
      <c r="BZ20" s="63" t="s">
        <v>176</v>
      </c>
      <c r="CA20" s="63" t="s">
        <v>177</v>
      </c>
      <c r="CB20" s="63" t="s">
        <v>178</v>
      </c>
      <c r="CC20" s="63" t="s">
        <v>176</v>
      </c>
      <c r="CD20" s="63" t="s">
        <v>177</v>
      </c>
      <c r="CE20" s="63" t="s">
        <v>178</v>
      </c>
      <c r="CF20" s="63" t="s">
        <v>176</v>
      </c>
      <c r="CG20" s="63" t="s">
        <v>177</v>
      </c>
      <c r="CH20" s="63" t="s">
        <v>178</v>
      </c>
      <c r="CI20" s="63" t="s">
        <v>176</v>
      </c>
      <c r="CJ20" s="63" t="s">
        <v>177</v>
      </c>
      <c r="CK20" s="63" t="s">
        <v>178</v>
      </c>
      <c r="CL20" s="63" t="s">
        <v>176</v>
      </c>
      <c r="CM20" s="63" t="s">
        <v>177</v>
      </c>
      <c r="CN20" s="63" t="s">
        <v>178</v>
      </c>
      <c r="CO20" s="63" t="s">
        <v>176</v>
      </c>
      <c r="CP20" s="63" t="s">
        <v>177</v>
      </c>
      <c r="CQ20" s="63" t="s">
        <v>178</v>
      </c>
      <c r="CR20" s="106"/>
    </row>
    <row r="21" spans="1:96" ht="15.75" thickBot="1" x14ac:dyDescent="0.3">
      <c r="A21" s="58" t="s">
        <v>57</v>
      </c>
      <c r="B21" s="178">
        <v>5.4600000000000003E-2</v>
      </c>
      <c r="C21" s="137">
        <f>F21+I21+L21+O21+R21+U21+X21+AA21+AD21+AG21+AJ21+AM21+AP21+AS21+AV21+AY21+BB21+BE21+BH21+BK21+BN21+BQ21+BT21+BW21+BZ21+CC21+CF21+CI21+CL21+CO21</f>
        <v>0</v>
      </c>
      <c r="D21" s="138"/>
      <c r="E21" s="137">
        <f t="shared" ref="E21:E65" si="0">H21+K21+N21+Q21+T21+W21+Z21+AC21+AF21+AI21+AL21+AO21+AR21+AU21+AX21+BA21+BD21+BG21+BJ21+BM21+BP21+BS21+BV21+BY21+CB21+CE21+CH21+CK21+CN21+CQ21</f>
        <v>0</v>
      </c>
      <c r="F21" s="74"/>
      <c r="G21" s="139"/>
      <c r="H21" s="140">
        <f>F21-G21</f>
        <v>0</v>
      </c>
      <c r="I21" s="74"/>
      <c r="J21" s="139"/>
      <c r="K21" s="140">
        <f>I21-J21</f>
        <v>0</v>
      </c>
      <c r="L21" s="74"/>
      <c r="M21" s="139"/>
      <c r="N21" s="140">
        <f>L21-M21</f>
        <v>0</v>
      </c>
      <c r="O21" s="74"/>
      <c r="P21" s="139"/>
      <c r="Q21" s="140">
        <f>O21-P21</f>
        <v>0</v>
      </c>
      <c r="R21" s="74"/>
      <c r="S21" s="139"/>
      <c r="T21" s="140">
        <f>R21-S21</f>
        <v>0</v>
      </c>
      <c r="U21" s="74"/>
      <c r="V21" s="139"/>
      <c r="W21" s="140">
        <f>U21-V21</f>
        <v>0</v>
      </c>
      <c r="X21" s="74"/>
      <c r="Y21" s="139"/>
      <c r="Z21" s="140">
        <f>X21-Y21</f>
        <v>0</v>
      </c>
      <c r="AA21" s="74"/>
      <c r="AB21" s="139"/>
      <c r="AC21" s="140">
        <f>AA21-AB21</f>
        <v>0</v>
      </c>
      <c r="AD21" s="74"/>
      <c r="AE21" s="139"/>
      <c r="AF21" s="140">
        <f>AD21-AE21</f>
        <v>0</v>
      </c>
      <c r="AG21" s="74"/>
      <c r="AH21" s="139"/>
      <c r="AI21" s="140">
        <f>AG21-AH21</f>
        <v>0</v>
      </c>
      <c r="AJ21" s="74"/>
      <c r="AK21" s="139"/>
      <c r="AL21" s="140">
        <f>AJ21-AK21</f>
        <v>0</v>
      </c>
      <c r="AM21" s="74"/>
      <c r="AN21" s="139"/>
      <c r="AO21" s="140">
        <f>AM21-AN21</f>
        <v>0</v>
      </c>
      <c r="AP21" s="74"/>
      <c r="AQ21" s="139"/>
      <c r="AR21" s="140">
        <f>AP21-AQ21</f>
        <v>0</v>
      </c>
      <c r="AS21" s="74"/>
      <c r="AT21" s="139"/>
      <c r="AU21" s="140">
        <f>AS21-AT21</f>
        <v>0</v>
      </c>
      <c r="AV21" s="74"/>
      <c r="AW21" s="139"/>
      <c r="AX21" s="140">
        <f>AV21-AW21</f>
        <v>0</v>
      </c>
      <c r="AY21" s="74"/>
      <c r="AZ21" s="139"/>
      <c r="BA21" s="140">
        <f>AY21-AZ21</f>
        <v>0</v>
      </c>
      <c r="BB21" s="74"/>
      <c r="BC21" s="139"/>
      <c r="BD21" s="140">
        <f>BB21-BC21</f>
        <v>0</v>
      </c>
      <c r="BE21" s="74"/>
      <c r="BF21" s="139"/>
      <c r="BG21" s="140">
        <f>BE21-BF21</f>
        <v>0</v>
      </c>
      <c r="BH21" s="74"/>
      <c r="BI21" s="139"/>
      <c r="BJ21" s="140">
        <f>BH21-BI21</f>
        <v>0</v>
      </c>
      <c r="BK21" s="74"/>
      <c r="BL21" s="139"/>
      <c r="BM21" s="140">
        <f>BK21-BL21</f>
        <v>0</v>
      </c>
      <c r="BN21" s="74"/>
      <c r="BO21" s="139"/>
      <c r="BP21" s="140">
        <f>BN21-BO21</f>
        <v>0</v>
      </c>
      <c r="BQ21" s="74"/>
      <c r="BR21" s="139"/>
      <c r="BS21" s="140">
        <f>BQ21-BR21</f>
        <v>0</v>
      </c>
      <c r="BT21" s="74"/>
      <c r="BU21" s="139"/>
      <c r="BV21" s="140">
        <f>BT21-BU21</f>
        <v>0</v>
      </c>
      <c r="BW21" s="74"/>
      <c r="BX21" s="139"/>
      <c r="BY21" s="140">
        <f>BW21-BX21</f>
        <v>0</v>
      </c>
      <c r="BZ21" s="74"/>
      <c r="CA21" s="139"/>
      <c r="CB21" s="140">
        <f>BZ21-CA21</f>
        <v>0</v>
      </c>
      <c r="CC21" s="74"/>
      <c r="CD21" s="139"/>
      <c r="CE21" s="140">
        <f>CC21-CD21</f>
        <v>0</v>
      </c>
      <c r="CF21" s="74"/>
      <c r="CG21" s="139"/>
      <c r="CH21" s="140">
        <f>CF21-CG21</f>
        <v>0</v>
      </c>
      <c r="CI21" s="74"/>
      <c r="CJ21" s="139"/>
      <c r="CK21" s="140">
        <f>CI21-CJ21</f>
        <v>0</v>
      </c>
      <c r="CL21" s="74"/>
      <c r="CM21" s="139"/>
      <c r="CN21" s="140">
        <f>CL21-CM21</f>
        <v>0</v>
      </c>
      <c r="CO21" s="74"/>
      <c r="CP21" s="139"/>
      <c r="CQ21" s="140">
        <f>CO21-CP21</f>
        <v>0</v>
      </c>
      <c r="CR21" s="106"/>
    </row>
    <row r="22" spans="1:96" ht="15.75" thickBot="1" x14ac:dyDescent="0.3">
      <c r="A22" s="61" t="s">
        <v>35</v>
      </c>
      <c r="B22" s="178">
        <v>5.0500000000000003E-2</v>
      </c>
      <c r="C22" s="137">
        <f t="shared" ref="C22:D44" si="1">F22+I22+L22+O22+R22+U22+X22+AA22+AD22+AG22+AJ22+AM22+AP22+AS22+AV22+AY22+BB22+BE22+BH22+BK22+BN22+BQ22+BT22+BW22+BZ22+CC22+CF22+CI22+CL22+CO22</f>
        <v>0</v>
      </c>
      <c r="D22" s="137">
        <f t="shared" si="1"/>
        <v>0</v>
      </c>
      <c r="E22" s="137">
        <f t="shared" si="0"/>
        <v>0</v>
      </c>
      <c r="F22" s="74"/>
      <c r="G22" s="86"/>
      <c r="H22" s="140">
        <f t="shared" ref="H22:H44" si="2">F22-G22</f>
        <v>0</v>
      </c>
      <c r="I22" s="74"/>
      <c r="J22" s="86"/>
      <c r="K22" s="140">
        <f t="shared" ref="K22:K44" si="3">I22-J22</f>
        <v>0</v>
      </c>
      <c r="L22" s="74"/>
      <c r="M22" s="86"/>
      <c r="N22" s="140">
        <f t="shared" ref="N22:N44" si="4">L22-M22</f>
        <v>0</v>
      </c>
      <c r="O22" s="74"/>
      <c r="P22" s="86"/>
      <c r="Q22" s="140">
        <f t="shared" ref="Q22:Q44" si="5">O22-P22</f>
        <v>0</v>
      </c>
      <c r="R22" s="74"/>
      <c r="S22" s="86"/>
      <c r="T22" s="140">
        <f t="shared" ref="T22:T44" si="6">R22-S22</f>
        <v>0</v>
      </c>
      <c r="U22" s="74"/>
      <c r="V22" s="86"/>
      <c r="W22" s="140">
        <f t="shared" ref="W22:W44" si="7">U22-V22</f>
        <v>0</v>
      </c>
      <c r="X22" s="74"/>
      <c r="Y22" s="86"/>
      <c r="Z22" s="140">
        <f t="shared" ref="Z22:Z44" si="8">X22-Y22</f>
        <v>0</v>
      </c>
      <c r="AA22" s="74"/>
      <c r="AB22" s="86"/>
      <c r="AC22" s="140">
        <f t="shared" ref="AC22:AC44" si="9">AA22-AB22</f>
        <v>0</v>
      </c>
      <c r="AD22" s="74"/>
      <c r="AE22" s="86"/>
      <c r="AF22" s="140">
        <f t="shared" ref="AF22:AF44" si="10">AD22-AE22</f>
        <v>0</v>
      </c>
      <c r="AG22" s="74"/>
      <c r="AH22" s="86"/>
      <c r="AI22" s="140">
        <f t="shared" ref="AI22:AI44" si="11">AG22-AH22</f>
        <v>0</v>
      </c>
      <c r="AJ22" s="74"/>
      <c r="AK22" s="86"/>
      <c r="AL22" s="140">
        <f t="shared" ref="AL22:AL44" si="12">AJ22-AK22</f>
        <v>0</v>
      </c>
      <c r="AM22" s="74"/>
      <c r="AN22" s="86"/>
      <c r="AO22" s="140">
        <f t="shared" ref="AO22:AO44" si="13">AM22-AN22</f>
        <v>0</v>
      </c>
      <c r="AP22" s="74"/>
      <c r="AQ22" s="86"/>
      <c r="AR22" s="140">
        <f t="shared" ref="AR22:AR44" si="14">AP22-AQ22</f>
        <v>0</v>
      </c>
      <c r="AS22" s="74"/>
      <c r="AT22" s="86"/>
      <c r="AU22" s="140">
        <f t="shared" ref="AU22:AU44" si="15">AS22-AT22</f>
        <v>0</v>
      </c>
      <c r="AV22" s="74"/>
      <c r="AW22" s="86"/>
      <c r="AX22" s="140">
        <f t="shared" ref="AX22:AX44" si="16">AV22-AW22</f>
        <v>0</v>
      </c>
      <c r="AY22" s="74"/>
      <c r="AZ22" s="86"/>
      <c r="BA22" s="140">
        <f t="shared" ref="BA22:BA44" si="17">AY22-AZ22</f>
        <v>0</v>
      </c>
      <c r="BB22" s="74"/>
      <c r="BC22" s="86"/>
      <c r="BD22" s="140">
        <f t="shared" ref="BD22:BD44" si="18">BB22-BC22</f>
        <v>0</v>
      </c>
      <c r="BE22" s="74"/>
      <c r="BF22" s="86"/>
      <c r="BG22" s="140">
        <f t="shared" ref="BG22:BG44" si="19">BE22-BF22</f>
        <v>0</v>
      </c>
      <c r="BH22" s="74"/>
      <c r="BI22" s="86"/>
      <c r="BJ22" s="140">
        <f t="shared" ref="BJ22:BJ44" si="20">BH22-BI22</f>
        <v>0</v>
      </c>
      <c r="BK22" s="74"/>
      <c r="BL22" s="86"/>
      <c r="BM22" s="140">
        <f t="shared" ref="BM22:BM44" si="21">BK22-BL22</f>
        <v>0</v>
      </c>
      <c r="BN22" s="74"/>
      <c r="BO22" s="86"/>
      <c r="BP22" s="140">
        <f t="shared" ref="BP22:BP44" si="22">BN22-BO22</f>
        <v>0</v>
      </c>
      <c r="BQ22" s="74"/>
      <c r="BR22" s="86"/>
      <c r="BS22" s="140">
        <f t="shared" ref="BS22:BS44" si="23">BQ22-BR22</f>
        <v>0</v>
      </c>
      <c r="BT22" s="74"/>
      <c r="BU22" s="86"/>
      <c r="BV22" s="140">
        <f t="shared" ref="BV22:BV44" si="24">BT22-BU22</f>
        <v>0</v>
      </c>
      <c r="BW22" s="74"/>
      <c r="BX22" s="86"/>
      <c r="BY22" s="140">
        <f t="shared" ref="BY22:BY44" si="25">BW22-BX22</f>
        <v>0</v>
      </c>
      <c r="BZ22" s="74"/>
      <c r="CA22" s="86"/>
      <c r="CB22" s="140">
        <f t="shared" ref="CB22:CB44" si="26">BZ22-CA22</f>
        <v>0</v>
      </c>
      <c r="CC22" s="74"/>
      <c r="CD22" s="86"/>
      <c r="CE22" s="140">
        <f t="shared" ref="CE22:CE44" si="27">CC22-CD22</f>
        <v>0</v>
      </c>
      <c r="CF22" s="74"/>
      <c r="CG22" s="86"/>
      <c r="CH22" s="140">
        <f t="shared" ref="CH22:CH44" si="28">CF22-CG22</f>
        <v>0</v>
      </c>
      <c r="CI22" s="74"/>
      <c r="CJ22" s="86"/>
      <c r="CK22" s="140">
        <f t="shared" ref="CK22:CK44" si="29">CI22-CJ22</f>
        <v>0</v>
      </c>
      <c r="CL22" s="74"/>
      <c r="CM22" s="86"/>
      <c r="CN22" s="140">
        <f t="shared" ref="CN22:CN44" si="30">CL22-CM22</f>
        <v>0</v>
      </c>
      <c r="CO22" s="74"/>
      <c r="CP22" s="86"/>
      <c r="CQ22" s="140">
        <f t="shared" ref="CQ22:CQ44" si="31">CO22-CP22</f>
        <v>0</v>
      </c>
      <c r="CR22" s="106"/>
    </row>
    <row r="23" spans="1:96" ht="15.75" thickBot="1" x14ac:dyDescent="0.3">
      <c r="A23" s="61" t="s">
        <v>36</v>
      </c>
      <c r="B23" s="178">
        <v>7.3200000000000001E-2</v>
      </c>
      <c r="C23" s="137">
        <f t="shared" si="1"/>
        <v>0</v>
      </c>
      <c r="D23" s="137">
        <f t="shared" si="1"/>
        <v>0</v>
      </c>
      <c r="E23" s="137">
        <f t="shared" si="0"/>
        <v>0</v>
      </c>
      <c r="F23" s="74"/>
      <c r="G23" s="86"/>
      <c r="H23" s="140">
        <f t="shared" si="2"/>
        <v>0</v>
      </c>
      <c r="I23" s="74"/>
      <c r="J23" s="86"/>
      <c r="K23" s="140">
        <f t="shared" si="3"/>
        <v>0</v>
      </c>
      <c r="L23" s="74"/>
      <c r="M23" s="86"/>
      <c r="N23" s="140">
        <f t="shared" si="4"/>
        <v>0</v>
      </c>
      <c r="O23" s="74"/>
      <c r="P23" s="86"/>
      <c r="Q23" s="140">
        <f t="shared" si="5"/>
        <v>0</v>
      </c>
      <c r="R23" s="74"/>
      <c r="S23" s="86"/>
      <c r="T23" s="140">
        <f t="shared" si="6"/>
        <v>0</v>
      </c>
      <c r="U23" s="74"/>
      <c r="V23" s="86"/>
      <c r="W23" s="140">
        <f t="shared" si="7"/>
        <v>0</v>
      </c>
      <c r="X23" s="74"/>
      <c r="Y23" s="86"/>
      <c r="Z23" s="140">
        <f t="shared" si="8"/>
        <v>0</v>
      </c>
      <c r="AA23" s="74"/>
      <c r="AB23" s="86"/>
      <c r="AC23" s="140">
        <f t="shared" si="9"/>
        <v>0</v>
      </c>
      <c r="AD23" s="74"/>
      <c r="AE23" s="86"/>
      <c r="AF23" s="140">
        <f t="shared" si="10"/>
        <v>0</v>
      </c>
      <c r="AG23" s="74"/>
      <c r="AH23" s="86"/>
      <c r="AI23" s="140">
        <f t="shared" si="11"/>
        <v>0</v>
      </c>
      <c r="AJ23" s="74"/>
      <c r="AK23" s="86"/>
      <c r="AL23" s="140">
        <f t="shared" si="12"/>
        <v>0</v>
      </c>
      <c r="AM23" s="74"/>
      <c r="AN23" s="86"/>
      <c r="AO23" s="140">
        <f t="shared" si="13"/>
        <v>0</v>
      </c>
      <c r="AP23" s="74"/>
      <c r="AQ23" s="86"/>
      <c r="AR23" s="140">
        <f t="shared" si="14"/>
        <v>0</v>
      </c>
      <c r="AS23" s="74"/>
      <c r="AT23" s="86"/>
      <c r="AU23" s="140">
        <f t="shared" si="15"/>
        <v>0</v>
      </c>
      <c r="AV23" s="74"/>
      <c r="AW23" s="86"/>
      <c r="AX23" s="140">
        <f t="shared" si="16"/>
        <v>0</v>
      </c>
      <c r="AY23" s="74"/>
      <c r="AZ23" s="86"/>
      <c r="BA23" s="140">
        <f t="shared" si="17"/>
        <v>0</v>
      </c>
      <c r="BB23" s="74"/>
      <c r="BC23" s="86"/>
      <c r="BD23" s="140">
        <f t="shared" si="18"/>
        <v>0</v>
      </c>
      <c r="BE23" s="74"/>
      <c r="BF23" s="86"/>
      <c r="BG23" s="140">
        <f t="shared" si="19"/>
        <v>0</v>
      </c>
      <c r="BH23" s="74"/>
      <c r="BI23" s="86"/>
      <c r="BJ23" s="140">
        <f t="shared" si="20"/>
        <v>0</v>
      </c>
      <c r="BK23" s="74"/>
      <c r="BL23" s="86"/>
      <c r="BM23" s="140">
        <f t="shared" si="21"/>
        <v>0</v>
      </c>
      <c r="BN23" s="74"/>
      <c r="BO23" s="86"/>
      <c r="BP23" s="140">
        <f t="shared" si="22"/>
        <v>0</v>
      </c>
      <c r="BQ23" s="74"/>
      <c r="BR23" s="86"/>
      <c r="BS23" s="140">
        <f t="shared" si="23"/>
        <v>0</v>
      </c>
      <c r="BT23" s="74"/>
      <c r="BU23" s="86"/>
      <c r="BV23" s="140">
        <f t="shared" si="24"/>
        <v>0</v>
      </c>
      <c r="BW23" s="74"/>
      <c r="BX23" s="86"/>
      <c r="BY23" s="140">
        <f t="shared" si="25"/>
        <v>0</v>
      </c>
      <c r="BZ23" s="74"/>
      <c r="CA23" s="86"/>
      <c r="CB23" s="140">
        <f t="shared" si="26"/>
        <v>0</v>
      </c>
      <c r="CC23" s="74"/>
      <c r="CD23" s="86"/>
      <c r="CE23" s="140">
        <f t="shared" si="27"/>
        <v>0</v>
      </c>
      <c r="CF23" s="74"/>
      <c r="CG23" s="86"/>
      <c r="CH23" s="140">
        <f t="shared" si="28"/>
        <v>0</v>
      </c>
      <c r="CI23" s="74"/>
      <c r="CJ23" s="86"/>
      <c r="CK23" s="140">
        <f t="shared" si="29"/>
        <v>0</v>
      </c>
      <c r="CL23" s="74"/>
      <c r="CM23" s="86"/>
      <c r="CN23" s="140">
        <f t="shared" si="30"/>
        <v>0</v>
      </c>
      <c r="CO23" s="74"/>
      <c r="CP23" s="86"/>
      <c r="CQ23" s="140">
        <f t="shared" si="31"/>
        <v>0</v>
      </c>
      <c r="CR23" s="106"/>
    </row>
    <row r="24" spans="1:96" ht="15.75" thickBot="1" x14ac:dyDescent="0.3">
      <c r="A24" s="61" t="s">
        <v>37</v>
      </c>
      <c r="B24" s="178">
        <v>7.9399999999999998E-2</v>
      </c>
      <c r="C24" s="137">
        <f t="shared" si="1"/>
        <v>0</v>
      </c>
      <c r="D24" s="137">
        <f t="shared" si="1"/>
        <v>0</v>
      </c>
      <c r="E24" s="137">
        <f t="shared" si="0"/>
        <v>0</v>
      </c>
      <c r="F24" s="74"/>
      <c r="G24" s="86"/>
      <c r="H24" s="140">
        <f t="shared" si="2"/>
        <v>0</v>
      </c>
      <c r="I24" s="74"/>
      <c r="J24" s="86"/>
      <c r="K24" s="140">
        <f t="shared" si="3"/>
        <v>0</v>
      </c>
      <c r="L24" s="74"/>
      <c r="M24" s="86"/>
      <c r="N24" s="140">
        <f t="shared" si="4"/>
        <v>0</v>
      </c>
      <c r="O24" s="74"/>
      <c r="P24" s="86"/>
      <c r="Q24" s="140">
        <f t="shared" si="5"/>
        <v>0</v>
      </c>
      <c r="R24" s="74"/>
      <c r="S24" s="86"/>
      <c r="T24" s="140">
        <f t="shared" si="6"/>
        <v>0</v>
      </c>
      <c r="U24" s="74"/>
      <c r="V24" s="86"/>
      <c r="W24" s="140">
        <f t="shared" si="7"/>
        <v>0</v>
      </c>
      <c r="X24" s="74"/>
      <c r="Y24" s="86"/>
      <c r="Z24" s="140">
        <f t="shared" si="8"/>
        <v>0</v>
      </c>
      <c r="AA24" s="74"/>
      <c r="AB24" s="86"/>
      <c r="AC24" s="140">
        <f t="shared" si="9"/>
        <v>0</v>
      </c>
      <c r="AD24" s="74"/>
      <c r="AE24" s="86"/>
      <c r="AF24" s="140">
        <f t="shared" si="10"/>
        <v>0</v>
      </c>
      <c r="AG24" s="74"/>
      <c r="AH24" s="86"/>
      <c r="AI24" s="140">
        <f t="shared" si="11"/>
        <v>0</v>
      </c>
      <c r="AJ24" s="74"/>
      <c r="AK24" s="86"/>
      <c r="AL24" s="140">
        <f t="shared" si="12"/>
        <v>0</v>
      </c>
      <c r="AM24" s="74"/>
      <c r="AN24" s="86"/>
      <c r="AO24" s="140">
        <f t="shared" si="13"/>
        <v>0</v>
      </c>
      <c r="AP24" s="74"/>
      <c r="AQ24" s="86"/>
      <c r="AR24" s="140">
        <f t="shared" si="14"/>
        <v>0</v>
      </c>
      <c r="AS24" s="74"/>
      <c r="AT24" s="86"/>
      <c r="AU24" s="140">
        <f t="shared" si="15"/>
        <v>0</v>
      </c>
      <c r="AV24" s="74"/>
      <c r="AW24" s="86"/>
      <c r="AX24" s="140">
        <f t="shared" si="16"/>
        <v>0</v>
      </c>
      <c r="AY24" s="74"/>
      <c r="AZ24" s="86"/>
      <c r="BA24" s="140">
        <f t="shared" si="17"/>
        <v>0</v>
      </c>
      <c r="BB24" s="74"/>
      <c r="BC24" s="86"/>
      <c r="BD24" s="140">
        <f t="shared" si="18"/>
        <v>0</v>
      </c>
      <c r="BE24" s="74"/>
      <c r="BF24" s="86"/>
      <c r="BG24" s="140">
        <f t="shared" si="19"/>
        <v>0</v>
      </c>
      <c r="BH24" s="74"/>
      <c r="BI24" s="86"/>
      <c r="BJ24" s="140">
        <f t="shared" si="20"/>
        <v>0</v>
      </c>
      <c r="BK24" s="74"/>
      <c r="BL24" s="86"/>
      <c r="BM24" s="140">
        <f t="shared" si="21"/>
        <v>0</v>
      </c>
      <c r="BN24" s="74"/>
      <c r="BO24" s="86"/>
      <c r="BP24" s="140">
        <f t="shared" si="22"/>
        <v>0</v>
      </c>
      <c r="BQ24" s="74"/>
      <c r="BR24" s="86"/>
      <c r="BS24" s="140">
        <f t="shared" si="23"/>
        <v>0</v>
      </c>
      <c r="BT24" s="74"/>
      <c r="BU24" s="86"/>
      <c r="BV24" s="140">
        <f t="shared" si="24"/>
        <v>0</v>
      </c>
      <c r="BW24" s="74"/>
      <c r="BX24" s="86"/>
      <c r="BY24" s="140">
        <f t="shared" si="25"/>
        <v>0</v>
      </c>
      <c r="BZ24" s="74"/>
      <c r="CA24" s="86"/>
      <c r="CB24" s="140">
        <f t="shared" si="26"/>
        <v>0</v>
      </c>
      <c r="CC24" s="74"/>
      <c r="CD24" s="86"/>
      <c r="CE24" s="140">
        <f t="shared" si="27"/>
        <v>0</v>
      </c>
      <c r="CF24" s="74"/>
      <c r="CG24" s="86"/>
      <c r="CH24" s="140">
        <f t="shared" si="28"/>
        <v>0</v>
      </c>
      <c r="CI24" s="74"/>
      <c r="CJ24" s="86"/>
      <c r="CK24" s="140">
        <f t="shared" si="29"/>
        <v>0</v>
      </c>
      <c r="CL24" s="74"/>
      <c r="CM24" s="86"/>
      <c r="CN24" s="140">
        <f t="shared" si="30"/>
        <v>0</v>
      </c>
      <c r="CO24" s="74"/>
      <c r="CP24" s="86"/>
      <c r="CQ24" s="140">
        <f t="shared" si="31"/>
        <v>0</v>
      </c>
      <c r="CR24" s="106"/>
    </row>
    <row r="25" spans="1:96" ht="15.75" thickBot="1" x14ac:dyDescent="0.3">
      <c r="A25" s="61" t="s">
        <v>38</v>
      </c>
      <c r="B25" s="178">
        <v>0.11700000000000001</v>
      </c>
      <c r="C25" s="137">
        <f t="shared" si="1"/>
        <v>0</v>
      </c>
      <c r="D25" s="137">
        <f t="shared" si="1"/>
        <v>0</v>
      </c>
      <c r="E25" s="137">
        <f t="shared" si="0"/>
        <v>0</v>
      </c>
      <c r="F25" s="74"/>
      <c r="G25" s="86"/>
      <c r="H25" s="140">
        <f t="shared" si="2"/>
        <v>0</v>
      </c>
      <c r="I25" s="74"/>
      <c r="J25" s="86"/>
      <c r="K25" s="140">
        <f t="shared" si="3"/>
        <v>0</v>
      </c>
      <c r="L25" s="74"/>
      <c r="M25" s="86"/>
      <c r="N25" s="140">
        <f t="shared" si="4"/>
        <v>0</v>
      </c>
      <c r="O25" s="74"/>
      <c r="P25" s="86"/>
      <c r="Q25" s="140">
        <f t="shared" si="5"/>
        <v>0</v>
      </c>
      <c r="R25" s="74"/>
      <c r="S25" s="86"/>
      <c r="T25" s="140">
        <f t="shared" si="6"/>
        <v>0</v>
      </c>
      <c r="U25" s="74"/>
      <c r="V25" s="86"/>
      <c r="W25" s="140">
        <f t="shared" si="7"/>
        <v>0</v>
      </c>
      <c r="X25" s="74"/>
      <c r="Y25" s="86"/>
      <c r="Z25" s="140">
        <f t="shared" si="8"/>
        <v>0</v>
      </c>
      <c r="AA25" s="74"/>
      <c r="AB25" s="86"/>
      <c r="AC25" s="140">
        <f t="shared" si="9"/>
        <v>0</v>
      </c>
      <c r="AD25" s="74"/>
      <c r="AE25" s="86"/>
      <c r="AF25" s="140">
        <f t="shared" si="10"/>
        <v>0</v>
      </c>
      <c r="AG25" s="74"/>
      <c r="AH25" s="86"/>
      <c r="AI25" s="140">
        <f t="shared" si="11"/>
        <v>0</v>
      </c>
      <c r="AJ25" s="74"/>
      <c r="AK25" s="86"/>
      <c r="AL25" s="140">
        <f t="shared" si="12"/>
        <v>0</v>
      </c>
      <c r="AM25" s="74"/>
      <c r="AN25" s="86"/>
      <c r="AO25" s="140">
        <f t="shared" si="13"/>
        <v>0</v>
      </c>
      <c r="AP25" s="74"/>
      <c r="AQ25" s="86"/>
      <c r="AR25" s="140">
        <f t="shared" si="14"/>
        <v>0</v>
      </c>
      <c r="AS25" s="74"/>
      <c r="AT25" s="86"/>
      <c r="AU25" s="140">
        <f t="shared" si="15"/>
        <v>0</v>
      </c>
      <c r="AV25" s="74"/>
      <c r="AW25" s="86"/>
      <c r="AX25" s="140">
        <f t="shared" si="16"/>
        <v>0</v>
      </c>
      <c r="AY25" s="74"/>
      <c r="AZ25" s="86"/>
      <c r="BA25" s="140">
        <f t="shared" si="17"/>
        <v>0</v>
      </c>
      <c r="BB25" s="74"/>
      <c r="BC25" s="86"/>
      <c r="BD25" s="140">
        <f t="shared" si="18"/>
        <v>0</v>
      </c>
      <c r="BE25" s="74"/>
      <c r="BF25" s="86"/>
      <c r="BG25" s="140">
        <f t="shared" si="19"/>
        <v>0</v>
      </c>
      <c r="BH25" s="74"/>
      <c r="BI25" s="86"/>
      <c r="BJ25" s="140">
        <f t="shared" si="20"/>
        <v>0</v>
      </c>
      <c r="BK25" s="74"/>
      <c r="BL25" s="86"/>
      <c r="BM25" s="140">
        <f t="shared" si="21"/>
        <v>0</v>
      </c>
      <c r="BN25" s="74"/>
      <c r="BO25" s="86"/>
      <c r="BP25" s="140">
        <f t="shared" si="22"/>
        <v>0</v>
      </c>
      <c r="BQ25" s="74"/>
      <c r="BR25" s="86"/>
      <c r="BS25" s="140">
        <f t="shared" si="23"/>
        <v>0</v>
      </c>
      <c r="BT25" s="74"/>
      <c r="BU25" s="86"/>
      <c r="BV25" s="140">
        <f t="shared" si="24"/>
        <v>0</v>
      </c>
      <c r="BW25" s="74"/>
      <c r="BX25" s="86"/>
      <c r="BY25" s="140">
        <f t="shared" si="25"/>
        <v>0</v>
      </c>
      <c r="BZ25" s="74"/>
      <c r="CA25" s="86"/>
      <c r="CB25" s="140">
        <f t="shared" si="26"/>
        <v>0</v>
      </c>
      <c r="CC25" s="74"/>
      <c r="CD25" s="86"/>
      <c r="CE25" s="140">
        <f t="shared" si="27"/>
        <v>0</v>
      </c>
      <c r="CF25" s="74"/>
      <c r="CG25" s="86"/>
      <c r="CH25" s="140">
        <f t="shared" si="28"/>
        <v>0</v>
      </c>
      <c r="CI25" s="74"/>
      <c r="CJ25" s="86"/>
      <c r="CK25" s="140">
        <f t="shared" si="29"/>
        <v>0</v>
      </c>
      <c r="CL25" s="74"/>
      <c r="CM25" s="86"/>
      <c r="CN25" s="140">
        <f t="shared" si="30"/>
        <v>0</v>
      </c>
      <c r="CO25" s="74"/>
      <c r="CP25" s="86"/>
      <c r="CQ25" s="140">
        <f t="shared" si="31"/>
        <v>0</v>
      </c>
      <c r="CR25" s="106"/>
    </row>
    <row r="26" spans="1:96" ht="15.75" thickBot="1" x14ac:dyDescent="0.3">
      <c r="A26" s="61" t="s">
        <v>39</v>
      </c>
      <c r="B26" s="178">
        <v>5.8500000000000003E-2</v>
      </c>
      <c r="C26" s="137">
        <f t="shared" si="1"/>
        <v>0</v>
      </c>
      <c r="D26" s="137">
        <f t="shared" si="1"/>
        <v>0</v>
      </c>
      <c r="E26" s="137">
        <f t="shared" si="0"/>
        <v>0</v>
      </c>
      <c r="F26" s="74"/>
      <c r="G26" s="86"/>
      <c r="H26" s="140">
        <f t="shared" si="2"/>
        <v>0</v>
      </c>
      <c r="I26" s="74"/>
      <c r="J26" s="86"/>
      <c r="K26" s="140">
        <f t="shared" si="3"/>
        <v>0</v>
      </c>
      <c r="L26" s="74"/>
      <c r="M26" s="86"/>
      <c r="N26" s="140">
        <f t="shared" si="4"/>
        <v>0</v>
      </c>
      <c r="O26" s="74"/>
      <c r="P26" s="86"/>
      <c r="Q26" s="140">
        <f t="shared" si="5"/>
        <v>0</v>
      </c>
      <c r="R26" s="74"/>
      <c r="S26" s="86"/>
      <c r="T26" s="140">
        <f t="shared" si="6"/>
        <v>0</v>
      </c>
      <c r="U26" s="74"/>
      <c r="V26" s="86"/>
      <c r="W26" s="140">
        <f t="shared" si="7"/>
        <v>0</v>
      </c>
      <c r="X26" s="74"/>
      <c r="Y26" s="86"/>
      <c r="Z26" s="140">
        <f t="shared" si="8"/>
        <v>0</v>
      </c>
      <c r="AA26" s="74"/>
      <c r="AB26" s="86"/>
      <c r="AC26" s="140">
        <f t="shared" si="9"/>
        <v>0</v>
      </c>
      <c r="AD26" s="74"/>
      <c r="AE26" s="86"/>
      <c r="AF26" s="140">
        <f t="shared" si="10"/>
        <v>0</v>
      </c>
      <c r="AG26" s="74"/>
      <c r="AH26" s="86"/>
      <c r="AI26" s="140">
        <f t="shared" si="11"/>
        <v>0</v>
      </c>
      <c r="AJ26" s="74"/>
      <c r="AK26" s="86"/>
      <c r="AL26" s="140">
        <f t="shared" si="12"/>
        <v>0</v>
      </c>
      <c r="AM26" s="74"/>
      <c r="AN26" s="86"/>
      <c r="AO26" s="140">
        <f t="shared" si="13"/>
        <v>0</v>
      </c>
      <c r="AP26" s="74"/>
      <c r="AQ26" s="86"/>
      <c r="AR26" s="140">
        <f t="shared" si="14"/>
        <v>0</v>
      </c>
      <c r="AS26" s="74"/>
      <c r="AT26" s="86"/>
      <c r="AU26" s="140">
        <f t="shared" si="15"/>
        <v>0</v>
      </c>
      <c r="AV26" s="74"/>
      <c r="AW26" s="86"/>
      <c r="AX26" s="140">
        <f t="shared" si="16"/>
        <v>0</v>
      </c>
      <c r="AY26" s="74"/>
      <c r="AZ26" s="86"/>
      <c r="BA26" s="140">
        <f t="shared" si="17"/>
        <v>0</v>
      </c>
      <c r="BB26" s="74"/>
      <c r="BC26" s="86"/>
      <c r="BD26" s="140">
        <f t="shared" si="18"/>
        <v>0</v>
      </c>
      <c r="BE26" s="74"/>
      <c r="BF26" s="86"/>
      <c r="BG26" s="140">
        <f t="shared" si="19"/>
        <v>0</v>
      </c>
      <c r="BH26" s="74"/>
      <c r="BI26" s="86"/>
      <c r="BJ26" s="140">
        <f t="shared" si="20"/>
        <v>0</v>
      </c>
      <c r="BK26" s="74"/>
      <c r="BL26" s="86"/>
      <c r="BM26" s="140">
        <f t="shared" si="21"/>
        <v>0</v>
      </c>
      <c r="BN26" s="74"/>
      <c r="BO26" s="86"/>
      <c r="BP26" s="140">
        <f t="shared" si="22"/>
        <v>0</v>
      </c>
      <c r="BQ26" s="74"/>
      <c r="BR26" s="86"/>
      <c r="BS26" s="140">
        <f t="shared" si="23"/>
        <v>0</v>
      </c>
      <c r="BT26" s="74"/>
      <c r="BU26" s="86"/>
      <c r="BV26" s="140">
        <f t="shared" si="24"/>
        <v>0</v>
      </c>
      <c r="BW26" s="74"/>
      <c r="BX26" s="86"/>
      <c r="BY26" s="140">
        <f t="shared" si="25"/>
        <v>0</v>
      </c>
      <c r="BZ26" s="74"/>
      <c r="CA26" s="86"/>
      <c r="CB26" s="140">
        <f t="shared" si="26"/>
        <v>0</v>
      </c>
      <c r="CC26" s="74"/>
      <c r="CD26" s="86"/>
      <c r="CE26" s="140">
        <f t="shared" si="27"/>
        <v>0</v>
      </c>
      <c r="CF26" s="74"/>
      <c r="CG26" s="86"/>
      <c r="CH26" s="140">
        <f t="shared" si="28"/>
        <v>0</v>
      </c>
      <c r="CI26" s="74"/>
      <c r="CJ26" s="86"/>
      <c r="CK26" s="140">
        <f t="shared" si="29"/>
        <v>0</v>
      </c>
      <c r="CL26" s="74"/>
      <c r="CM26" s="86"/>
      <c r="CN26" s="140">
        <f t="shared" si="30"/>
        <v>0</v>
      </c>
      <c r="CO26" s="74"/>
      <c r="CP26" s="86"/>
      <c r="CQ26" s="140">
        <f t="shared" si="31"/>
        <v>0</v>
      </c>
      <c r="CR26" s="106"/>
    </row>
    <row r="27" spans="1:96" ht="15.75" thickBot="1" x14ac:dyDescent="0.3">
      <c r="A27" s="61" t="s">
        <v>40</v>
      </c>
      <c r="B27" s="178">
        <v>5.45E-2</v>
      </c>
      <c r="C27" s="137">
        <f t="shared" si="1"/>
        <v>0</v>
      </c>
      <c r="D27" s="137">
        <f t="shared" si="1"/>
        <v>0</v>
      </c>
      <c r="E27" s="137">
        <f t="shared" si="0"/>
        <v>0</v>
      </c>
      <c r="F27" s="74"/>
      <c r="G27" s="86"/>
      <c r="H27" s="140">
        <f t="shared" si="2"/>
        <v>0</v>
      </c>
      <c r="I27" s="74"/>
      <c r="J27" s="86"/>
      <c r="K27" s="140">
        <f t="shared" si="3"/>
        <v>0</v>
      </c>
      <c r="L27" s="74"/>
      <c r="M27" s="86"/>
      <c r="N27" s="140">
        <f t="shared" si="4"/>
        <v>0</v>
      </c>
      <c r="O27" s="74"/>
      <c r="P27" s="86"/>
      <c r="Q27" s="140">
        <f t="shared" si="5"/>
        <v>0</v>
      </c>
      <c r="R27" s="74"/>
      <c r="S27" s="86"/>
      <c r="T27" s="140">
        <f t="shared" si="6"/>
        <v>0</v>
      </c>
      <c r="U27" s="74"/>
      <c r="V27" s="86"/>
      <c r="W27" s="140">
        <f t="shared" si="7"/>
        <v>0</v>
      </c>
      <c r="X27" s="74"/>
      <c r="Y27" s="86"/>
      <c r="Z27" s="140">
        <f t="shared" si="8"/>
        <v>0</v>
      </c>
      <c r="AA27" s="74"/>
      <c r="AB27" s="86"/>
      <c r="AC27" s="140">
        <f t="shared" si="9"/>
        <v>0</v>
      </c>
      <c r="AD27" s="74"/>
      <c r="AE27" s="86"/>
      <c r="AF27" s="140">
        <f t="shared" si="10"/>
        <v>0</v>
      </c>
      <c r="AG27" s="74"/>
      <c r="AH27" s="86"/>
      <c r="AI27" s="140">
        <f t="shared" si="11"/>
        <v>0</v>
      </c>
      <c r="AJ27" s="74"/>
      <c r="AK27" s="86"/>
      <c r="AL27" s="140">
        <f t="shared" si="12"/>
        <v>0</v>
      </c>
      <c r="AM27" s="74"/>
      <c r="AN27" s="86"/>
      <c r="AO27" s="140">
        <f t="shared" si="13"/>
        <v>0</v>
      </c>
      <c r="AP27" s="74"/>
      <c r="AQ27" s="86"/>
      <c r="AR27" s="140">
        <f t="shared" si="14"/>
        <v>0</v>
      </c>
      <c r="AS27" s="74"/>
      <c r="AT27" s="86"/>
      <c r="AU27" s="140">
        <f t="shared" si="15"/>
        <v>0</v>
      </c>
      <c r="AV27" s="74"/>
      <c r="AW27" s="86"/>
      <c r="AX27" s="140">
        <f t="shared" si="16"/>
        <v>0</v>
      </c>
      <c r="AY27" s="74"/>
      <c r="AZ27" s="86"/>
      <c r="BA27" s="140">
        <f t="shared" si="17"/>
        <v>0</v>
      </c>
      <c r="BB27" s="74"/>
      <c r="BC27" s="86"/>
      <c r="BD27" s="140">
        <f t="shared" si="18"/>
        <v>0</v>
      </c>
      <c r="BE27" s="74"/>
      <c r="BF27" s="86"/>
      <c r="BG27" s="140">
        <f t="shared" si="19"/>
        <v>0</v>
      </c>
      <c r="BH27" s="74"/>
      <c r="BI27" s="86"/>
      <c r="BJ27" s="140">
        <f t="shared" si="20"/>
        <v>0</v>
      </c>
      <c r="BK27" s="74"/>
      <c r="BL27" s="86"/>
      <c r="BM27" s="140">
        <f t="shared" si="21"/>
        <v>0</v>
      </c>
      <c r="BN27" s="74"/>
      <c r="BO27" s="86"/>
      <c r="BP27" s="140">
        <f t="shared" si="22"/>
        <v>0</v>
      </c>
      <c r="BQ27" s="74"/>
      <c r="BR27" s="86"/>
      <c r="BS27" s="140">
        <f t="shared" si="23"/>
        <v>0</v>
      </c>
      <c r="BT27" s="74"/>
      <c r="BU27" s="86"/>
      <c r="BV27" s="140">
        <f t="shared" si="24"/>
        <v>0</v>
      </c>
      <c r="BW27" s="74"/>
      <c r="BX27" s="86"/>
      <c r="BY27" s="140">
        <f t="shared" si="25"/>
        <v>0</v>
      </c>
      <c r="BZ27" s="74"/>
      <c r="CA27" s="86"/>
      <c r="CB27" s="140">
        <f t="shared" si="26"/>
        <v>0</v>
      </c>
      <c r="CC27" s="74"/>
      <c r="CD27" s="86"/>
      <c r="CE27" s="140">
        <f t="shared" si="27"/>
        <v>0</v>
      </c>
      <c r="CF27" s="74"/>
      <c r="CG27" s="86"/>
      <c r="CH27" s="140">
        <f t="shared" si="28"/>
        <v>0</v>
      </c>
      <c r="CI27" s="74"/>
      <c r="CJ27" s="86"/>
      <c r="CK27" s="140">
        <f t="shared" si="29"/>
        <v>0</v>
      </c>
      <c r="CL27" s="74"/>
      <c r="CM27" s="86"/>
      <c r="CN27" s="140">
        <f t="shared" si="30"/>
        <v>0</v>
      </c>
      <c r="CO27" s="74"/>
      <c r="CP27" s="86"/>
      <c r="CQ27" s="140">
        <f t="shared" si="31"/>
        <v>0</v>
      </c>
      <c r="CR27" s="106"/>
    </row>
    <row r="28" spans="1:96" ht="15.75" thickBot="1" x14ac:dyDescent="0.3">
      <c r="A28" s="61" t="s">
        <v>41</v>
      </c>
      <c r="B28" s="178">
        <v>6.7599999999999993E-2</v>
      </c>
      <c r="C28" s="137">
        <f t="shared" si="1"/>
        <v>0</v>
      </c>
      <c r="D28" s="137">
        <f t="shared" si="1"/>
        <v>0</v>
      </c>
      <c r="E28" s="137">
        <f t="shared" si="0"/>
        <v>0</v>
      </c>
      <c r="F28" s="74"/>
      <c r="G28" s="86"/>
      <c r="H28" s="140">
        <f t="shared" si="2"/>
        <v>0</v>
      </c>
      <c r="I28" s="74"/>
      <c r="J28" s="86"/>
      <c r="K28" s="140">
        <f t="shared" si="3"/>
        <v>0</v>
      </c>
      <c r="L28" s="74"/>
      <c r="M28" s="86"/>
      <c r="N28" s="140">
        <f t="shared" si="4"/>
        <v>0</v>
      </c>
      <c r="O28" s="74"/>
      <c r="P28" s="86"/>
      <c r="Q28" s="140">
        <f t="shared" si="5"/>
        <v>0</v>
      </c>
      <c r="R28" s="74"/>
      <c r="S28" s="86"/>
      <c r="T28" s="140">
        <f t="shared" si="6"/>
        <v>0</v>
      </c>
      <c r="U28" s="74"/>
      <c r="V28" s="86"/>
      <c r="W28" s="140">
        <f t="shared" si="7"/>
        <v>0</v>
      </c>
      <c r="X28" s="74"/>
      <c r="Y28" s="86"/>
      <c r="Z28" s="140">
        <f t="shared" si="8"/>
        <v>0</v>
      </c>
      <c r="AA28" s="74"/>
      <c r="AB28" s="86"/>
      <c r="AC28" s="140">
        <f t="shared" si="9"/>
        <v>0</v>
      </c>
      <c r="AD28" s="74"/>
      <c r="AE28" s="86"/>
      <c r="AF28" s="140">
        <f t="shared" si="10"/>
        <v>0</v>
      </c>
      <c r="AG28" s="74"/>
      <c r="AH28" s="86"/>
      <c r="AI28" s="140">
        <f t="shared" si="11"/>
        <v>0</v>
      </c>
      <c r="AJ28" s="74"/>
      <c r="AK28" s="86"/>
      <c r="AL28" s="140">
        <f t="shared" si="12"/>
        <v>0</v>
      </c>
      <c r="AM28" s="74"/>
      <c r="AN28" s="86"/>
      <c r="AO28" s="140">
        <f t="shared" si="13"/>
        <v>0</v>
      </c>
      <c r="AP28" s="74"/>
      <c r="AQ28" s="86"/>
      <c r="AR28" s="140">
        <f t="shared" si="14"/>
        <v>0</v>
      </c>
      <c r="AS28" s="74"/>
      <c r="AT28" s="86"/>
      <c r="AU28" s="140">
        <f t="shared" si="15"/>
        <v>0</v>
      </c>
      <c r="AV28" s="74"/>
      <c r="AW28" s="86"/>
      <c r="AX28" s="140">
        <f t="shared" si="16"/>
        <v>0</v>
      </c>
      <c r="AY28" s="74"/>
      <c r="AZ28" s="86"/>
      <c r="BA28" s="140">
        <f t="shared" si="17"/>
        <v>0</v>
      </c>
      <c r="BB28" s="74"/>
      <c r="BC28" s="86"/>
      <c r="BD28" s="140">
        <f t="shared" si="18"/>
        <v>0</v>
      </c>
      <c r="BE28" s="74"/>
      <c r="BF28" s="86"/>
      <c r="BG28" s="140">
        <f t="shared" si="19"/>
        <v>0</v>
      </c>
      <c r="BH28" s="74"/>
      <c r="BI28" s="86"/>
      <c r="BJ28" s="140">
        <f t="shared" si="20"/>
        <v>0</v>
      </c>
      <c r="BK28" s="74"/>
      <c r="BL28" s="86"/>
      <c r="BM28" s="140">
        <f t="shared" si="21"/>
        <v>0</v>
      </c>
      <c r="BN28" s="74"/>
      <c r="BO28" s="86"/>
      <c r="BP28" s="140">
        <f t="shared" si="22"/>
        <v>0</v>
      </c>
      <c r="BQ28" s="74"/>
      <c r="BR28" s="86"/>
      <c r="BS28" s="140">
        <f t="shared" si="23"/>
        <v>0</v>
      </c>
      <c r="BT28" s="74"/>
      <c r="BU28" s="86"/>
      <c r="BV28" s="140">
        <f t="shared" si="24"/>
        <v>0</v>
      </c>
      <c r="BW28" s="74"/>
      <c r="BX28" s="86"/>
      <c r="BY28" s="140">
        <f t="shared" si="25"/>
        <v>0</v>
      </c>
      <c r="BZ28" s="74"/>
      <c r="CA28" s="86"/>
      <c r="CB28" s="140">
        <f t="shared" si="26"/>
        <v>0</v>
      </c>
      <c r="CC28" s="74"/>
      <c r="CD28" s="86"/>
      <c r="CE28" s="140">
        <f t="shared" si="27"/>
        <v>0</v>
      </c>
      <c r="CF28" s="74"/>
      <c r="CG28" s="86"/>
      <c r="CH28" s="140">
        <f t="shared" si="28"/>
        <v>0</v>
      </c>
      <c r="CI28" s="74"/>
      <c r="CJ28" s="86"/>
      <c r="CK28" s="140">
        <f t="shared" si="29"/>
        <v>0</v>
      </c>
      <c r="CL28" s="74"/>
      <c r="CM28" s="86"/>
      <c r="CN28" s="140">
        <f t="shared" si="30"/>
        <v>0</v>
      </c>
      <c r="CO28" s="74"/>
      <c r="CP28" s="86"/>
      <c r="CQ28" s="140">
        <f t="shared" si="31"/>
        <v>0</v>
      </c>
      <c r="CR28" s="106"/>
    </row>
    <row r="29" spans="1:96" ht="15.75" thickBot="1" x14ac:dyDescent="0.3">
      <c r="A29" s="61" t="s">
        <v>42</v>
      </c>
      <c r="B29" s="178">
        <v>6.4299999999999996E-2</v>
      </c>
      <c r="C29" s="137">
        <f t="shared" si="1"/>
        <v>0</v>
      </c>
      <c r="D29" s="137">
        <f t="shared" si="1"/>
        <v>0</v>
      </c>
      <c r="E29" s="137">
        <f t="shared" si="0"/>
        <v>0</v>
      </c>
      <c r="F29" s="74"/>
      <c r="G29" s="86"/>
      <c r="H29" s="140">
        <f t="shared" si="2"/>
        <v>0</v>
      </c>
      <c r="I29" s="74"/>
      <c r="J29" s="86"/>
      <c r="K29" s="140">
        <f t="shared" si="3"/>
        <v>0</v>
      </c>
      <c r="L29" s="74"/>
      <c r="M29" s="86"/>
      <c r="N29" s="140">
        <f t="shared" si="4"/>
        <v>0</v>
      </c>
      <c r="O29" s="74"/>
      <c r="P29" s="86"/>
      <c r="Q29" s="140">
        <f t="shared" si="5"/>
        <v>0</v>
      </c>
      <c r="R29" s="74"/>
      <c r="S29" s="86"/>
      <c r="T29" s="140">
        <f t="shared" si="6"/>
        <v>0</v>
      </c>
      <c r="U29" s="74"/>
      <c r="V29" s="86"/>
      <c r="W29" s="140">
        <f t="shared" si="7"/>
        <v>0</v>
      </c>
      <c r="X29" s="74"/>
      <c r="Y29" s="86"/>
      <c r="Z29" s="140">
        <f t="shared" si="8"/>
        <v>0</v>
      </c>
      <c r="AA29" s="74"/>
      <c r="AB29" s="86"/>
      <c r="AC29" s="140">
        <f t="shared" si="9"/>
        <v>0</v>
      </c>
      <c r="AD29" s="74"/>
      <c r="AE29" s="86"/>
      <c r="AF29" s="140">
        <f t="shared" si="10"/>
        <v>0</v>
      </c>
      <c r="AG29" s="74"/>
      <c r="AH29" s="86"/>
      <c r="AI29" s="140">
        <f t="shared" si="11"/>
        <v>0</v>
      </c>
      <c r="AJ29" s="74"/>
      <c r="AK29" s="86"/>
      <c r="AL29" s="140">
        <f t="shared" si="12"/>
        <v>0</v>
      </c>
      <c r="AM29" s="74"/>
      <c r="AN29" s="86"/>
      <c r="AO29" s="140">
        <f t="shared" si="13"/>
        <v>0</v>
      </c>
      <c r="AP29" s="74"/>
      <c r="AQ29" s="86"/>
      <c r="AR29" s="140">
        <f t="shared" si="14"/>
        <v>0</v>
      </c>
      <c r="AS29" s="74"/>
      <c r="AT29" s="86"/>
      <c r="AU29" s="140">
        <f t="shared" si="15"/>
        <v>0</v>
      </c>
      <c r="AV29" s="74"/>
      <c r="AW29" s="86"/>
      <c r="AX29" s="140">
        <f t="shared" si="16"/>
        <v>0</v>
      </c>
      <c r="AY29" s="74"/>
      <c r="AZ29" s="86"/>
      <c r="BA29" s="140">
        <f t="shared" si="17"/>
        <v>0</v>
      </c>
      <c r="BB29" s="74"/>
      <c r="BC29" s="86"/>
      <c r="BD29" s="140">
        <f t="shared" si="18"/>
        <v>0</v>
      </c>
      <c r="BE29" s="74"/>
      <c r="BF29" s="86"/>
      <c r="BG29" s="140">
        <f t="shared" si="19"/>
        <v>0</v>
      </c>
      <c r="BH29" s="74"/>
      <c r="BI29" s="86"/>
      <c r="BJ29" s="140">
        <f t="shared" si="20"/>
        <v>0</v>
      </c>
      <c r="BK29" s="74"/>
      <c r="BL29" s="86"/>
      <c r="BM29" s="140">
        <f t="shared" si="21"/>
        <v>0</v>
      </c>
      <c r="BN29" s="74"/>
      <c r="BO29" s="86"/>
      <c r="BP29" s="140">
        <f t="shared" si="22"/>
        <v>0</v>
      </c>
      <c r="BQ29" s="74"/>
      <c r="BR29" s="86"/>
      <c r="BS29" s="140">
        <f t="shared" si="23"/>
        <v>0</v>
      </c>
      <c r="BT29" s="74"/>
      <c r="BU29" s="86"/>
      <c r="BV29" s="140">
        <f t="shared" si="24"/>
        <v>0</v>
      </c>
      <c r="BW29" s="74"/>
      <c r="BX29" s="86"/>
      <c r="BY29" s="140">
        <f t="shared" si="25"/>
        <v>0</v>
      </c>
      <c r="BZ29" s="74"/>
      <c r="CA29" s="86"/>
      <c r="CB29" s="140">
        <f t="shared" si="26"/>
        <v>0</v>
      </c>
      <c r="CC29" s="74"/>
      <c r="CD29" s="86"/>
      <c r="CE29" s="140">
        <f t="shared" si="27"/>
        <v>0</v>
      </c>
      <c r="CF29" s="74"/>
      <c r="CG29" s="86"/>
      <c r="CH29" s="140">
        <f t="shared" si="28"/>
        <v>0</v>
      </c>
      <c r="CI29" s="74"/>
      <c r="CJ29" s="86"/>
      <c r="CK29" s="140">
        <f t="shared" si="29"/>
        <v>0</v>
      </c>
      <c r="CL29" s="74"/>
      <c r="CM29" s="86"/>
      <c r="CN29" s="140">
        <f t="shared" si="30"/>
        <v>0</v>
      </c>
      <c r="CO29" s="74"/>
      <c r="CP29" s="86"/>
      <c r="CQ29" s="140">
        <f t="shared" si="31"/>
        <v>0</v>
      </c>
      <c r="CR29" s="106"/>
    </row>
    <row r="30" spans="1:96" ht="15.75" thickBot="1" x14ac:dyDescent="0.3">
      <c r="A30" s="61" t="s">
        <v>43</v>
      </c>
      <c r="B30" s="178">
        <v>7.5800000000000006E-2</v>
      </c>
      <c r="C30" s="137">
        <f t="shared" si="1"/>
        <v>0</v>
      </c>
      <c r="D30" s="137">
        <f t="shared" si="1"/>
        <v>0</v>
      </c>
      <c r="E30" s="137">
        <f t="shared" si="0"/>
        <v>0</v>
      </c>
      <c r="F30" s="74"/>
      <c r="G30" s="86"/>
      <c r="H30" s="140">
        <f t="shared" si="2"/>
        <v>0</v>
      </c>
      <c r="I30" s="74"/>
      <c r="J30" s="86"/>
      <c r="K30" s="140">
        <f t="shared" si="3"/>
        <v>0</v>
      </c>
      <c r="L30" s="74"/>
      <c r="M30" s="86"/>
      <c r="N30" s="140">
        <f t="shared" si="4"/>
        <v>0</v>
      </c>
      <c r="O30" s="74"/>
      <c r="P30" s="86"/>
      <c r="Q30" s="140">
        <f t="shared" si="5"/>
        <v>0</v>
      </c>
      <c r="R30" s="74"/>
      <c r="S30" s="86"/>
      <c r="T30" s="140">
        <f t="shared" si="6"/>
        <v>0</v>
      </c>
      <c r="U30" s="74"/>
      <c r="V30" s="86"/>
      <c r="W30" s="140">
        <f t="shared" si="7"/>
        <v>0</v>
      </c>
      <c r="X30" s="74"/>
      <c r="Y30" s="86"/>
      <c r="Z30" s="140">
        <f t="shared" si="8"/>
        <v>0</v>
      </c>
      <c r="AA30" s="74"/>
      <c r="AB30" s="86"/>
      <c r="AC30" s="140">
        <f t="shared" si="9"/>
        <v>0</v>
      </c>
      <c r="AD30" s="74"/>
      <c r="AE30" s="86"/>
      <c r="AF30" s="140">
        <f t="shared" si="10"/>
        <v>0</v>
      </c>
      <c r="AG30" s="74"/>
      <c r="AH30" s="86"/>
      <c r="AI30" s="140">
        <f t="shared" si="11"/>
        <v>0</v>
      </c>
      <c r="AJ30" s="74"/>
      <c r="AK30" s="86"/>
      <c r="AL30" s="140">
        <f t="shared" si="12"/>
        <v>0</v>
      </c>
      <c r="AM30" s="74"/>
      <c r="AN30" s="86"/>
      <c r="AO30" s="140">
        <f t="shared" si="13"/>
        <v>0</v>
      </c>
      <c r="AP30" s="74"/>
      <c r="AQ30" s="86"/>
      <c r="AR30" s="140">
        <f t="shared" si="14"/>
        <v>0</v>
      </c>
      <c r="AS30" s="74"/>
      <c r="AT30" s="86"/>
      <c r="AU30" s="140">
        <f t="shared" si="15"/>
        <v>0</v>
      </c>
      <c r="AV30" s="74"/>
      <c r="AW30" s="86"/>
      <c r="AX30" s="140">
        <f t="shared" si="16"/>
        <v>0</v>
      </c>
      <c r="AY30" s="74"/>
      <c r="AZ30" s="86"/>
      <c r="BA30" s="140">
        <f t="shared" si="17"/>
        <v>0</v>
      </c>
      <c r="BB30" s="74"/>
      <c r="BC30" s="86"/>
      <c r="BD30" s="140">
        <f t="shared" si="18"/>
        <v>0</v>
      </c>
      <c r="BE30" s="74"/>
      <c r="BF30" s="86"/>
      <c r="BG30" s="140">
        <f t="shared" si="19"/>
        <v>0</v>
      </c>
      <c r="BH30" s="74"/>
      <c r="BI30" s="86"/>
      <c r="BJ30" s="140">
        <f t="shared" si="20"/>
        <v>0</v>
      </c>
      <c r="BK30" s="74"/>
      <c r="BL30" s="86"/>
      <c r="BM30" s="140">
        <f t="shared" si="21"/>
        <v>0</v>
      </c>
      <c r="BN30" s="74"/>
      <c r="BO30" s="86"/>
      <c r="BP30" s="140">
        <f t="shared" si="22"/>
        <v>0</v>
      </c>
      <c r="BQ30" s="74"/>
      <c r="BR30" s="86"/>
      <c r="BS30" s="140">
        <f t="shared" si="23"/>
        <v>0</v>
      </c>
      <c r="BT30" s="74"/>
      <c r="BU30" s="86"/>
      <c r="BV30" s="140">
        <f t="shared" si="24"/>
        <v>0</v>
      </c>
      <c r="BW30" s="74"/>
      <c r="BX30" s="86"/>
      <c r="BY30" s="140">
        <f t="shared" si="25"/>
        <v>0</v>
      </c>
      <c r="BZ30" s="74"/>
      <c r="CA30" s="86"/>
      <c r="CB30" s="140">
        <f t="shared" si="26"/>
        <v>0</v>
      </c>
      <c r="CC30" s="74"/>
      <c r="CD30" s="86"/>
      <c r="CE30" s="140">
        <f t="shared" si="27"/>
        <v>0</v>
      </c>
      <c r="CF30" s="74"/>
      <c r="CG30" s="86"/>
      <c r="CH30" s="140">
        <f t="shared" si="28"/>
        <v>0</v>
      </c>
      <c r="CI30" s="74"/>
      <c r="CJ30" s="86"/>
      <c r="CK30" s="140">
        <f t="shared" si="29"/>
        <v>0</v>
      </c>
      <c r="CL30" s="74"/>
      <c r="CM30" s="86"/>
      <c r="CN30" s="140">
        <f t="shared" si="30"/>
        <v>0</v>
      </c>
      <c r="CO30" s="74"/>
      <c r="CP30" s="86"/>
      <c r="CQ30" s="140">
        <f t="shared" si="31"/>
        <v>0</v>
      </c>
      <c r="CR30" s="106"/>
    </row>
    <row r="31" spans="1:96" ht="15.75" thickBot="1" x14ac:dyDescent="0.3">
      <c r="A31" s="61" t="s">
        <v>44</v>
      </c>
      <c r="B31" s="178">
        <v>6.4600000000000005E-2</v>
      </c>
      <c r="C31" s="137">
        <f t="shared" si="1"/>
        <v>0</v>
      </c>
      <c r="D31" s="137">
        <f t="shared" si="1"/>
        <v>0</v>
      </c>
      <c r="E31" s="137">
        <f t="shared" si="0"/>
        <v>0</v>
      </c>
      <c r="F31" s="74"/>
      <c r="G31" s="86"/>
      <c r="H31" s="140">
        <f t="shared" si="2"/>
        <v>0</v>
      </c>
      <c r="I31" s="74"/>
      <c r="J31" s="86"/>
      <c r="K31" s="140">
        <f t="shared" si="3"/>
        <v>0</v>
      </c>
      <c r="L31" s="74"/>
      <c r="M31" s="86"/>
      <c r="N31" s="140">
        <f t="shared" si="4"/>
        <v>0</v>
      </c>
      <c r="O31" s="74"/>
      <c r="P31" s="86"/>
      <c r="Q31" s="140">
        <f t="shared" si="5"/>
        <v>0</v>
      </c>
      <c r="R31" s="74"/>
      <c r="S31" s="86"/>
      <c r="T31" s="140">
        <f t="shared" si="6"/>
        <v>0</v>
      </c>
      <c r="U31" s="74"/>
      <c r="V31" s="86"/>
      <c r="W31" s="140">
        <f t="shared" si="7"/>
        <v>0</v>
      </c>
      <c r="X31" s="74"/>
      <c r="Y31" s="86"/>
      <c r="Z31" s="140">
        <f t="shared" si="8"/>
        <v>0</v>
      </c>
      <c r="AA31" s="74"/>
      <c r="AB31" s="86"/>
      <c r="AC31" s="140">
        <f t="shared" si="9"/>
        <v>0</v>
      </c>
      <c r="AD31" s="74"/>
      <c r="AE31" s="86"/>
      <c r="AF31" s="140">
        <f t="shared" si="10"/>
        <v>0</v>
      </c>
      <c r="AG31" s="74"/>
      <c r="AH31" s="86"/>
      <c r="AI31" s="140">
        <f t="shared" si="11"/>
        <v>0</v>
      </c>
      <c r="AJ31" s="74"/>
      <c r="AK31" s="86"/>
      <c r="AL31" s="140">
        <f t="shared" si="12"/>
        <v>0</v>
      </c>
      <c r="AM31" s="74"/>
      <c r="AN31" s="86"/>
      <c r="AO31" s="140">
        <f t="shared" si="13"/>
        <v>0</v>
      </c>
      <c r="AP31" s="74"/>
      <c r="AQ31" s="86"/>
      <c r="AR31" s="140">
        <f t="shared" si="14"/>
        <v>0</v>
      </c>
      <c r="AS31" s="74"/>
      <c r="AT31" s="86"/>
      <c r="AU31" s="140">
        <f t="shared" si="15"/>
        <v>0</v>
      </c>
      <c r="AV31" s="74"/>
      <c r="AW31" s="86"/>
      <c r="AX31" s="140">
        <f t="shared" si="16"/>
        <v>0</v>
      </c>
      <c r="AY31" s="74"/>
      <c r="AZ31" s="86"/>
      <c r="BA31" s="140">
        <f t="shared" si="17"/>
        <v>0</v>
      </c>
      <c r="BB31" s="74"/>
      <c r="BC31" s="86"/>
      <c r="BD31" s="140">
        <f t="shared" si="18"/>
        <v>0</v>
      </c>
      <c r="BE31" s="74"/>
      <c r="BF31" s="86"/>
      <c r="BG31" s="140">
        <f t="shared" si="19"/>
        <v>0</v>
      </c>
      <c r="BH31" s="74"/>
      <c r="BI31" s="86"/>
      <c r="BJ31" s="140">
        <f t="shared" si="20"/>
        <v>0</v>
      </c>
      <c r="BK31" s="74"/>
      <c r="BL31" s="86"/>
      <c r="BM31" s="140">
        <f t="shared" si="21"/>
        <v>0</v>
      </c>
      <c r="BN31" s="74"/>
      <c r="BO31" s="86"/>
      <c r="BP31" s="140">
        <f t="shared" si="22"/>
        <v>0</v>
      </c>
      <c r="BQ31" s="74"/>
      <c r="BR31" s="86"/>
      <c r="BS31" s="140">
        <f t="shared" si="23"/>
        <v>0</v>
      </c>
      <c r="BT31" s="74"/>
      <c r="BU31" s="86"/>
      <c r="BV31" s="140">
        <f t="shared" si="24"/>
        <v>0</v>
      </c>
      <c r="BW31" s="74"/>
      <c r="BX31" s="86"/>
      <c r="BY31" s="140">
        <f t="shared" si="25"/>
        <v>0</v>
      </c>
      <c r="BZ31" s="74"/>
      <c r="CA31" s="86"/>
      <c r="CB31" s="140">
        <f t="shared" si="26"/>
        <v>0</v>
      </c>
      <c r="CC31" s="74"/>
      <c r="CD31" s="86"/>
      <c r="CE31" s="140">
        <f t="shared" si="27"/>
        <v>0</v>
      </c>
      <c r="CF31" s="74"/>
      <c r="CG31" s="86"/>
      <c r="CH31" s="140">
        <f t="shared" si="28"/>
        <v>0</v>
      </c>
      <c r="CI31" s="74"/>
      <c r="CJ31" s="86"/>
      <c r="CK31" s="140">
        <f t="shared" si="29"/>
        <v>0</v>
      </c>
      <c r="CL31" s="74"/>
      <c r="CM31" s="86"/>
      <c r="CN31" s="140">
        <f t="shared" si="30"/>
        <v>0</v>
      </c>
      <c r="CO31" s="74"/>
      <c r="CP31" s="86"/>
      <c r="CQ31" s="140">
        <f t="shared" si="31"/>
        <v>0</v>
      </c>
      <c r="CR31" s="106"/>
    </row>
    <row r="32" spans="1:96" ht="15.75" thickBot="1" x14ac:dyDescent="0.3">
      <c r="A32" s="61" t="s">
        <v>45</v>
      </c>
      <c r="B32" s="178">
        <v>9.0800000000000006E-2</v>
      </c>
      <c r="C32" s="137">
        <f t="shared" si="1"/>
        <v>0</v>
      </c>
      <c r="D32" s="137">
        <f t="shared" si="1"/>
        <v>0</v>
      </c>
      <c r="E32" s="137">
        <f t="shared" si="0"/>
        <v>0</v>
      </c>
      <c r="F32" s="74"/>
      <c r="G32" s="86"/>
      <c r="H32" s="140">
        <f t="shared" si="2"/>
        <v>0</v>
      </c>
      <c r="I32" s="74"/>
      <c r="J32" s="86"/>
      <c r="K32" s="140">
        <f t="shared" si="3"/>
        <v>0</v>
      </c>
      <c r="L32" s="74"/>
      <c r="M32" s="86"/>
      <c r="N32" s="140">
        <f t="shared" si="4"/>
        <v>0</v>
      </c>
      <c r="O32" s="74"/>
      <c r="P32" s="86"/>
      <c r="Q32" s="140">
        <f t="shared" si="5"/>
        <v>0</v>
      </c>
      <c r="R32" s="74"/>
      <c r="S32" s="86"/>
      <c r="T32" s="140">
        <f t="shared" si="6"/>
        <v>0</v>
      </c>
      <c r="U32" s="74"/>
      <c r="V32" s="86"/>
      <c r="W32" s="140">
        <f t="shared" si="7"/>
        <v>0</v>
      </c>
      <c r="X32" s="74"/>
      <c r="Y32" s="86"/>
      <c r="Z32" s="140">
        <f t="shared" si="8"/>
        <v>0</v>
      </c>
      <c r="AA32" s="74"/>
      <c r="AB32" s="86"/>
      <c r="AC32" s="140">
        <f t="shared" si="9"/>
        <v>0</v>
      </c>
      <c r="AD32" s="74"/>
      <c r="AE32" s="86"/>
      <c r="AF32" s="140">
        <f t="shared" si="10"/>
        <v>0</v>
      </c>
      <c r="AG32" s="74"/>
      <c r="AH32" s="86"/>
      <c r="AI32" s="140">
        <f t="shared" si="11"/>
        <v>0</v>
      </c>
      <c r="AJ32" s="74"/>
      <c r="AK32" s="86"/>
      <c r="AL32" s="140">
        <f t="shared" si="12"/>
        <v>0</v>
      </c>
      <c r="AM32" s="74"/>
      <c r="AN32" s="86"/>
      <c r="AO32" s="140">
        <f t="shared" si="13"/>
        <v>0</v>
      </c>
      <c r="AP32" s="74"/>
      <c r="AQ32" s="86"/>
      <c r="AR32" s="140">
        <f t="shared" si="14"/>
        <v>0</v>
      </c>
      <c r="AS32" s="74"/>
      <c r="AT32" s="86"/>
      <c r="AU32" s="140">
        <f t="shared" si="15"/>
        <v>0</v>
      </c>
      <c r="AV32" s="74"/>
      <c r="AW32" s="86"/>
      <c r="AX32" s="140">
        <f t="shared" si="16"/>
        <v>0</v>
      </c>
      <c r="AY32" s="74"/>
      <c r="AZ32" s="86"/>
      <c r="BA32" s="140">
        <f t="shared" si="17"/>
        <v>0</v>
      </c>
      <c r="BB32" s="74"/>
      <c r="BC32" s="86"/>
      <c r="BD32" s="140">
        <f t="shared" si="18"/>
        <v>0</v>
      </c>
      <c r="BE32" s="74"/>
      <c r="BF32" s="86"/>
      <c r="BG32" s="140">
        <f t="shared" si="19"/>
        <v>0</v>
      </c>
      <c r="BH32" s="74"/>
      <c r="BI32" s="86"/>
      <c r="BJ32" s="140">
        <f t="shared" si="20"/>
        <v>0</v>
      </c>
      <c r="BK32" s="74"/>
      <c r="BL32" s="86"/>
      <c r="BM32" s="140">
        <f t="shared" si="21"/>
        <v>0</v>
      </c>
      <c r="BN32" s="74"/>
      <c r="BO32" s="86"/>
      <c r="BP32" s="140">
        <f t="shared" si="22"/>
        <v>0</v>
      </c>
      <c r="BQ32" s="74"/>
      <c r="BR32" s="86"/>
      <c r="BS32" s="140">
        <f t="shared" si="23"/>
        <v>0</v>
      </c>
      <c r="BT32" s="74"/>
      <c r="BU32" s="86"/>
      <c r="BV32" s="140">
        <f t="shared" si="24"/>
        <v>0</v>
      </c>
      <c r="BW32" s="74"/>
      <c r="BX32" s="86"/>
      <c r="BY32" s="140">
        <f t="shared" si="25"/>
        <v>0</v>
      </c>
      <c r="BZ32" s="74"/>
      <c r="CA32" s="86"/>
      <c r="CB32" s="140">
        <f t="shared" si="26"/>
        <v>0</v>
      </c>
      <c r="CC32" s="74"/>
      <c r="CD32" s="86"/>
      <c r="CE32" s="140">
        <f t="shared" si="27"/>
        <v>0</v>
      </c>
      <c r="CF32" s="74"/>
      <c r="CG32" s="86"/>
      <c r="CH32" s="140">
        <f t="shared" si="28"/>
        <v>0</v>
      </c>
      <c r="CI32" s="74"/>
      <c r="CJ32" s="86"/>
      <c r="CK32" s="140">
        <f t="shared" si="29"/>
        <v>0</v>
      </c>
      <c r="CL32" s="74"/>
      <c r="CM32" s="86"/>
      <c r="CN32" s="140">
        <f t="shared" si="30"/>
        <v>0</v>
      </c>
      <c r="CO32" s="74"/>
      <c r="CP32" s="86"/>
      <c r="CQ32" s="140">
        <f t="shared" si="31"/>
        <v>0</v>
      </c>
      <c r="CR32" s="106"/>
    </row>
    <row r="33" spans="1:96" ht="15.75" thickBot="1" x14ac:dyDescent="0.3">
      <c r="A33" s="61" t="s">
        <v>46</v>
      </c>
      <c r="B33" s="178">
        <v>6.7100000000000007E-2</v>
      </c>
      <c r="C33" s="137">
        <f t="shared" si="1"/>
        <v>0</v>
      </c>
      <c r="D33" s="137">
        <f t="shared" si="1"/>
        <v>0</v>
      </c>
      <c r="E33" s="137">
        <f t="shared" si="0"/>
        <v>0</v>
      </c>
      <c r="F33" s="74"/>
      <c r="G33" s="86"/>
      <c r="H33" s="140">
        <f t="shared" si="2"/>
        <v>0</v>
      </c>
      <c r="I33" s="74"/>
      <c r="J33" s="86"/>
      <c r="K33" s="140">
        <f t="shared" si="3"/>
        <v>0</v>
      </c>
      <c r="L33" s="74"/>
      <c r="M33" s="86"/>
      <c r="N33" s="140">
        <f t="shared" si="4"/>
        <v>0</v>
      </c>
      <c r="O33" s="74"/>
      <c r="P33" s="86"/>
      <c r="Q33" s="140">
        <f t="shared" si="5"/>
        <v>0</v>
      </c>
      <c r="R33" s="74"/>
      <c r="S33" s="86"/>
      <c r="T33" s="140">
        <f t="shared" si="6"/>
        <v>0</v>
      </c>
      <c r="U33" s="74"/>
      <c r="V33" s="86"/>
      <c r="W33" s="140">
        <f t="shared" si="7"/>
        <v>0</v>
      </c>
      <c r="X33" s="74"/>
      <c r="Y33" s="86"/>
      <c r="Z33" s="140">
        <f t="shared" si="8"/>
        <v>0</v>
      </c>
      <c r="AA33" s="74"/>
      <c r="AB33" s="86"/>
      <c r="AC33" s="140">
        <f t="shared" si="9"/>
        <v>0</v>
      </c>
      <c r="AD33" s="74"/>
      <c r="AE33" s="86"/>
      <c r="AF33" s="140">
        <f t="shared" si="10"/>
        <v>0</v>
      </c>
      <c r="AG33" s="74"/>
      <c r="AH33" s="86"/>
      <c r="AI33" s="140">
        <f t="shared" si="11"/>
        <v>0</v>
      </c>
      <c r="AJ33" s="74"/>
      <c r="AK33" s="86"/>
      <c r="AL33" s="140">
        <f t="shared" si="12"/>
        <v>0</v>
      </c>
      <c r="AM33" s="74"/>
      <c r="AN33" s="86"/>
      <c r="AO33" s="140">
        <f t="shared" si="13"/>
        <v>0</v>
      </c>
      <c r="AP33" s="74"/>
      <c r="AQ33" s="86"/>
      <c r="AR33" s="140">
        <f t="shared" si="14"/>
        <v>0</v>
      </c>
      <c r="AS33" s="74"/>
      <c r="AT33" s="86"/>
      <c r="AU33" s="140">
        <f t="shared" si="15"/>
        <v>0</v>
      </c>
      <c r="AV33" s="74"/>
      <c r="AW33" s="86"/>
      <c r="AX33" s="140">
        <f t="shared" si="16"/>
        <v>0</v>
      </c>
      <c r="AY33" s="74"/>
      <c r="AZ33" s="86"/>
      <c r="BA33" s="140">
        <f t="shared" si="17"/>
        <v>0</v>
      </c>
      <c r="BB33" s="74"/>
      <c r="BC33" s="86"/>
      <c r="BD33" s="140">
        <f t="shared" si="18"/>
        <v>0</v>
      </c>
      <c r="BE33" s="74"/>
      <c r="BF33" s="86"/>
      <c r="BG33" s="140">
        <f t="shared" si="19"/>
        <v>0</v>
      </c>
      <c r="BH33" s="74"/>
      <c r="BI33" s="86"/>
      <c r="BJ33" s="140">
        <f t="shared" si="20"/>
        <v>0</v>
      </c>
      <c r="BK33" s="74"/>
      <c r="BL33" s="86"/>
      <c r="BM33" s="140">
        <f t="shared" si="21"/>
        <v>0</v>
      </c>
      <c r="BN33" s="74"/>
      <c r="BO33" s="86"/>
      <c r="BP33" s="140">
        <f t="shared" si="22"/>
        <v>0</v>
      </c>
      <c r="BQ33" s="74"/>
      <c r="BR33" s="86"/>
      <c r="BS33" s="140">
        <f t="shared" si="23"/>
        <v>0</v>
      </c>
      <c r="BT33" s="74"/>
      <c r="BU33" s="86"/>
      <c r="BV33" s="140">
        <f t="shared" si="24"/>
        <v>0</v>
      </c>
      <c r="BW33" s="74"/>
      <c r="BX33" s="86"/>
      <c r="BY33" s="140">
        <f t="shared" si="25"/>
        <v>0</v>
      </c>
      <c r="BZ33" s="74"/>
      <c r="CA33" s="86"/>
      <c r="CB33" s="140">
        <f t="shared" si="26"/>
        <v>0</v>
      </c>
      <c r="CC33" s="74"/>
      <c r="CD33" s="86"/>
      <c r="CE33" s="140">
        <f t="shared" si="27"/>
        <v>0</v>
      </c>
      <c r="CF33" s="74"/>
      <c r="CG33" s="86"/>
      <c r="CH33" s="140">
        <f t="shared" si="28"/>
        <v>0</v>
      </c>
      <c r="CI33" s="74"/>
      <c r="CJ33" s="86"/>
      <c r="CK33" s="140">
        <f t="shared" si="29"/>
        <v>0</v>
      </c>
      <c r="CL33" s="74"/>
      <c r="CM33" s="86"/>
      <c r="CN33" s="140">
        <f t="shared" si="30"/>
        <v>0</v>
      </c>
      <c r="CO33" s="74"/>
      <c r="CP33" s="86"/>
      <c r="CQ33" s="140">
        <f t="shared" si="31"/>
        <v>0</v>
      </c>
      <c r="CR33" s="106"/>
    </row>
    <row r="34" spans="1:96" ht="15.75" thickBot="1" x14ac:dyDescent="0.3">
      <c r="A34" s="170" t="s">
        <v>47</v>
      </c>
      <c r="B34" s="273"/>
      <c r="C34" s="137">
        <f t="shared" si="1"/>
        <v>0</v>
      </c>
      <c r="D34" s="137">
        <f t="shared" si="1"/>
        <v>0</v>
      </c>
      <c r="E34" s="137">
        <f t="shared" si="0"/>
        <v>0</v>
      </c>
      <c r="F34" s="74"/>
      <c r="G34" s="86"/>
      <c r="H34" s="140">
        <f t="shared" si="2"/>
        <v>0</v>
      </c>
      <c r="I34" s="74"/>
      <c r="J34" s="86"/>
      <c r="K34" s="140">
        <f t="shared" si="3"/>
        <v>0</v>
      </c>
      <c r="L34" s="74"/>
      <c r="M34" s="86"/>
      <c r="N34" s="140">
        <f t="shared" si="4"/>
        <v>0</v>
      </c>
      <c r="O34" s="74"/>
      <c r="P34" s="86"/>
      <c r="Q34" s="140">
        <f t="shared" si="5"/>
        <v>0</v>
      </c>
      <c r="R34" s="74"/>
      <c r="S34" s="86"/>
      <c r="T34" s="140">
        <f t="shared" si="6"/>
        <v>0</v>
      </c>
      <c r="U34" s="74"/>
      <c r="V34" s="86"/>
      <c r="W34" s="140">
        <f t="shared" si="7"/>
        <v>0</v>
      </c>
      <c r="X34" s="74"/>
      <c r="Y34" s="86"/>
      <c r="Z34" s="140">
        <f t="shared" si="8"/>
        <v>0</v>
      </c>
      <c r="AA34" s="74"/>
      <c r="AB34" s="86"/>
      <c r="AC34" s="140">
        <f t="shared" si="9"/>
        <v>0</v>
      </c>
      <c r="AD34" s="74"/>
      <c r="AE34" s="86"/>
      <c r="AF34" s="140">
        <f t="shared" si="10"/>
        <v>0</v>
      </c>
      <c r="AG34" s="74"/>
      <c r="AH34" s="86"/>
      <c r="AI34" s="140">
        <f t="shared" si="11"/>
        <v>0</v>
      </c>
      <c r="AJ34" s="74"/>
      <c r="AK34" s="86"/>
      <c r="AL34" s="140">
        <f t="shared" si="12"/>
        <v>0</v>
      </c>
      <c r="AM34" s="74"/>
      <c r="AN34" s="86"/>
      <c r="AO34" s="140">
        <f t="shared" si="13"/>
        <v>0</v>
      </c>
      <c r="AP34" s="74"/>
      <c r="AQ34" s="86"/>
      <c r="AR34" s="140">
        <f t="shared" si="14"/>
        <v>0</v>
      </c>
      <c r="AS34" s="74"/>
      <c r="AT34" s="86"/>
      <c r="AU34" s="140">
        <f t="shared" si="15"/>
        <v>0</v>
      </c>
      <c r="AV34" s="74"/>
      <c r="AW34" s="86"/>
      <c r="AX34" s="140">
        <f t="shared" si="16"/>
        <v>0</v>
      </c>
      <c r="AY34" s="74"/>
      <c r="AZ34" s="86"/>
      <c r="BA34" s="140">
        <f t="shared" si="17"/>
        <v>0</v>
      </c>
      <c r="BB34" s="74"/>
      <c r="BC34" s="86"/>
      <c r="BD34" s="140">
        <f t="shared" si="18"/>
        <v>0</v>
      </c>
      <c r="BE34" s="74"/>
      <c r="BF34" s="86"/>
      <c r="BG34" s="140">
        <f t="shared" si="19"/>
        <v>0</v>
      </c>
      <c r="BH34" s="74"/>
      <c r="BI34" s="86"/>
      <c r="BJ34" s="140">
        <f t="shared" si="20"/>
        <v>0</v>
      </c>
      <c r="BK34" s="74"/>
      <c r="BL34" s="86"/>
      <c r="BM34" s="140">
        <f t="shared" si="21"/>
        <v>0</v>
      </c>
      <c r="BN34" s="74"/>
      <c r="BO34" s="86"/>
      <c r="BP34" s="140">
        <f t="shared" si="22"/>
        <v>0</v>
      </c>
      <c r="BQ34" s="74"/>
      <c r="BR34" s="86"/>
      <c r="BS34" s="140">
        <f t="shared" si="23"/>
        <v>0</v>
      </c>
      <c r="BT34" s="74"/>
      <c r="BU34" s="86"/>
      <c r="BV34" s="140">
        <f t="shared" si="24"/>
        <v>0</v>
      </c>
      <c r="BW34" s="74"/>
      <c r="BX34" s="86"/>
      <c r="BY34" s="140">
        <f t="shared" si="25"/>
        <v>0</v>
      </c>
      <c r="BZ34" s="74"/>
      <c r="CA34" s="86"/>
      <c r="CB34" s="140">
        <f t="shared" si="26"/>
        <v>0</v>
      </c>
      <c r="CC34" s="74"/>
      <c r="CD34" s="86"/>
      <c r="CE34" s="140">
        <f t="shared" si="27"/>
        <v>0</v>
      </c>
      <c r="CF34" s="74"/>
      <c r="CG34" s="86"/>
      <c r="CH34" s="140">
        <f t="shared" si="28"/>
        <v>0</v>
      </c>
      <c r="CI34" s="74"/>
      <c r="CJ34" s="86"/>
      <c r="CK34" s="140">
        <f t="shared" si="29"/>
        <v>0</v>
      </c>
      <c r="CL34" s="74"/>
      <c r="CM34" s="86"/>
      <c r="CN34" s="140">
        <f t="shared" si="30"/>
        <v>0</v>
      </c>
      <c r="CO34" s="74"/>
      <c r="CP34" s="86"/>
      <c r="CQ34" s="140">
        <f t="shared" si="31"/>
        <v>0</v>
      </c>
      <c r="CR34" s="106"/>
    </row>
    <row r="35" spans="1:96" ht="15.75" thickBot="1" x14ac:dyDescent="0.3">
      <c r="A35" s="170" t="s">
        <v>48</v>
      </c>
      <c r="B35" s="273"/>
      <c r="C35" s="137">
        <f t="shared" si="1"/>
        <v>0</v>
      </c>
      <c r="D35" s="137">
        <f t="shared" si="1"/>
        <v>0</v>
      </c>
      <c r="E35" s="137">
        <f t="shared" si="0"/>
        <v>0</v>
      </c>
      <c r="F35" s="74"/>
      <c r="G35" s="86"/>
      <c r="H35" s="140">
        <f t="shared" si="2"/>
        <v>0</v>
      </c>
      <c r="I35" s="74"/>
      <c r="J35" s="86"/>
      <c r="K35" s="140">
        <f t="shared" si="3"/>
        <v>0</v>
      </c>
      <c r="L35" s="74"/>
      <c r="M35" s="86"/>
      <c r="N35" s="140">
        <f t="shared" si="4"/>
        <v>0</v>
      </c>
      <c r="O35" s="74"/>
      <c r="P35" s="86"/>
      <c r="Q35" s="140">
        <f t="shared" si="5"/>
        <v>0</v>
      </c>
      <c r="R35" s="74"/>
      <c r="S35" s="86"/>
      <c r="T35" s="140">
        <f t="shared" si="6"/>
        <v>0</v>
      </c>
      <c r="U35" s="74"/>
      <c r="V35" s="86"/>
      <c r="W35" s="140">
        <f t="shared" si="7"/>
        <v>0</v>
      </c>
      <c r="X35" s="74"/>
      <c r="Y35" s="86"/>
      <c r="Z35" s="140">
        <f t="shared" si="8"/>
        <v>0</v>
      </c>
      <c r="AA35" s="74"/>
      <c r="AB35" s="86"/>
      <c r="AC35" s="140">
        <f t="shared" si="9"/>
        <v>0</v>
      </c>
      <c r="AD35" s="74"/>
      <c r="AE35" s="86"/>
      <c r="AF35" s="140">
        <f t="shared" si="10"/>
        <v>0</v>
      </c>
      <c r="AG35" s="74"/>
      <c r="AH35" s="86"/>
      <c r="AI35" s="140">
        <f t="shared" si="11"/>
        <v>0</v>
      </c>
      <c r="AJ35" s="74"/>
      <c r="AK35" s="86"/>
      <c r="AL35" s="140">
        <f t="shared" si="12"/>
        <v>0</v>
      </c>
      <c r="AM35" s="74"/>
      <c r="AN35" s="86"/>
      <c r="AO35" s="140">
        <f t="shared" si="13"/>
        <v>0</v>
      </c>
      <c r="AP35" s="74"/>
      <c r="AQ35" s="86"/>
      <c r="AR35" s="140">
        <f t="shared" si="14"/>
        <v>0</v>
      </c>
      <c r="AS35" s="74"/>
      <c r="AT35" s="86"/>
      <c r="AU35" s="140">
        <f t="shared" si="15"/>
        <v>0</v>
      </c>
      <c r="AV35" s="74"/>
      <c r="AW35" s="86"/>
      <c r="AX35" s="140">
        <f t="shared" si="16"/>
        <v>0</v>
      </c>
      <c r="AY35" s="74"/>
      <c r="AZ35" s="86"/>
      <c r="BA35" s="140">
        <f t="shared" si="17"/>
        <v>0</v>
      </c>
      <c r="BB35" s="74"/>
      <c r="BC35" s="86"/>
      <c r="BD35" s="140">
        <f t="shared" si="18"/>
        <v>0</v>
      </c>
      <c r="BE35" s="74"/>
      <c r="BF35" s="86"/>
      <c r="BG35" s="140">
        <f t="shared" si="19"/>
        <v>0</v>
      </c>
      <c r="BH35" s="74"/>
      <c r="BI35" s="86"/>
      <c r="BJ35" s="140">
        <f t="shared" si="20"/>
        <v>0</v>
      </c>
      <c r="BK35" s="74"/>
      <c r="BL35" s="86"/>
      <c r="BM35" s="140">
        <f t="shared" si="21"/>
        <v>0</v>
      </c>
      <c r="BN35" s="74"/>
      <c r="BO35" s="86"/>
      <c r="BP35" s="140">
        <f t="shared" si="22"/>
        <v>0</v>
      </c>
      <c r="BQ35" s="74"/>
      <c r="BR35" s="86"/>
      <c r="BS35" s="140">
        <f t="shared" si="23"/>
        <v>0</v>
      </c>
      <c r="BT35" s="74"/>
      <c r="BU35" s="86"/>
      <c r="BV35" s="140">
        <f t="shared" si="24"/>
        <v>0</v>
      </c>
      <c r="BW35" s="74"/>
      <c r="BX35" s="86"/>
      <c r="BY35" s="140">
        <f t="shared" si="25"/>
        <v>0</v>
      </c>
      <c r="BZ35" s="74"/>
      <c r="CA35" s="86"/>
      <c r="CB35" s="140">
        <f t="shared" si="26"/>
        <v>0</v>
      </c>
      <c r="CC35" s="74"/>
      <c r="CD35" s="86"/>
      <c r="CE35" s="140">
        <f t="shared" si="27"/>
        <v>0</v>
      </c>
      <c r="CF35" s="74"/>
      <c r="CG35" s="86"/>
      <c r="CH35" s="140">
        <f t="shared" si="28"/>
        <v>0</v>
      </c>
      <c r="CI35" s="74"/>
      <c r="CJ35" s="86"/>
      <c r="CK35" s="140">
        <f t="shared" si="29"/>
        <v>0</v>
      </c>
      <c r="CL35" s="74"/>
      <c r="CM35" s="86"/>
      <c r="CN35" s="140">
        <f t="shared" si="30"/>
        <v>0</v>
      </c>
      <c r="CO35" s="74"/>
      <c r="CP35" s="86"/>
      <c r="CQ35" s="140">
        <f t="shared" si="31"/>
        <v>0</v>
      </c>
      <c r="CR35" s="106"/>
    </row>
    <row r="36" spans="1:96" ht="15.75" thickBot="1" x14ac:dyDescent="0.3">
      <c r="A36" s="170" t="s">
        <v>49</v>
      </c>
      <c r="B36" s="273"/>
      <c r="C36" s="137">
        <f t="shared" si="1"/>
        <v>0</v>
      </c>
      <c r="D36" s="137">
        <f t="shared" si="1"/>
        <v>0</v>
      </c>
      <c r="E36" s="137">
        <f t="shared" si="0"/>
        <v>0</v>
      </c>
      <c r="F36" s="74"/>
      <c r="G36" s="86"/>
      <c r="H36" s="140">
        <f t="shared" si="2"/>
        <v>0</v>
      </c>
      <c r="I36" s="74"/>
      <c r="J36" s="86"/>
      <c r="K36" s="140">
        <f t="shared" si="3"/>
        <v>0</v>
      </c>
      <c r="L36" s="74"/>
      <c r="M36" s="86"/>
      <c r="N36" s="140">
        <f t="shared" si="4"/>
        <v>0</v>
      </c>
      <c r="O36" s="74"/>
      <c r="P36" s="86"/>
      <c r="Q36" s="140">
        <f t="shared" si="5"/>
        <v>0</v>
      </c>
      <c r="R36" s="74"/>
      <c r="S36" s="86"/>
      <c r="T36" s="140">
        <f t="shared" si="6"/>
        <v>0</v>
      </c>
      <c r="U36" s="74"/>
      <c r="V36" s="86"/>
      <c r="W36" s="140">
        <f t="shared" si="7"/>
        <v>0</v>
      </c>
      <c r="X36" s="74"/>
      <c r="Y36" s="86"/>
      <c r="Z36" s="140">
        <f t="shared" si="8"/>
        <v>0</v>
      </c>
      <c r="AA36" s="74"/>
      <c r="AB36" s="86"/>
      <c r="AC36" s="140">
        <f t="shared" si="9"/>
        <v>0</v>
      </c>
      <c r="AD36" s="74"/>
      <c r="AE36" s="86"/>
      <c r="AF36" s="140">
        <f t="shared" si="10"/>
        <v>0</v>
      </c>
      <c r="AG36" s="74"/>
      <c r="AH36" s="86"/>
      <c r="AI36" s="140">
        <f t="shared" si="11"/>
        <v>0</v>
      </c>
      <c r="AJ36" s="74"/>
      <c r="AK36" s="86"/>
      <c r="AL36" s="140">
        <f t="shared" si="12"/>
        <v>0</v>
      </c>
      <c r="AM36" s="74"/>
      <c r="AN36" s="86"/>
      <c r="AO36" s="140">
        <f t="shared" si="13"/>
        <v>0</v>
      </c>
      <c r="AP36" s="74"/>
      <c r="AQ36" s="86"/>
      <c r="AR36" s="140">
        <f t="shared" si="14"/>
        <v>0</v>
      </c>
      <c r="AS36" s="74"/>
      <c r="AT36" s="86"/>
      <c r="AU36" s="140">
        <f t="shared" si="15"/>
        <v>0</v>
      </c>
      <c r="AV36" s="74"/>
      <c r="AW36" s="86"/>
      <c r="AX36" s="140">
        <f t="shared" si="16"/>
        <v>0</v>
      </c>
      <c r="AY36" s="74"/>
      <c r="AZ36" s="86"/>
      <c r="BA36" s="140">
        <f t="shared" si="17"/>
        <v>0</v>
      </c>
      <c r="BB36" s="74"/>
      <c r="BC36" s="86"/>
      <c r="BD36" s="140">
        <f t="shared" si="18"/>
        <v>0</v>
      </c>
      <c r="BE36" s="74"/>
      <c r="BF36" s="86"/>
      <c r="BG36" s="140">
        <f t="shared" si="19"/>
        <v>0</v>
      </c>
      <c r="BH36" s="74"/>
      <c r="BI36" s="86"/>
      <c r="BJ36" s="140">
        <f t="shared" si="20"/>
        <v>0</v>
      </c>
      <c r="BK36" s="74"/>
      <c r="BL36" s="86"/>
      <c r="BM36" s="140">
        <f t="shared" si="21"/>
        <v>0</v>
      </c>
      <c r="BN36" s="74"/>
      <c r="BO36" s="86"/>
      <c r="BP36" s="140">
        <f t="shared" si="22"/>
        <v>0</v>
      </c>
      <c r="BQ36" s="74"/>
      <c r="BR36" s="86"/>
      <c r="BS36" s="140">
        <f t="shared" si="23"/>
        <v>0</v>
      </c>
      <c r="BT36" s="74"/>
      <c r="BU36" s="86"/>
      <c r="BV36" s="140">
        <f t="shared" si="24"/>
        <v>0</v>
      </c>
      <c r="BW36" s="74"/>
      <c r="BX36" s="86"/>
      <c r="BY36" s="140">
        <f t="shared" si="25"/>
        <v>0</v>
      </c>
      <c r="BZ36" s="74"/>
      <c r="CA36" s="86"/>
      <c r="CB36" s="140">
        <f t="shared" si="26"/>
        <v>0</v>
      </c>
      <c r="CC36" s="74"/>
      <c r="CD36" s="86"/>
      <c r="CE36" s="140">
        <f t="shared" si="27"/>
        <v>0</v>
      </c>
      <c r="CF36" s="74"/>
      <c r="CG36" s="86"/>
      <c r="CH36" s="140">
        <f t="shared" si="28"/>
        <v>0</v>
      </c>
      <c r="CI36" s="74"/>
      <c r="CJ36" s="86"/>
      <c r="CK36" s="140">
        <f t="shared" si="29"/>
        <v>0</v>
      </c>
      <c r="CL36" s="74"/>
      <c r="CM36" s="86"/>
      <c r="CN36" s="140">
        <f t="shared" si="30"/>
        <v>0</v>
      </c>
      <c r="CO36" s="74"/>
      <c r="CP36" s="86"/>
      <c r="CQ36" s="140">
        <f t="shared" si="31"/>
        <v>0</v>
      </c>
      <c r="CR36" s="106"/>
    </row>
    <row r="37" spans="1:96" ht="15.75" thickBot="1" x14ac:dyDescent="0.3">
      <c r="A37" s="170" t="s">
        <v>50</v>
      </c>
      <c r="B37" s="273"/>
      <c r="C37" s="137">
        <f t="shared" si="1"/>
        <v>0</v>
      </c>
      <c r="D37" s="137">
        <f t="shared" si="1"/>
        <v>0</v>
      </c>
      <c r="E37" s="137">
        <f t="shared" si="0"/>
        <v>0</v>
      </c>
      <c r="F37" s="74"/>
      <c r="G37" s="86"/>
      <c r="H37" s="140">
        <f t="shared" si="2"/>
        <v>0</v>
      </c>
      <c r="I37" s="74"/>
      <c r="J37" s="86"/>
      <c r="K37" s="140">
        <f t="shared" si="3"/>
        <v>0</v>
      </c>
      <c r="L37" s="74"/>
      <c r="M37" s="86"/>
      <c r="N37" s="140">
        <f t="shared" si="4"/>
        <v>0</v>
      </c>
      <c r="O37" s="74"/>
      <c r="P37" s="86"/>
      <c r="Q37" s="140">
        <f t="shared" si="5"/>
        <v>0</v>
      </c>
      <c r="R37" s="74"/>
      <c r="S37" s="86"/>
      <c r="T37" s="140">
        <f t="shared" si="6"/>
        <v>0</v>
      </c>
      <c r="U37" s="74"/>
      <c r="V37" s="86"/>
      <c r="W37" s="140">
        <f t="shared" si="7"/>
        <v>0</v>
      </c>
      <c r="X37" s="74"/>
      <c r="Y37" s="86"/>
      <c r="Z37" s="140">
        <f t="shared" si="8"/>
        <v>0</v>
      </c>
      <c r="AA37" s="74"/>
      <c r="AB37" s="86"/>
      <c r="AC37" s="140">
        <f t="shared" si="9"/>
        <v>0</v>
      </c>
      <c r="AD37" s="74"/>
      <c r="AE37" s="86"/>
      <c r="AF37" s="140">
        <f t="shared" si="10"/>
        <v>0</v>
      </c>
      <c r="AG37" s="74"/>
      <c r="AH37" s="86"/>
      <c r="AI37" s="140">
        <f t="shared" si="11"/>
        <v>0</v>
      </c>
      <c r="AJ37" s="74"/>
      <c r="AK37" s="86"/>
      <c r="AL37" s="140">
        <f t="shared" si="12"/>
        <v>0</v>
      </c>
      <c r="AM37" s="74"/>
      <c r="AN37" s="86"/>
      <c r="AO37" s="140">
        <f t="shared" si="13"/>
        <v>0</v>
      </c>
      <c r="AP37" s="74"/>
      <c r="AQ37" s="86"/>
      <c r="AR37" s="140">
        <f t="shared" si="14"/>
        <v>0</v>
      </c>
      <c r="AS37" s="74"/>
      <c r="AT37" s="86"/>
      <c r="AU37" s="140">
        <f t="shared" si="15"/>
        <v>0</v>
      </c>
      <c r="AV37" s="74"/>
      <c r="AW37" s="86"/>
      <c r="AX37" s="140">
        <f t="shared" si="16"/>
        <v>0</v>
      </c>
      <c r="AY37" s="74"/>
      <c r="AZ37" s="86"/>
      <c r="BA37" s="140">
        <f t="shared" si="17"/>
        <v>0</v>
      </c>
      <c r="BB37" s="74"/>
      <c r="BC37" s="86"/>
      <c r="BD37" s="140">
        <f t="shared" si="18"/>
        <v>0</v>
      </c>
      <c r="BE37" s="74"/>
      <c r="BF37" s="86"/>
      <c r="BG37" s="140">
        <f t="shared" si="19"/>
        <v>0</v>
      </c>
      <c r="BH37" s="74"/>
      <c r="BI37" s="86"/>
      <c r="BJ37" s="140">
        <f t="shared" si="20"/>
        <v>0</v>
      </c>
      <c r="BK37" s="74"/>
      <c r="BL37" s="86"/>
      <c r="BM37" s="140">
        <f t="shared" si="21"/>
        <v>0</v>
      </c>
      <c r="BN37" s="74"/>
      <c r="BO37" s="86"/>
      <c r="BP37" s="140">
        <f t="shared" si="22"/>
        <v>0</v>
      </c>
      <c r="BQ37" s="74"/>
      <c r="BR37" s="86"/>
      <c r="BS37" s="140">
        <f t="shared" si="23"/>
        <v>0</v>
      </c>
      <c r="BT37" s="74"/>
      <c r="BU37" s="86"/>
      <c r="BV37" s="140">
        <f t="shared" si="24"/>
        <v>0</v>
      </c>
      <c r="BW37" s="74"/>
      <c r="BX37" s="86"/>
      <c r="BY37" s="140">
        <f t="shared" si="25"/>
        <v>0</v>
      </c>
      <c r="BZ37" s="74"/>
      <c r="CA37" s="86"/>
      <c r="CB37" s="140">
        <f t="shared" si="26"/>
        <v>0</v>
      </c>
      <c r="CC37" s="74"/>
      <c r="CD37" s="86"/>
      <c r="CE37" s="140">
        <f t="shared" si="27"/>
        <v>0</v>
      </c>
      <c r="CF37" s="74"/>
      <c r="CG37" s="86"/>
      <c r="CH37" s="140">
        <f t="shared" si="28"/>
        <v>0</v>
      </c>
      <c r="CI37" s="74"/>
      <c r="CJ37" s="86"/>
      <c r="CK37" s="140">
        <f t="shared" si="29"/>
        <v>0</v>
      </c>
      <c r="CL37" s="74"/>
      <c r="CM37" s="86"/>
      <c r="CN37" s="140">
        <f t="shared" si="30"/>
        <v>0</v>
      </c>
      <c r="CO37" s="74"/>
      <c r="CP37" s="86"/>
      <c r="CQ37" s="140">
        <f t="shared" si="31"/>
        <v>0</v>
      </c>
      <c r="CR37" s="106"/>
    </row>
    <row r="38" spans="1:96" ht="15.75" thickBot="1" x14ac:dyDescent="0.3">
      <c r="A38" s="170" t="s">
        <v>51</v>
      </c>
      <c r="B38" s="273"/>
      <c r="C38" s="137">
        <f t="shared" si="1"/>
        <v>0</v>
      </c>
      <c r="D38" s="137">
        <f t="shared" si="1"/>
        <v>0</v>
      </c>
      <c r="E38" s="137">
        <f t="shared" si="0"/>
        <v>0</v>
      </c>
      <c r="F38" s="74"/>
      <c r="G38" s="86"/>
      <c r="H38" s="140">
        <f t="shared" si="2"/>
        <v>0</v>
      </c>
      <c r="I38" s="74"/>
      <c r="J38" s="86"/>
      <c r="K38" s="140">
        <f t="shared" si="3"/>
        <v>0</v>
      </c>
      <c r="L38" s="74"/>
      <c r="M38" s="86"/>
      <c r="N38" s="140">
        <f t="shared" si="4"/>
        <v>0</v>
      </c>
      <c r="O38" s="74"/>
      <c r="P38" s="86"/>
      <c r="Q38" s="140">
        <f t="shared" si="5"/>
        <v>0</v>
      </c>
      <c r="R38" s="74"/>
      <c r="S38" s="86"/>
      <c r="T38" s="140">
        <f t="shared" si="6"/>
        <v>0</v>
      </c>
      <c r="U38" s="74"/>
      <c r="V38" s="86"/>
      <c r="W38" s="140">
        <f t="shared" si="7"/>
        <v>0</v>
      </c>
      <c r="X38" s="74"/>
      <c r="Y38" s="86"/>
      <c r="Z38" s="140">
        <f t="shared" si="8"/>
        <v>0</v>
      </c>
      <c r="AA38" s="74"/>
      <c r="AB38" s="86"/>
      <c r="AC38" s="140">
        <f t="shared" si="9"/>
        <v>0</v>
      </c>
      <c r="AD38" s="74"/>
      <c r="AE38" s="86"/>
      <c r="AF38" s="140">
        <f t="shared" si="10"/>
        <v>0</v>
      </c>
      <c r="AG38" s="74"/>
      <c r="AH38" s="86"/>
      <c r="AI38" s="140">
        <f t="shared" si="11"/>
        <v>0</v>
      </c>
      <c r="AJ38" s="74"/>
      <c r="AK38" s="86"/>
      <c r="AL38" s="140">
        <f t="shared" si="12"/>
        <v>0</v>
      </c>
      <c r="AM38" s="74"/>
      <c r="AN38" s="86"/>
      <c r="AO38" s="140">
        <f t="shared" si="13"/>
        <v>0</v>
      </c>
      <c r="AP38" s="74"/>
      <c r="AQ38" s="86"/>
      <c r="AR38" s="140">
        <f t="shared" si="14"/>
        <v>0</v>
      </c>
      <c r="AS38" s="74"/>
      <c r="AT38" s="86"/>
      <c r="AU38" s="140">
        <f t="shared" si="15"/>
        <v>0</v>
      </c>
      <c r="AV38" s="74"/>
      <c r="AW38" s="86"/>
      <c r="AX38" s="140">
        <f t="shared" si="16"/>
        <v>0</v>
      </c>
      <c r="AY38" s="74"/>
      <c r="AZ38" s="86"/>
      <c r="BA38" s="140">
        <f t="shared" si="17"/>
        <v>0</v>
      </c>
      <c r="BB38" s="74"/>
      <c r="BC38" s="86"/>
      <c r="BD38" s="140">
        <f t="shared" si="18"/>
        <v>0</v>
      </c>
      <c r="BE38" s="74"/>
      <c r="BF38" s="86"/>
      <c r="BG38" s="140">
        <f t="shared" si="19"/>
        <v>0</v>
      </c>
      <c r="BH38" s="74"/>
      <c r="BI38" s="86"/>
      <c r="BJ38" s="140">
        <f t="shared" si="20"/>
        <v>0</v>
      </c>
      <c r="BK38" s="74"/>
      <c r="BL38" s="86"/>
      <c r="BM38" s="140">
        <f t="shared" si="21"/>
        <v>0</v>
      </c>
      <c r="BN38" s="74"/>
      <c r="BO38" s="86"/>
      <c r="BP38" s="140">
        <f t="shared" si="22"/>
        <v>0</v>
      </c>
      <c r="BQ38" s="74"/>
      <c r="BR38" s="86"/>
      <c r="BS38" s="140">
        <f t="shared" si="23"/>
        <v>0</v>
      </c>
      <c r="BT38" s="74"/>
      <c r="BU38" s="86"/>
      <c r="BV38" s="140">
        <f t="shared" si="24"/>
        <v>0</v>
      </c>
      <c r="BW38" s="74"/>
      <c r="BX38" s="86"/>
      <c r="BY38" s="140">
        <f t="shared" si="25"/>
        <v>0</v>
      </c>
      <c r="BZ38" s="74"/>
      <c r="CA38" s="86"/>
      <c r="CB38" s="140">
        <f t="shared" si="26"/>
        <v>0</v>
      </c>
      <c r="CC38" s="74"/>
      <c r="CD38" s="86"/>
      <c r="CE38" s="140">
        <f t="shared" si="27"/>
        <v>0</v>
      </c>
      <c r="CF38" s="74"/>
      <c r="CG38" s="86"/>
      <c r="CH38" s="140">
        <f t="shared" si="28"/>
        <v>0</v>
      </c>
      <c r="CI38" s="74"/>
      <c r="CJ38" s="86"/>
      <c r="CK38" s="140">
        <f t="shared" si="29"/>
        <v>0</v>
      </c>
      <c r="CL38" s="74"/>
      <c r="CM38" s="86"/>
      <c r="CN38" s="140">
        <f t="shared" si="30"/>
        <v>0</v>
      </c>
      <c r="CO38" s="74"/>
      <c r="CP38" s="86"/>
      <c r="CQ38" s="140">
        <f t="shared" si="31"/>
        <v>0</v>
      </c>
      <c r="CR38" s="106"/>
    </row>
    <row r="39" spans="1:96" ht="15.75" thickBot="1" x14ac:dyDescent="0.3">
      <c r="A39" s="170" t="s">
        <v>52</v>
      </c>
      <c r="B39" s="273"/>
      <c r="C39" s="137">
        <f t="shared" si="1"/>
        <v>0</v>
      </c>
      <c r="D39" s="137">
        <f t="shared" si="1"/>
        <v>0</v>
      </c>
      <c r="E39" s="137">
        <f t="shared" si="0"/>
        <v>0</v>
      </c>
      <c r="F39" s="74"/>
      <c r="G39" s="86"/>
      <c r="H39" s="140">
        <f t="shared" si="2"/>
        <v>0</v>
      </c>
      <c r="I39" s="74"/>
      <c r="J39" s="86"/>
      <c r="K39" s="140">
        <f t="shared" si="3"/>
        <v>0</v>
      </c>
      <c r="L39" s="74"/>
      <c r="M39" s="86"/>
      <c r="N39" s="140">
        <f t="shared" si="4"/>
        <v>0</v>
      </c>
      <c r="O39" s="74"/>
      <c r="P39" s="86"/>
      <c r="Q39" s="140">
        <f t="shared" si="5"/>
        <v>0</v>
      </c>
      <c r="R39" s="74"/>
      <c r="S39" s="86"/>
      <c r="T39" s="140">
        <f t="shared" si="6"/>
        <v>0</v>
      </c>
      <c r="U39" s="74"/>
      <c r="V39" s="86"/>
      <c r="W39" s="140">
        <f t="shared" si="7"/>
        <v>0</v>
      </c>
      <c r="X39" s="74"/>
      <c r="Y39" s="86"/>
      <c r="Z39" s="140">
        <f t="shared" si="8"/>
        <v>0</v>
      </c>
      <c r="AA39" s="74"/>
      <c r="AB39" s="86"/>
      <c r="AC39" s="140">
        <f t="shared" si="9"/>
        <v>0</v>
      </c>
      <c r="AD39" s="74"/>
      <c r="AE39" s="86"/>
      <c r="AF39" s="140">
        <f t="shared" si="10"/>
        <v>0</v>
      </c>
      <c r="AG39" s="74"/>
      <c r="AH39" s="86"/>
      <c r="AI39" s="140">
        <f t="shared" si="11"/>
        <v>0</v>
      </c>
      <c r="AJ39" s="74"/>
      <c r="AK39" s="86"/>
      <c r="AL39" s="140">
        <f t="shared" si="12"/>
        <v>0</v>
      </c>
      <c r="AM39" s="74"/>
      <c r="AN39" s="86"/>
      <c r="AO39" s="140">
        <f t="shared" si="13"/>
        <v>0</v>
      </c>
      <c r="AP39" s="74"/>
      <c r="AQ39" s="86"/>
      <c r="AR39" s="140">
        <f t="shared" si="14"/>
        <v>0</v>
      </c>
      <c r="AS39" s="74"/>
      <c r="AT39" s="86"/>
      <c r="AU39" s="140">
        <f t="shared" si="15"/>
        <v>0</v>
      </c>
      <c r="AV39" s="74"/>
      <c r="AW39" s="86"/>
      <c r="AX39" s="140">
        <f t="shared" si="16"/>
        <v>0</v>
      </c>
      <c r="AY39" s="74"/>
      <c r="AZ39" s="86"/>
      <c r="BA39" s="140">
        <f t="shared" si="17"/>
        <v>0</v>
      </c>
      <c r="BB39" s="74"/>
      <c r="BC39" s="86"/>
      <c r="BD39" s="140">
        <f t="shared" si="18"/>
        <v>0</v>
      </c>
      <c r="BE39" s="74"/>
      <c r="BF39" s="86"/>
      <c r="BG39" s="140">
        <f t="shared" si="19"/>
        <v>0</v>
      </c>
      <c r="BH39" s="74"/>
      <c r="BI39" s="86"/>
      <c r="BJ39" s="140">
        <f t="shared" si="20"/>
        <v>0</v>
      </c>
      <c r="BK39" s="74"/>
      <c r="BL39" s="86"/>
      <c r="BM39" s="140">
        <f t="shared" si="21"/>
        <v>0</v>
      </c>
      <c r="BN39" s="74"/>
      <c r="BO39" s="86"/>
      <c r="BP39" s="140">
        <f t="shared" si="22"/>
        <v>0</v>
      </c>
      <c r="BQ39" s="74"/>
      <c r="BR39" s="86"/>
      <c r="BS39" s="140">
        <f t="shared" si="23"/>
        <v>0</v>
      </c>
      <c r="BT39" s="74"/>
      <c r="BU39" s="86"/>
      <c r="BV39" s="140">
        <f t="shared" si="24"/>
        <v>0</v>
      </c>
      <c r="BW39" s="74"/>
      <c r="BX39" s="86"/>
      <c r="BY39" s="140">
        <f t="shared" si="25"/>
        <v>0</v>
      </c>
      <c r="BZ39" s="74"/>
      <c r="CA39" s="86"/>
      <c r="CB39" s="140">
        <f t="shared" si="26"/>
        <v>0</v>
      </c>
      <c r="CC39" s="74"/>
      <c r="CD39" s="86"/>
      <c r="CE39" s="140">
        <f t="shared" si="27"/>
        <v>0</v>
      </c>
      <c r="CF39" s="74"/>
      <c r="CG39" s="86"/>
      <c r="CH39" s="140">
        <f t="shared" si="28"/>
        <v>0</v>
      </c>
      <c r="CI39" s="74"/>
      <c r="CJ39" s="86"/>
      <c r="CK39" s="140">
        <f t="shared" si="29"/>
        <v>0</v>
      </c>
      <c r="CL39" s="74"/>
      <c r="CM39" s="86"/>
      <c r="CN39" s="140">
        <f t="shared" si="30"/>
        <v>0</v>
      </c>
      <c r="CO39" s="74"/>
      <c r="CP39" s="86"/>
      <c r="CQ39" s="140">
        <f t="shared" si="31"/>
        <v>0</v>
      </c>
      <c r="CR39" s="106"/>
    </row>
    <row r="40" spans="1:96" ht="15.75" thickBot="1" x14ac:dyDescent="0.3">
      <c r="A40" s="170" t="s">
        <v>53</v>
      </c>
      <c r="B40" s="273"/>
      <c r="C40" s="137">
        <f t="shared" si="1"/>
        <v>0</v>
      </c>
      <c r="D40" s="137">
        <f t="shared" si="1"/>
        <v>0</v>
      </c>
      <c r="E40" s="137">
        <f t="shared" si="0"/>
        <v>0</v>
      </c>
      <c r="F40" s="74"/>
      <c r="G40" s="86"/>
      <c r="H40" s="140">
        <f t="shared" si="2"/>
        <v>0</v>
      </c>
      <c r="I40" s="74"/>
      <c r="J40" s="86"/>
      <c r="K40" s="140">
        <f t="shared" si="3"/>
        <v>0</v>
      </c>
      <c r="L40" s="74"/>
      <c r="M40" s="86"/>
      <c r="N40" s="140">
        <f t="shared" si="4"/>
        <v>0</v>
      </c>
      <c r="O40" s="74"/>
      <c r="P40" s="86"/>
      <c r="Q40" s="140">
        <f t="shared" si="5"/>
        <v>0</v>
      </c>
      <c r="R40" s="74"/>
      <c r="S40" s="86"/>
      <c r="T40" s="140">
        <f t="shared" si="6"/>
        <v>0</v>
      </c>
      <c r="U40" s="74"/>
      <c r="V40" s="86"/>
      <c r="W40" s="140">
        <f t="shared" si="7"/>
        <v>0</v>
      </c>
      <c r="X40" s="74"/>
      <c r="Y40" s="86"/>
      <c r="Z40" s="140">
        <f t="shared" si="8"/>
        <v>0</v>
      </c>
      <c r="AA40" s="74"/>
      <c r="AB40" s="86"/>
      <c r="AC40" s="140">
        <f t="shared" si="9"/>
        <v>0</v>
      </c>
      <c r="AD40" s="74"/>
      <c r="AE40" s="86"/>
      <c r="AF40" s="140">
        <f t="shared" si="10"/>
        <v>0</v>
      </c>
      <c r="AG40" s="74"/>
      <c r="AH40" s="86"/>
      <c r="AI40" s="140">
        <f t="shared" si="11"/>
        <v>0</v>
      </c>
      <c r="AJ40" s="74"/>
      <c r="AK40" s="86"/>
      <c r="AL40" s="140">
        <f t="shared" si="12"/>
        <v>0</v>
      </c>
      <c r="AM40" s="74"/>
      <c r="AN40" s="86"/>
      <c r="AO40" s="140">
        <f t="shared" si="13"/>
        <v>0</v>
      </c>
      <c r="AP40" s="74"/>
      <c r="AQ40" s="86"/>
      <c r="AR40" s="140">
        <f t="shared" si="14"/>
        <v>0</v>
      </c>
      <c r="AS40" s="74"/>
      <c r="AT40" s="86"/>
      <c r="AU40" s="140">
        <f t="shared" si="15"/>
        <v>0</v>
      </c>
      <c r="AV40" s="74"/>
      <c r="AW40" s="86"/>
      <c r="AX40" s="140">
        <f t="shared" si="16"/>
        <v>0</v>
      </c>
      <c r="AY40" s="74"/>
      <c r="AZ40" s="86"/>
      <c r="BA40" s="140">
        <f t="shared" si="17"/>
        <v>0</v>
      </c>
      <c r="BB40" s="74"/>
      <c r="BC40" s="86"/>
      <c r="BD40" s="140">
        <f t="shared" si="18"/>
        <v>0</v>
      </c>
      <c r="BE40" s="74"/>
      <c r="BF40" s="86"/>
      <c r="BG40" s="140">
        <f t="shared" si="19"/>
        <v>0</v>
      </c>
      <c r="BH40" s="74"/>
      <c r="BI40" s="86"/>
      <c r="BJ40" s="140">
        <f t="shared" si="20"/>
        <v>0</v>
      </c>
      <c r="BK40" s="74"/>
      <c r="BL40" s="86"/>
      <c r="BM40" s="140">
        <f t="shared" si="21"/>
        <v>0</v>
      </c>
      <c r="BN40" s="74"/>
      <c r="BO40" s="86"/>
      <c r="BP40" s="140">
        <f t="shared" si="22"/>
        <v>0</v>
      </c>
      <c r="BQ40" s="74"/>
      <c r="BR40" s="86"/>
      <c r="BS40" s="140">
        <f t="shared" si="23"/>
        <v>0</v>
      </c>
      <c r="BT40" s="74"/>
      <c r="BU40" s="86"/>
      <c r="BV40" s="140">
        <f t="shared" si="24"/>
        <v>0</v>
      </c>
      <c r="BW40" s="74"/>
      <c r="BX40" s="86"/>
      <c r="BY40" s="140">
        <f t="shared" si="25"/>
        <v>0</v>
      </c>
      <c r="BZ40" s="74"/>
      <c r="CA40" s="86"/>
      <c r="CB40" s="140">
        <f t="shared" si="26"/>
        <v>0</v>
      </c>
      <c r="CC40" s="74"/>
      <c r="CD40" s="86"/>
      <c r="CE40" s="140">
        <f t="shared" si="27"/>
        <v>0</v>
      </c>
      <c r="CF40" s="74"/>
      <c r="CG40" s="86"/>
      <c r="CH40" s="140">
        <f t="shared" si="28"/>
        <v>0</v>
      </c>
      <c r="CI40" s="74"/>
      <c r="CJ40" s="86"/>
      <c r="CK40" s="140">
        <f t="shared" si="29"/>
        <v>0</v>
      </c>
      <c r="CL40" s="74"/>
      <c r="CM40" s="86"/>
      <c r="CN40" s="140">
        <f t="shared" si="30"/>
        <v>0</v>
      </c>
      <c r="CO40" s="74"/>
      <c r="CP40" s="86"/>
      <c r="CQ40" s="140">
        <f t="shared" si="31"/>
        <v>0</v>
      </c>
      <c r="CR40" s="106"/>
    </row>
    <row r="41" spans="1:96" ht="15.75" thickBot="1" x14ac:dyDescent="0.3">
      <c r="A41" s="170" t="s">
        <v>54</v>
      </c>
      <c r="B41" s="273"/>
      <c r="C41" s="137">
        <f t="shared" si="1"/>
        <v>0</v>
      </c>
      <c r="D41" s="137">
        <f t="shared" si="1"/>
        <v>0</v>
      </c>
      <c r="E41" s="137">
        <f t="shared" si="0"/>
        <v>0</v>
      </c>
      <c r="F41" s="74"/>
      <c r="G41" s="86"/>
      <c r="H41" s="140">
        <f t="shared" si="2"/>
        <v>0</v>
      </c>
      <c r="I41" s="74"/>
      <c r="J41" s="86"/>
      <c r="K41" s="140">
        <f t="shared" si="3"/>
        <v>0</v>
      </c>
      <c r="L41" s="74"/>
      <c r="M41" s="86"/>
      <c r="N41" s="140">
        <f t="shared" si="4"/>
        <v>0</v>
      </c>
      <c r="O41" s="74"/>
      <c r="P41" s="86"/>
      <c r="Q41" s="140">
        <f t="shared" si="5"/>
        <v>0</v>
      </c>
      <c r="R41" s="74"/>
      <c r="S41" s="86"/>
      <c r="T41" s="140">
        <f t="shared" si="6"/>
        <v>0</v>
      </c>
      <c r="U41" s="74"/>
      <c r="V41" s="86"/>
      <c r="W41" s="140">
        <f t="shared" si="7"/>
        <v>0</v>
      </c>
      <c r="X41" s="74"/>
      <c r="Y41" s="86"/>
      <c r="Z41" s="140">
        <f t="shared" si="8"/>
        <v>0</v>
      </c>
      <c r="AA41" s="74"/>
      <c r="AB41" s="86"/>
      <c r="AC41" s="140">
        <f t="shared" si="9"/>
        <v>0</v>
      </c>
      <c r="AD41" s="74"/>
      <c r="AE41" s="86"/>
      <c r="AF41" s="140">
        <f t="shared" si="10"/>
        <v>0</v>
      </c>
      <c r="AG41" s="74"/>
      <c r="AH41" s="86"/>
      <c r="AI41" s="140">
        <f t="shared" si="11"/>
        <v>0</v>
      </c>
      <c r="AJ41" s="74"/>
      <c r="AK41" s="86"/>
      <c r="AL41" s="140">
        <f t="shared" si="12"/>
        <v>0</v>
      </c>
      <c r="AM41" s="74"/>
      <c r="AN41" s="86"/>
      <c r="AO41" s="140">
        <f t="shared" si="13"/>
        <v>0</v>
      </c>
      <c r="AP41" s="74"/>
      <c r="AQ41" s="86"/>
      <c r="AR41" s="140">
        <f t="shared" si="14"/>
        <v>0</v>
      </c>
      <c r="AS41" s="74"/>
      <c r="AT41" s="86"/>
      <c r="AU41" s="140">
        <f t="shared" si="15"/>
        <v>0</v>
      </c>
      <c r="AV41" s="74"/>
      <c r="AW41" s="86"/>
      <c r="AX41" s="140">
        <f t="shared" si="16"/>
        <v>0</v>
      </c>
      <c r="AY41" s="74"/>
      <c r="AZ41" s="86"/>
      <c r="BA41" s="140">
        <f t="shared" si="17"/>
        <v>0</v>
      </c>
      <c r="BB41" s="74"/>
      <c r="BC41" s="86"/>
      <c r="BD41" s="140">
        <f t="shared" si="18"/>
        <v>0</v>
      </c>
      <c r="BE41" s="74"/>
      <c r="BF41" s="86"/>
      <c r="BG41" s="140">
        <f t="shared" si="19"/>
        <v>0</v>
      </c>
      <c r="BH41" s="74"/>
      <c r="BI41" s="86"/>
      <c r="BJ41" s="140">
        <f t="shared" si="20"/>
        <v>0</v>
      </c>
      <c r="BK41" s="74"/>
      <c r="BL41" s="86"/>
      <c r="BM41" s="140">
        <f t="shared" si="21"/>
        <v>0</v>
      </c>
      <c r="BN41" s="74"/>
      <c r="BO41" s="86"/>
      <c r="BP41" s="140">
        <f t="shared" si="22"/>
        <v>0</v>
      </c>
      <c r="BQ41" s="74"/>
      <c r="BR41" s="86"/>
      <c r="BS41" s="140">
        <f t="shared" si="23"/>
        <v>0</v>
      </c>
      <c r="BT41" s="74"/>
      <c r="BU41" s="86"/>
      <c r="BV41" s="140">
        <f t="shared" si="24"/>
        <v>0</v>
      </c>
      <c r="BW41" s="74"/>
      <c r="BX41" s="86"/>
      <c r="BY41" s="140">
        <f t="shared" si="25"/>
        <v>0</v>
      </c>
      <c r="BZ41" s="74"/>
      <c r="CA41" s="86"/>
      <c r="CB41" s="140">
        <f t="shared" si="26"/>
        <v>0</v>
      </c>
      <c r="CC41" s="74"/>
      <c r="CD41" s="86"/>
      <c r="CE41" s="140">
        <f t="shared" si="27"/>
        <v>0</v>
      </c>
      <c r="CF41" s="74"/>
      <c r="CG41" s="86"/>
      <c r="CH41" s="140">
        <f t="shared" si="28"/>
        <v>0</v>
      </c>
      <c r="CI41" s="74"/>
      <c r="CJ41" s="86"/>
      <c r="CK41" s="140">
        <f t="shared" si="29"/>
        <v>0</v>
      </c>
      <c r="CL41" s="74"/>
      <c r="CM41" s="86"/>
      <c r="CN41" s="140">
        <f t="shared" si="30"/>
        <v>0</v>
      </c>
      <c r="CO41" s="74"/>
      <c r="CP41" s="86"/>
      <c r="CQ41" s="140">
        <f t="shared" si="31"/>
        <v>0</v>
      </c>
      <c r="CR41" s="106"/>
    </row>
    <row r="42" spans="1:96" ht="15.75" thickBot="1" x14ac:dyDescent="0.3">
      <c r="A42" s="170" t="s">
        <v>55</v>
      </c>
      <c r="B42" s="273"/>
      <c r="C42" s="137">
        <f t="shared" si="1"/>
        <v>0</v>
      </c>
      <c r="D42" s="137">
        <f t="shared" si="1"/>
        <v>0</v>
      </c>
      <c r="E42" s="137">
        <f t="shared" si="0"/>
        <v>0</v>
      </c>
      <c r="F42" s="74"/>
      <c r="G42" s="86"/>
      <c r="H42" s="140">
        <f t="shared" si="2"/>
        <v>0</v>
      </c>
      <c r="I42" s="74"/>
      <c r="J42" s="86"/>
      <c r="K42" s="140">
        <f t="shared" si="3"/>
        <v>0</v>
      </c>
      <c r="L42" s="74"/>
      <c r="M42" s="86"/>
      <c r="N42" s="140">
        <f t="shared" si="4"/>
        <v>0</v>
      </c>
      <c r="O42" s="74"/>
      <c r="P42" s="86"/>
      <c r="Q42" s="140">
        <f t="shared" si="5"/>
        <v>0</v>
      </c>
      <c r="R42" s="74"/>
      <c r="S42" s="86"/>
      <c r="T42" s="140">
        <f t="shared" si="6"/>
        <v>0</v>
      </c>
      <c r="U42" s="74"/>
      <c r="V42" s="86"/>
      <c r="W42" s="140">
        <f t="shared" si="7"/>
        <v>0</v>
      </c>
      <c r="X42" s="74"/>
      <c r="Y42" s="86"/>
      <c r="Z42" s="140">
        <f t="shared" si="8"/>
        <v>0</v>
      </c>
      <c r="AA42" s="74"/>
      <c r="AB42" s="86"/>
      <c r="AC42" s="140">
        <f t="shared" si="9"/>
        <v>0</v>
      </c>
      <c r="AD42" s="74"/>
      <c r="AE42" s="86"/>
      <c r="AF42" s="140">
        <f t="shared" si="10"/>
        <v>0</v>
      </c>
      <c r="AG42" s="74"/>
      <c r="AH42" s="86"/>
      <c r="AI42" s="140">
        <f t="shared" si="11"/>
        <v>0</v>
      </c>
      <c r="AJ42" s="74"/>
      <c r="AK42" s="86"/>
      <c r="AL42" s="140">
        <f t="shared" si="12"/>
        <v>0</v>
      </c>
      <c r="AM42" s="74"/>
      <c r="AN42" s="86"/>
      <c r="AO42" s="140">
        <f t="shared" si="13"/>
        <v>0</v>
      </c>
      <c r="AP42" s="74"/>
      <c r="AQ42" s="86"/>
      <c r="AR42" s="140">
        <f t="shared" si="14"/>
        <v>0</v>
      </c>
      <c r="AS42" s="74"/>
      <c r="AT42" s="86"/>
      <c r="AU42" s="140">
        <f t="shared" si="15"/>
        <v>0</v>
      </c>
      <c r="AV42" s="74"/>
      <c r="AW42" s="86"/>
      <c r="AX42" s="140">
        <f t="shared" si="16"/>
        <v>0</v>
      </c>
      <c r="AY42" s="74"/>
      <c r="AZ42" s="86"/>
      <c r="BA42" s="140">
        <f t="shared" si="17"/>
        <v>0</v>
      </c>
      <c r="BB42" s="74"/>
      <c r="BC42" s="86"/>
      <c r="BD42" s="140">
        <f t="shared" si="18"/>
        <v>0</v>
      </c>
      <c r="BE42" s="74"/>
      <c r="BF42" s="86"/>
      <c r="BG42" s="140">
        <f t="shared" si="19"/>
        <v>0</v>
      </c>
      <c r="BH42" s="74"/>
      <c r="BI42" s="86"/>
      <c r="BJ42" s="140">
        <f t="shared" si="20"/>
        <v>0</v>
      </c>
      <c r="BK42" s="74"/>
      <c r="BL42" s="86"/>
      <c r="BM42" s="140">
        <f t="shared" si="21"/>
        <v>0</v>
      </c>
      <c r="BN42" s="74"/>
      <c r="BO42" s="86"/>
      <c r="BP42" s="140">
        <f t="shared" si="22"/>
        <v>0</v>
      </c>
      <c r="BQ42" s="74"/>
      <c r="BR42" s="86"/>
      <c r="BS42" s="140">
        <f t="shared" si="23"/>
        <v>0</v>
      </c>
      <c r="BT42" s="74"/>
      <c r="BU42" s="86"/>
      <c r="BV42" s="140">
        <f t="shared" si="24"/>
        <v>0</v>
      </c>
      <c r="BW42" s="74"/>
      <c r="BX42" s="86"/>
      <c r="BY42" s="140">
        <f t="shared" si="25"/>
        <v>0</v>
      </c>
      <c r="BZ42" s="74"/>
      <c r="CA42" s="86"/>
      <c r="CB42" s="140">
        <f t="shared" si="26"/>
        <v>0</v>
      </c>
      <c r="CC42" s="74"/>
      <c r="CD42" s="86"/>
      <c r="CE42" s="140">
        <f t="shared" si="27"/>
        <v>0</v>
      </c>
      <c r="CF42" s="74"/>
      <c r="CG42" s="86"/>
      <c r="CH42" s="140">
        <f t="shared" si="28"/>
        <v>0</v>
      </c>
      <c r="CI42" s="74"/>
      <c r="CJ42" s="86"/>
      <c r="CK42" s="140">
        <f t="shared" si="29"/>
        <v>0</v>
      </c>
      <c r="CL42" s="74"/>
      <c r="CM42" s="86"/>
      <c r="CN42" s="140">
        <f t="shared" si="30"/>
        <v>0</v>
      </c>
      <c r="CO42" s="74"/>
      <c r="CP42" s="86"/>
      <c r="CQ42" s="140">
        <f t="shared" si="31"/>
        <v>0</v>
      </c>
      <c r="CR42" s="106"/>
    </row>
    <row r="43" spans="1:96" ht="15.75" thickBot="1" x14ac:dyDescent="0.3">
      <c r="A43" s="170" t="s">
        <v>56</v>
      </c>
      <c r="B43" s="273"/>
      <c r="C43" s="137">
        <f t="shared" si="1"/>
        <v>0</v>
      </c>
      <c r="D43" s="137">
        <f t="shared" si="1"/>
        <v>0</v>
      </c>
      <c r="E43" s="137">
        <f t="shared" si="0"/>
        <v>0</v>
      </c>
      <c r="F43" s="74"/>
      <c r="G43" s="86"/>
      <c r="H43" s="140">
        <f t="shared" si="2"/>
        <v>0</v>
      </c>
      <c r="I43" s="74"/>
      <c r="J43" s="86"/>
      <c r="K43" s="140">
        <f t="shared" si="3"/>
        <v>0</v>
      </c>
      <c r="L43" s="74"/>
      <c r="M43" s="86"/>
      <c r="N43" s="140">
        <f t="shared" si="4"/>
        <v>0</v>
      </c>
      <c r="O43" s="74"/>
      <c r="P43" s="86"/>
      <c r="Q43" s="140">
        <f t="shared" si="5"/>
        <v>0</v>
      </c>
      <c r="R43" s="74"/>
      <c r="S43" s="86"/>
      <c r="T43" s="140">
        <f t="shared" si="6"/>
        <v>0</v>
      </c>
      <c r="U43" s="74"/>
      <c r="V43" s="86"/>
      <c r="W43" s="140">
        <f t="shared" si="7"/>
        <v>0</v>
      </c>
      <c r="X43" s="74"/>
      <c r="Y43" s="86"/>
      <c r="Z43" s="140">
        <f t="shared" si="8"/>
        <v>0</v>
      </c>
      <c r="AA43" s="74"/>
      <c r="AB43" s="86"/>
      <c r="AC43" s="140">
        <f t="shared" si="9"/>
        <v>0</v>
      </c>
      <c r="AD43" s="74"/>
      <c r="AE43" s="86"/>
      <c r="AF43" s="140">
        <f t="shared" si="10"/>
        <v>0</v>
      </c>
      <c r="AG43" s="74"/>
      <c r="AH43" s="86"/>
      <c r="AI43" s="140">
        <f t="shared" si="11"/>
        <v>0</v>
      </c>
      <c r="AJ43" s="74"/>
      <c r="AK43" s="86"/>
      <c r="AL43" s="140">
        <f t="shared" si="12"/>
        <v>0</v>
      </c>
      <c r="AM43" s="74"/>
      <c r="AN43" s="86"/>
      <c r="AO43" s="140">
        <f t="shared" si="13"/>
        <v>0</v>
      </c>
      <c r="AP43" s="74"/>
      <c r="AQ43" s="86"/>
      <c r="AR43" s="140">
        <f t="shared" si="14"/>
        <v>0</v>
      </c>
      <c r="AS43" s="74"/>
      <c r="AT43" s="86"/>
      <c r="AU43" s="140">
        <f t="shared" si="15"/>
        <v>0</v>
      </c>
      <c r="AV43" s="74"/>
      <c r="AW43" s="86"/>
      <c r="AX43" s="140">
        <f t="shared" si="16"/>
        <v>0</v>
      </c>
      <c r="AY43" s="74"/>
      <c r="AZ43" s="86"/>
      <c r="BA43" s="140">
        <f t="shared" si="17"/>
        <v>0</v>
      </c>
      <c r="BB43" s="74"/>
      <c r="BC43" s="86"/>
      <c r="BD43" s="140">
        <f t="shared" si="18"/>
        <v>0</v>
      </c>
      <c r="BE43" s="74"/>
      <c r="BF43" s="86"/>
      <c r="BG43" s="140">
        <f t="shared" si="19"/>
        <v>0</v>
      </c>
      <c r="BH43" s="74"/>
      <c r="BI43" s="86"/>
      <c r="BJ43" s="140">
        <f t="shared" si="20"/>
        <v>0</v>
      </c>
      <c r="BK43" s="74"/>
      <c r="BL43" s="86"/>
      <c r="BM43" s="140">
        <f t="shared" si="21"/>
        <v>0</v>
      </c>
      <c r="BN43" s="74"/>
      <c r="BO43" s="86"/>
      <c r="BP43" s="140">
        <f t="shared" si="22"/>
        <v>0</v>
      </c>
      <c r="BQ43" s="74"/>
      <c r="BR43" s="86"/>
      <c r="BS43" s="140">
        <f t="shared" si="23"/>
        <v>0</v>
      </c>
      <c r="BT43" s="74"/>
      <c r="BU43" s="86"/>
      <c r="BV43" s="140">
        <f t="shared" si="24"/>
        <v>0</v>
      </c>
      <c r="BW43" s="74"/>
      <c r="BX43" s="86"/>
      <c r="BY43" s="140">
        <f t="shared" si="25"/>
        <v>0</v>
      </c>
      <c r="BZ43" s="74"/>
      <c r="CA43" s="86"/>
      <c r="CB43" s="140">
        <f t="shared" si="26"/>
        <v>0</v>
      </c>
      <c r="CC43" s="74"/>
      <c r="CD43" s="86"/>
      <c r="CE43" s="140">
        <f t="shared" si="27"/>
        <v>0</v>
      </c>
      <c r="CF43" s="74"/>
      <c r="CG43" s="86"/>
      <c r="CH43" s="140">
        <f t="shared" si="28"/>
        <v>0</v>
      </c>
      <c r="CI43" s="74"/>
      <c r="CJ43" s="86"/>
      <c r="CK43" s="140">
        <f t="shared" si="29"/>
        <v>0</v>
      </c>
      <c r="CL43" s="74"/>
      <c r="CM43" s="86"/>
      <c r="CN43" s="140">
        <f t="shared" si="30"/>
        <v>0</v>
      </c>
      <c r="CO43" s="74"/>
      <c r="CP43" s="86"/>
      <c r="CQ43" s="140">
        <f t="shared" si="31"/>
        <v>0</v>
      </c>
      <c r="CR43" s="106"/>
    </row>
    <row r="44" spans="1:96" ht="15.75" thickBot="1" x14ac:dyDescent="0.3">
      <c r="A44" s="170" t="s">
        <v>142</v>
      </c>
      <c r="B44" s="273"/>
      <c r="C44" s="137">
        <f t="shared" si="1"/>
        <v>0</v>
      </c>
      <c r="D44" s="137">
        <f t="shared" si="1"/>
        <v>0</v>
      </c>
      <c r="E44" s="137">
        <f t="shared" si="0"/>
        <v>0</v>
      </c>
      <c r="F44" s="74"/>
      <c r="G44" s="86"/>
      <c r="H44" s="140">
        <f t="shared" si="2"/>
        <v>0</v>
      </c>
      <c r="I44" s="74"/>
      <c r="J44" s="86"/>
      <c r="K44" s="140">
        <f t="shared" si="3"/>
        <v>0</v>
      </c>
      <c r="L44" s="74"/>
      <c r="M44" s="86"/>
      <c r="N44" s="140">
        <f t="shared" si="4"/>
        <v>0</v>
      </c>
      <c r="O44" s="74"/>
      <c r="P44" s="86"/>
      <c r="Q44" s="140">
        <f t="shared" si="5"/>
        <v>0</v>
      </c>
      <c r="R44" s="74"/>
      <c r="S44" s="86"/>
      <c r="T44" s="140">
        <f t="shared" si="6"/>
        <v>0</v>
      </c>
      <c r="U44" s="74"/>
      <c r="V44" s="86"/>
      <c r="W44" s="140">
        <f t="shared" si="7"/>
        <v>0</v>
      </c>
      <c r="X44" s="74"/>
      <c r="Y44" s="86"/>
      <c r="Z44" s="140">
        <f t="shared" si="8"/>
        <v>0</v>
      </c>
      <c r="AA44" s="74"/>
      <c r="AB44" s="86"/>
      <c r="AC44" s="140">
        <f t="shared" si="9"/>
        <v>0</v>
      </c>
      <c r="AD44" s="74"/>
      <c r="AE44" s="86"/>
      <c r="AF44" s="140">
        <f t="shared" si="10"/>
        <v>0</v>
      </c>
      <c r="AG44" s="74"/>
      <c r="AH44" s="86"/>
      <c r="AI44" s="140">
        <f t="shared" si="11"/>
        <v>0</v>
      </c>
      <c r="AJ44" s="74"/>
      <c r="AK44" s="86"/>
      <c r="AL44" s="140">
        <f t="shared" si="12"/>
        <v>0</v>
      </c>
      <c r="AM44" s="74"/>
      <c r="AN44" s="86"/>
      <c r="AO44" s="140">
        <f t="shared" si="13"/>
        <v>0</v>
      </c>
      <c r="AP44" s="74"/>
      <c r="AQ44" s="86"/>
      <c r="AR44" s="140">
        <f t="shared" si="14"/>
        <v>0</v>
      </c>
      <c r="AS44" s="74"/>
      <c r="AT44" s="86"/>
      <c r="AU44" s="140">
        <f t="shared" si="15"/>
        <v>0</v>
      </c>
      <c r="AV44" s="74"/>
      <c r="AW44" s="86"/>
      <c r="AX44" s="140">
        <f t="shared" si="16"/>
        <v>0</v>
      </c>
      <c r="AY44" s="74"/>
      <c r="AZ44" s="86"/>
      <c r="BA44" s="140">
        <f t="shared" si="17"/>
        <v>0</v>
      </c>
      <c r="BB44" s="74"/>
      <c r="BC44" s="86"/>
      <c r="BD44" s="140">
        <f t="shared" si="18"/>
        <v>0</v>
      </c>
      <c r="BE44" s="74"/>
      <c r="BF44" s="86"/>
      <c r="BG44" s="140">
        <f t="shared" si="19"/>
        <v>0</v>
      </c>
      <c r="BH44" s="74"/>
      <c r="BI44" s="86"/>
      <c r="BJ44" s="140">
        <f t="shared" si="20"/>
        <v>0</v>
      </c>
      <c r="BK44" s="74"/>
      <c r="BL44" s="86"/>
      <c r="BM44" s="140">
        <f t="shared" si="21"/>
        <v>0</v>
      </c>
      <c r="BN44" s="74"/>
      <c r="BO44" s="86"/>
      <c r="BP44" s="140">
        <f t="shared" si="22"/>
        <v>0</v>
      </c>
      <c r="BQ44" s="74"/>
      <c r="BR44" s="86"/>
      <c r="BS44" s="140">
        <f t="shared" si="23"/>
        <v>0</v>
      </c>
      <c r="BT44" s="74"/>
      <c r="BU44" s="86"/>
      <c r="BV44" s="140">
        <f t="shared" si="24"/>
        <v>0</v>
      </c>
      <c r="BW44" s="74"/>
      <c r="BX44" s="86"/>
      <c r="BY44" s="140">
        <f t="shared" si="25"/>
        <v>0</v>
      </c>
      <c r="BZ44" s="74"/>
      <c r="CA44" s="86"/>
      <c r="CB44" s="140">
        <f t="shared" si="26"/>
        <v>0</v>
      </c>
      <c r="CC44" s="74"/>
      <c r="CD44" s="86"/>
      <c r="CE44" s="140">
        <f t="shared" si="27"/>
        <v>0</v>
      </c>
      <c r="CF44" s="74"/>
      <c r="CG44" s="86"/>
      <c r="CH44" s="140">
        <f t="shared" si="28"/>
        <v>0</v>
      </c>
      <c r="CI44" s="74"/>
      <c r="CJ44" s="86"/>
      <c r="CK44" s="140">
        <f t="shared" si="29"/>
        <v>0</v>
      </c>
      <c r="CL44" s="74"/>
      <c r="CM44" s="86"/>
      <c r="CN44" s="140">
        <f t="shared" si="30"/>
        <v>0</v>
      </c>
      <c r="CO44" s="74"/>
      <c r="CP44" s="86"/>
      <c r="CQ44" s="140">
        <f t="shared" si="31"/>
        <v>0</v>
      </c>
      <c r="CR44" s="106"/>
    </row>
    <row r="45" spans="1:96" ht="21" hidden="1" thickBot="1" x14ac:dyDescent="0.3">
      <c r="A45" s="62" t="s">
        <v>154</v>
      </c>
      <c r="B45" s="105"/>
      <c r="C45" s="105"/>
      <c r="D45" s="105"/>
      <c r="E45" s="105"/>
      <c r="F45" s="105"/>
      <c r="G45" s="105"/>
      <c r="H45" s="105"/>
      <c r="I45" s="105"/>
      <c r="J45" s="105"/>
      <c r="K45" s="105"/>
      <c r="L45" s="105"/>
      <c r="M45" s="105"/>
      <c r="N45" s="105"/>
      <c r="O45" s="105"/>
      <c r="P45" s="105"/>
      <c r="Q45" s="105"/>
      <c r="R45" s="105"/>
      <c r="S45" s="105"/>
      <c r="T45" s="105"/>
      <c r="U45" s="105"/>
      <c r="V45" s="105"/>
      <c r="W45" s="106"/>
      <c r="X45" s="105"/>
      <c r="Y45" s="105"/>
      <c r="Z45" s="106"/>
      <c r="AA45" s="105"/>
      <c r="AB45" s="105"/>
      <c r="AC45" s="106"/>
      <c r="AD45" s="105"/>
      <c r="AE45" s="105"/>
      <c r="AF45" s="106"/>
      <c r="AG45" s="105"/>
      <c r="AH45" s="105"/>
      <c r="AI45" s="106"/>
      <c r="AJ45" s="105"/>
      <c r="AK45" s="105"/>
      <c r="AL45" s="106"/>
      <c r="AM45" s="105"/>
      <c r="AN45" s="105"/>
      <c r="AO45" s="106"/>
      <c r="AP45" s="105"/>
      <c r="AQ45" s="105"/>
      <c r="AR45" s="106"/>
      <c r="AS45" s="105"/>
      <c r="AT45" s="105"/>
      <c r="AU45" s="106"/>
      <c r="AV45" s="105"/>
      <c r="AW45" s="105"/>
      <c r="AX45" s="106"/>
      <c r="AY45" s="105"/>
      <c r="AZ45" s="105"/>
      <c r="BA45" s="106"/>
      <c r="BB45" s="105"/>
      <c r="BC45" s="105"/>
      <c r="BD45" s="106"/>
      <c r="BE45" s="105"/>
      <c r="BF45" s="105"/>
      <c r="BG45" s="106"/>
      <c r="BH45" s="105"/>
      <c r="BI45" s="105"/>
      <c r="BJ45" s="106"/>
      <c r="BK45" s="105"/>
      <c r="BL45" s="105"/>
      <c r="BM45" s="106"/>
      <c r="BN45" s="105"/>
      <c r="BO45" s="105"/>
      <c r="BP45" s="106"/>
      <c r="BQ45" s="105"/>
      <c r="BR45" s="105"/>
      <c r="BS45" s="106"/>
      <c r="BT45" s="105"/>
      <c r="BU45" s="105"/>
      <c r="BV45" s="106"/>
      <c r="BW45" s="105"/>
      <c r="BX45" s="105"/>
      <c r="BY45" s="106"/>
      <c r="BZ45" s="105"/>
      <c r="CA45" s="105"/>
      <c r="CB45" s="106"/>
      <c r="CC45" s="105"/>
      <c r="CD45" s="105"/>
      <c r="CE45" s="106"/>
      <c r="CF45" s="105"/>
      <c r="CG45" s="105"/>
      <c r="CH45" s="106"/>
      <c r="CI45" s="105"/>
      <c r="CJ45" s="105"/>
      <c r="CK45" s="106"/>
      <c r="CL45" s="105"/>
      <c r="CM45" s="105"/>
      <c r="CN45" s="106"/>
      <c r="CO45" s="105"/>
      <c r="CP45" s="105"/>
      <c r="CQ45" s="106"/>
      <c r="CR45" s="106"/>
    </row>
    <row r="46" spans="1:96" ht="15.75" hidden="1" thickBot="1" x14ac:dyDescent="0.3">
      <c r="A46" s="61" t="s">
        <v>134</v>
      </c>
      <c r="B46" s="150"/>
      <c r="C46" s="150"/>
      <c r="D46" s="150"/>
      <c r="E46" s="165" t="e">
        <f>IF(OR('Baseline Data'!$B$9="Absolute Energy",'Baseline Data'!$B$9="Relative Energy",'Baseline Data'!$B$9="Novem Energy"),1-(E50/(SUM(E$21:E$44))),1-E54/SUMPRODUCT(E$21:E$44,B$21:B$44))</f>
        <v>#DIV/0!</v>
      </c>
      <c r="F46" s="151"/>
      <c r="G46" s="151"/>
      <c r="H46" s="166"/>
      <c r="I46" s="151"/>
      <c r="J46" s="151"/>
      <c r="K46" s="166"/>
      <c r="L46" s="151"/>
      <c r="M46" s="151"/>
      <c r="N46" s="166"/>
      <c r="O46" s="151"/>
      <c r="P46" s="151"/>
      <c r="Q46" s="166"/>
      <c r="R46" s="151"/>
      <c r="S46" s="151"/>
      <c r="T46" s="166"/>
      <c r="U46" s="151"/>
      <c r="V46" s="151"/>
      <c r="W46" s="166"/>
      <c r="X46" s="151"/>
      <c r="Y46" s="151"/>
      <c r="Z46" s="166"/>
      <c r="AA46" s="151"/>
      <c r="AB46" s="151"/>
      <c r="AC46" s="166"/>
      <c r="AD46" s="151"/>
      <c r="AE46" s="151"/>
      <c r="AF46" s="166"/>
      <c r="AG46" s="151"/>
      <c r="AH46" s="151"/>
      <c r="AI46" s="166"/>
      <c r="AJ46" s="151"/>
      <c r="AK46" s="151"/>
      <c r="AL46" s="166"/>
      <c r="AM46" s="151"/>
      <c r="AN46" s="151"/>
      <c r="AO46" s="166"/>
      <c r="AP46" s="151"/>
      <c r="AQ46" s="151"/>
      <c r="AR46" s="166"/>
      <c r="AS46" s="151"/>
      <c r="AT46" s="151"/>
      <c r="AU46" s="166"/>
      <c r="AV46" s="151"/>
      <c r="AW46" s="151"/>
      <c r="AX46" s="166"/>
      <c r="AY46" s="151"/>
      <c r="AZ46" s="151"/>
      <c r="BA46" s="166"/>
      <c r="BB46" s="151"/>
      <c r="BC46" s="151"/>
      <c r="BD46" s="166"/>
      <c r="BE46" s="151"/>
      <c r="BF46" s="151"/>
      <c r="BG46" s="166"/>
      <c r="BH46" s="151"/>
      <c r="BI46" s="151"/>
      <c r="BJ46" s="166"/>
      <c r="BK46" s="151"/>
      <c r="BL46" s="151"/>
      <c r="BM46" s="166"/>
      <c r="BN46" s="151"/>
      <c r="BO46" s="151"/>
      <c r="BP46" s="166"/>
      <c r="BQ46" s="151"/>
      <c r="BR46" s="151"/>
      <c r="BS46" s="166"/>
      <c r="BT46" s="151"/>
      <c r="BU46" s="151"/>
      <c r="BV46" s="166"/>
      <c r="BW46" s="151"/>
      <c r="BX46" s="151"/>
      <c r="BY46" s="166"/>
      <c r="BZ46" s="151"/>
      <c r="CA46" s="151"/>
      <c r="CB46" s="166"/>
      <c r="CC46" s="151"/>
      <c r="CD46" s="151"/>
      <c r="CE46" s="166"/>
      <c r="CF46" s="151"/>
      <c r="CG46" s="151"/>
      <c r="CH46" s="166"/>
      <c r="CI46" s="151"/>
      <c r="CJ46" s="151"/>
      <c r="CK46" s="166"/>
      <c r="CL46" s="151"/>
      <c r="CM46" s="151"/>
      <c r="CN46" s="166"/>
      <c r="CO46" s="151"/>
      <c r="CP46" s="151"/>
      <c r="CQ46" s="166"/>
      <c r="CR46" s="106"/>
    </row>
    <row r="47" spans="1:96" ht="15.75" hidden="1" thickBot="1" x14ac:dyDescent="0.3">
      <c r="A47" s="61" t="s">
        <v>135</v>
      </c>
      <c r="B47" s="150"/>
      <c r="C47" s="150"/>
      <c r="D47" s="150"/>
      <c r="E47" s="165" t="e">
        <f>IF(OR('Baseline Data'!$B$9="Absolute Energy",'Baseline Data'!$B$9="Relative Energy",'Baseline Data'!$B$9="Novem Energy"),1-(E51/(SUM(E$21:E$44))),1-E55/SUMPRODUCT(E$21:E$44,B$21:B$44))</f>
        <v>#DIV/0!</v>
      </c>
      <c r="F47" s="151"/>
      <c r="G47" s="151"/>
      <c r="H47" s="166"/>
      <c r="I47" s="151"/>
      <c r="J47" s="151"/>
      <c r="K47" s="166"/>
      <c r="L47" s="151"/>
      <c r="M47" s="151"/>
      <c r="N47" s="166"/>
      <c r="O47" s="151"/>
      <c r="P47" s="151"/>
      <c r="Q47" s="166"/>
      <c r="R47" s="151"/>
      <c r="S47" s="151"/>
      <c r="T47" s="166"/>
      <c r="U47" s="151"/>
      <c r="V47" s="151"/>
      <c r="W47" s="166"/>
      <c r="X47" s="151"/>
      <c r="Y47" s="151"/>
      <c r="Z47" s="166"/>
      <c r="AA47" s="151"/>
      <c r="AB47" s="151"/>
      <c r="AC47" s="166"/>
      <c r="AD47" s="151"/>
      <c r="AE47" s="151"/>
      <c r="AF47" s="166"/>
      <c r="AG47" s="151"/>
      <c r="AH47" s="151"/>
      <c r="AI47" s="166"/>
      <c r="AJ47" s="151"/>
      <c r="AK47" s="151"/>
      <c r="AL47" s="166"/>
      <c r="AM47" s="151"/>
      <c r="AN47" s="151"/>
      <c r="AO47" s="166"/>
      <c r="AP47" s="151"/>
      <c r="AQ47" s="151"/>
      <c r="AR47" s="166"/>
      <c r="AS47" s="151"/>
      <c r="AT47" s="151"/>
      <c r="AU47" s="166"/>
      <c r="AV47" s="151"/>
      <c r="AW47" s="151"/>
      <c r="AX47" s="166"/>
      <c r="AY47" s="151"/>
      <c r="AZ47" s="151"/>
      <c r="BA47" s="166"/>
      <c r="BB47" s="151"/>
      <c r="BC47" s="151"/>
      <c r="BD47" s="166"/>
      <c r="BE47" s="151"/>
      <c r="BF47" s="151"/>
      <c r="BG47" s="166"/>
      <c r="BH47" s="151"/>
      <c r="BI47" s="151"/>
      <c r="BJ47" s="166"/>
      <c r="BK47" s="151"/>
      <c r="BL47" s="151"/>
      <c r="BM47" s="166"/>
      <c r="BN47" s="151"/>
      <c r="BO47" s="151"/>
      <c r="BP47" s="166"/>
      <c r="BQ47" s="151"/>
      <c r="BR47" s="151"/>
      <c r="BS47" s="166"/>
      <c r="BT47" s="151"/>
      <c r="BU47" s="151"/>
      <c r="BV47" s="166"/>
      <c r="BW47" s="151"/>
      <c r="BX47" s="151"/>
      <c r="BY47" s="166"/>
      <c r="BZ47" s="151"/>
      <c r="CA47" s="151"/>
      <c r="CB47" s="166"/>
      <c r="CC47" s="151"/>
      <c r="CD47" s="151"/>
      <c r="CE47" s="166"/>
      <c r="CF47" s="151"/>
      <c r="CG47" s="151"/>
      <c r="CH47" s="166"/>
      <c r="CI47" s="151"/>
      <c r="CJ47" s="151"/>
      <c r="CK47" s="166"/>
      <c r="CL47" s="151"/>
      <c r="CM47" s="151"/>
      <c r="CN47" s="166"/>
      <c r="CO47" s="151"/>
      <c r="CP47" s="151"/>
      <c r="CQ47" s="166"/>
      <c r="CR47" s="106"/>
    </row>
    <row r="48" spans="1:96" ht="15.75" hidden="1" thickBot="1" x14ac:dyDescent="0.3">
      <c r="A48" s="61" t="s">
        <v>136</v>
      </c>
      <c r="B48" s="150"/>
      <c r="C48" s="150"/>
      <c r="D48" s="150"/>
      <c r="E48" s="165" t="e">
        <f>IF(OR('Baseline Data'!$B$9="Absolute Energy",'Baseline Data'!$B$9="Relative Energy",'Baseline Data'!$B$9="Novem Energy"),1-(E52/(SUM(E$21:E$44))),1-E56/SUMPRODUCT(E$21:E$44,B$21:B$44))</f>
        <v>#DIV/0!</v>
      </c>
      <c r="F48" s="151"/>
      <c r="G48" s="151"/>
      <c r="H48" s="166"/>
      <c r="I48" s="151"/>
      <c r="J48" s="151"/>
      <c r="K48" s="166"/>
      <c r="L48" s="151"/>
      <c r="M48" s="151"/>
      <c r="N48" s="166"/>
      <c r="O48" s="151"/>
      <c r="P48" s="151"/>
      <c r="Q48" s="166"/>
      <c r="R48" s="151"/>
      <c r="S48" s="151"/>
      <c r="T48" s="166"/>
      <c r="U48" s="151"/>
      <c r="V48" s="151"/>
      <c r="W48" s="166"/>
      <c r="X48" s="151"/>
      <c r="Y48" s="151"/>
      <c r="Z48" s="166"/>
      <c r="AA48" s="151"/>
      <c r="AB48" s="151"/>
      <c r="AC48" s="166"/>
      <c r="AD48" s="151"/>
      <c r="AE48" s="151"/>
      <c r="AF48" s="166"/>
      <c r="AG48" s="151"/>
      <c r="AH48" s="151"/>
      <c r="AI48" s="166"/>
      <c r="AJ48" s="151"/>
      <c r="AK48" s="151"/>
      <c r="AL48" s="166"/>
      <c r="AM48" s="151"/>
      <c r="AN48" s="151"/>
      <c r="AO48" s="166"/>
      <c r="AP48" s="151"/>
      <c r="AQ48" s="151"/>
      <c r="AR48" s="166"/>
      <c r="AS48" s="151"/>
      <c r="AT48" s="151"/>
      <c r="AU48" s="166"/>
      <c r="AV48" s="151"/>
      <c r="AW48" s="151"/>
      <c r="AX48" s="166"/>
      <c r="AY48" s="151"/>
      <c r="AZ48" s="151"/>
      <c r="BA48" s="166"/>
      <c r="BB48" s="151"/>
      <c r="BC48" s="151"/>
      <c r="BD48" s="166"/>
      <c r="BE48" s="151"/>
      <c r="BF48" s="151"/>
      <c r="BG48" s="166"/>
      <c r="BH48" s="151"/>
      <c r="BI48" s="151"/>
      <c r="BJ48" s="166"/>
      <c r="BK48" s="151"/>
      <c r="BL48" s="151"/>
      <c r="BM48" s="166"/>
      <c r="BN48" s="151"/>
      <c r="BO48" s="151"/>
      <c r="BP48" s="166"/>
      <c r="BQ48" s="151"/>
      <c r="BR48" s="151"/>
      <c r="BS48" s="166"/>
      <c r="BT48" s="151"/>
      <c r="BU48" s="151"/>
      <c r="BV48" s="166"/>
      <c r="BW48" s="151"/>
      <c r="BX48" s="151"/>
      <c r="BY48" s="166"/>
      <c r="BZ48" s="151"/>
      <c r="CA48" s="151"/>
      <c r="CB48" s="166"/>
      <c r="CC48" s="151"/>
      <c r="CD48" s="151"/>
      <c r="CE48" s="166"/>
      <c r="CF48" s="151"/>
      <c r="CG48" s="151"/>
      <c r="CH48" s="166"/>
      <c r="CI48" s="151"/>
      <c r="CJ48" s="151"/>
      <c r="CK48" s="166"/>
      <c r="CL48" s="151"/>
      <c r="CM48" s="151"/>
      <c r="CN48" s="166"/>
      <c r="CO48" s="151"/>
      <c r="CP48" s="151"/>
      <c r="CQ48" s="166"/>
      <c r="CR48" s="106"/>
    </row>
    <row r="49" spans="1:96" ht="15.75" hidden="1" thickBot="1" x14ac:dyDescent="0.3">
      <c r="A49" s="61" t="s">
        <v>137</v>
      </c>
      <c r="B49" s="150"/>
      <c r="C49" s="150"/>
      <c r="D49" s="150"/>
      <c r="E49" s="165" t="e">
        <f>IF(OR('Baseline Data'!$B$9="Absolute Energy",'Baseline Data'!$B$9="Relative Energy",'Baseline Data'!$B$9="Novem Energy"),1-(E53/(SUM(E$21:E$44))),1-E57/SUMPRODUCT(E$21:E$44,B$21:B$44))</f>
        <v>#DIV/0!</v>
      </c>
      <c r="F49" s="151"/>
      <c r="G49" s="151"/>
      <c r="H49" s="166"/>
      <c r="I49" s="151"/>
      <c r="J49" s="151"/>
      <c r="K49" s="166"/>
      <c r="L49" s="151"/>
      <c r="M49" s="151"/>
      <c r="N49" s="166"/>
      <c r="O49" s="151"/>
      <c r="P49" s="151"/>
      <c r="Q49" s="166"/>
      <c r="R49" s="151"/>
      <c r="S49" s="151"/>
      <c r="T49" s="166"/>
      <c r="U49" s="151"/>
      <c r="V49" s="151"/>
      <c r="W49" s="166"/>
      <c r="X49" s="151"/>
      <c r="Y49" s="151"/>
      <c r="Z49" s="166"/>
      <c r="AA49" s="151"/>
      <c r="AB49" s="151"/>
      <c r="AC49" s="166"/>
      <c r="AD49" s="151"/>
      <c r="AE49" s="151"/>
      <c r="AF49" s="166"/>
      <c r="AG49" s="151"/>
      <c r="AH49" s="151"/>
      <c r="AI49" s="166"/>
      <c r="AJ49" s="151"/>
      <c r="AK49" s="151"/>
      <c r="AL49" s="166"/>
      <c r="AM49" s="151"/>
      <c r="AN49" s="151"/>
      <c r="AO49" s="166"/>
      <c r="AP49" s="151"/>
      <c r="AQ49" s="151"/>
      <c r="AR49" s="166"/>
      <c r="AS49" s="151"/>
      <c r="AT49" s="151"/>
      <c r="AU49" s="166"/>
      <c r="AV49" s="151"/>
      <c r="AW49" s="151"/>
      <c r="AX49" s="166"/>
      <c r="AY49" s="151"/>
      <c r="AZ49" s="151"/>
      <c r="BA49" s="166"/>
      <c r="BB49" s="151"/>
      <c r="BC49" s="151"/>
      <c r="BD49" s="166"/>
      <c r="BE49" s="151"/>
      <c r="BF49" s="151"/>
      <c r="BG49" s="166"/>
      <c r="BH49" s="151"/>
      <c r="BI49" s="151"/>
      <c r="BJ49" s="166"/>
      <c r="BK49" s="151"/>
      <c r="BL49" s="151"/>
      <c r="BM49" s="166"/>
      <c r="BN49" s="151"/>
      <c r="BO49" s="151"/>
      <c r="BP49" s="166"/>
      <c r="BQ49" s="151"/>
      <c r="BR49" s="151"/>
      <c r="BS49" s="166"/>
      <c r="BT49" s="151"/>
      <c r="BU49" s="151"/>
      <c r="BV49" s="166"/>
      <c r="BW49" s="151"/>
      <c r="BX49" s="151"/>
      <c r="BY49" s="166"/>
      <c r="BZ49" s="151"/>
      <c r="CA49" s="151"/>
      <c r="CB49" s="166"/>
      <c r="CC49" s="151"/>
      <c r="CD49" s="151"/>
      <c r="CE49" s="166"/>
      <c r="CF49" s="151"/>
      <c r="CG49" s="151"/>
      <c r="CH49" s="166"/>
      <c r="CI49" s="151"/>
      <c r="CJ49" s="151"/>
      <c r="CK49" s="166"/>
      <c r="CL49" s="151"/>
      <c r="CM49" s="151"/>
      <c r="CN49" s="166"/>
      <c r="CO49" s="151"/>
      <c r="CP49" s="151"/>
      <c r="CQ49" s="166"/>
      <c r="CR49" s="106"/>
    </row>
    <row r="50" spans="1:96" ht="15.75" hidden="1" thickBot="1" x14ac:dyDescent="0.3">
      <c r="A50" s="61" t="s">
        <v>138</v>
      </c>
      <c r="B50" s="150"/>
      <c r="C50" s="150"/>
      <c r="D50" s="150"/>
      <c r="E50" s="137">
        <f t="shared" ref="E50:E57" si="32">H50+K50+N50+Q50+T50+W50+Z50+AC50+AF50+AI50+AL50+AO50+AR50+AU50+AX50+BA50+BD50+BG50+BJ50+BM50+BP50+BS50+BV50+BY50+CB50+CE50+CH50+CK50+CN50+CQ50</f>
        <v>0</v>
      </c>
      <c r="F50" s="151"/>
      <c r="G50" s="151"/>
      <c r="H50" s="164">
        <f>SUM(H21:H44)*(1-H46)</f>
        <v>0</v>
      </c>
      <c r="I50" s="151"/>
      <c r="J50" s="151"/>
      <c r="K50" s="164">
        <f>SUM(K21:K44)*(1-K46)</f>
        <v>0</v>
      </c>
      <c r="L50" s="151"/>
      <c r="M50" s="151"/>
      <c r="N50" s="164">
        <f>SUM(N21:N44)*(1-N46)</f>
        <v>0</v>
      </c>
      <c r="O50" s="151"/>
      <c r="P50" s="151"/>
      <c r="Q50" s="164">
        <f>SUM(Q21:Q44)*(1-Q46)</f>
        <v>0</v>
      </c>
      <c r="R50" s="151"/>
      <c r="S50" s="151"/>
      <c r="T50" s="164">
        <f>SUM(T21:T44)*(1-T46)</f>
        <v>0</v>
      </c>
      <c r="U50" s="151"/>
      <c r="V50" s="151"/>
      <c r="W50" s="164">
        <f>SUM(W21:W44)*(1-W46)</f>
        <v>0</v>
      </c>
      <c r="X50" s="151"/>
      <c r="Y50" s="151"/>
      <c r="Z50" s="164">
        <f>SUM(Z21:Z44)*(1-Z46)</f>
        <v>0</v>
      </c>
      <c r="AA50" s="151"/>
      <c r="AB50" s="151"/>
      <c r="AC50" s="164">
        <f>SUM(AC21:AC44)*(1-AC46)</f>
        <v>0</v>
      </c>
      <c r="AD50" s="151"/>
      <c r="AE50" s="151"/>
      <c r="AF50" s="164">
        <f>SUM(AF21:AF44)*(1-AF46)</f>
        <v>0</v>
      </c>
      <c r="AG50" s="151"/>
      <c r="AH50" s="151"/>
      <c r="AI50" s="164">
        <f>SUM(AI21:AI44)*(1-AI46)</f>
        <v>0</v>
      </c>
      <c r="AJ50" s="151"/>
      <c r="AK50" s="151"/>
      <c r="AL50" s="164">
        <f>SUM(AL21:AL44)*(1-AL46)</f>
        <v>0</v>
      </c>
      <c r="AM50" s="151"/>
      <c r="AN50" s="151"/>
      <c r="AO50" s="164">
        <f>SUM(AO21:AO44)*(1-AO46)</f>
        <v>0</v>
      </c>
      <c r="AP50" s="151"/>
      <c r="AQ50" s="151"/>
      <c r="AR50" s="164">
        <f>SUM(AR21:AR44)*(1-AR46)</f>
        <v>0</v>
      </c>
      <c r="AS50" s="151"/>
      <c r="AT50" s="151"/>
      <c r="AU50" s="164">
        <f>SUM(AU21:AU44)*(1-AU46)</f>
        <v>0</v>
      </c>
      <c r="AV50" s="151"/>
      <c r="AW50" s="151"/>
      <c r="AX50" s="164">
        <f>SUM(AX21:AX44)*(1-AX46)</f>
        <v>0</v>
      </c>
      <c r="AY50" s="151"/>
      <c r="AZ50" s="151"/>
      <c r="BA50" s="164">
        <f>SUM(BA21:BA44)*(1-BA46)</f>
        <v>0</v>
      </c>
      <c r="BB50" s="151"/>
      <c r="BC50" s="151"/>
      <c r="BD50" s="164">
        <f>SUM(BD21:BD44)*(1-BD46)</f>
        <v>0</v>
      </c>
      <c r="BE50" s="151"/>
      <c r="BF50" s="151"/>
      <c r="BG50" s="164">
        <f>SUM(BG21:BG44)*(1-BG46)</f>
        <v>0</v>
      </c>
      <c r="BH50" s="151"/>
      <c r="BI50" s="151"/>
      <c r="BJ50" s="164">
        <f>SUM(BJ21:BJ44)*(1-BJ46)</f>
        <v>0</v>
      </c>
      <c r="BK50" s="151"/>
      <c r="BL50" s="151"/>
      <c r="BM50" s="164">
        <f>SUM(BM21:BM44)*(1-BM46)</f>
        <v>0</v>
      </c>
      <c r="BN50" s="151"/>
      <c r="BO50" s="151"/>
      <c r="BP50" s="164">
        <f>SUM(BP21:BP44)*(1-BP46)</f>
        <v>0</v>
      </c>
      <c r="BQ50" s="151"/>
      <c r="BR50" s="151"/>
      <c r="BS50" s="164">
        <f>SUM(BS21:BS44)*(1-BS46)</f>
        <v>0</v>
      </c>
      <c r="BT50" s="151"/>
      <c r="BU50" s="151"/>
      <c r="BV50" s="164">
        <f>SUM(BV21:BV44)*(1-BV46)</f>
        <v>0</v>
      </c>
      <c r="BW50" s="151"/>
      <c r="BX50" s="151"/>
      <c r="BY50" s="164">
        <f>SUM(BY21:BY44)*(1-BY46)</f>
        <v>0</v>
      </c>
      <c r="BZ50" s="151"/>
      <c r="CA50" s="151"/>
      <c r="CB50" s="164">
        <f>SUM(CB21:CB44)*(1-CB46)</f>
        <v>0</v>
      </c>
      <c r="CC50" s="151"/>
      <c r="CD50" s="151"/>
      <c r="CE50" s="164">
        <f>SUM(CE21:CE44)*(1-CE46)</f>
        <v>0</v>
      </c>
      <c r="CF50" s="151"/>
      <c r="CG50" s="151"/>
      <c r="CH50" s="164">
        <f>SUM(CH21:CH44)*(1-CH46)</f>
        <v>0</v>
      </c>
      <c r="CI50" s="151"/>
      <c r="CJ50" s="151"/>
      <c r="CK50" s="164">
        <f>SUM(CK21:CK44)*(1-CK46)</f>
        <v>0</v>
      </c>
      <c r="CL50" s="151"/>
      <c r="CM50" s="151"/>
      <c r="CN50" s="164">
        <f>SUM(CN21:CN44)*(1-CN46)</f>
        <v>0</v>
      </c>
      <c r="CO50" s="151"/>
      <c r="CP50" s="151"/>
      <c r="CQ50" s="164">
        <f>SUM(CQ21:CQ44)*(1-CQ46)</f>
        <v>0</v>
      </c>
      <c r="CR50" s="106"/>
    </row>
    <row r="51" spans="1:96" ht="15.75" hidden="1" thickBot="1" x14ac:dyDescent="0.3">
      <c r="A51" s="61" t="s">
        <v>139</v>
      </c>
      <c r="B51" s="150"/>
      <c r="C51" s="150"/>
      <c r="D51" s="150"/>
      <c r="E51" s="137">
        <f t="shared" si="32"/>
        <v>0</v>
      </c>
      <c r="F51" s="151"/>
      <c r="G51" s="151"/>
      <c r="H51" s="164">
        <f>SUM(H21:H44)*(1-H47)</f>
        <v>0</v>
      </c>
      <c r="I51" s="151"/>
      <c r="J51" s="151"/>
      <c r="K51" s="164">
        <f>SUM(K21:K44)*(1-K47)</f>
        <v>0</v>
      </c>
      <c r="L51" s="151"/>
      <c r="M51" s="151"/>
      <c r="N51" s="164">
        <f>SUM(N21:N44)*(1-N47)</f>
        <v>0</v>
      </c>
      <c r="O51" s="151"/>
      <c r="P51" s="151"/>
      <c r="Q51" s="164">
        <f>SUM(Q21:Q44)*(1-Q47)</f>
        <v>0</v>
      </c>
      <c r="R51" s="151"/>
      <c r="S51" s="151"/>
      <c r="T51" s="164">
        <f>SUM(T21:T44)*(1-T47)</f>
        <v>0</v>
      </c>
      <c r="U51" s="151"/>
      <c r="V51" s="151"/>
      <c r="W51" s="164">
        <f>SUM(W21:W44)*(1-W47)</f>
        <v>0</v>
      </c>
      <c r="X51" s="151"/>
      <c r="Y51" s="151"/>
      <c r="Z51" s="164">
        <f>SUM(Z21:Z44)*(1-Z47)</f>
        <v>0</v>
      </c>
      <c r="AA51" s="151"/>
      <c r="AB51" s="151"/>
      <c r="AC51" s="164">
        <f>SUM(AC21:AC44)*(1-AC47)</f>
        <v>0</v>
      </c>
      <c r="AD51" s="151"/>
      <c r="AE51" s="151"/>
      <c r="AF51" s="164">
        <f>SUM(AF21:AF44)*(1-AF47)</f>
        <v>0</v>
      </c>
      <c r="AG51" s="151"/>
      <c r="AH51" s="151"/>
      <c r="AI51" s="164">
        <f>SUM(AI21:AI44)*(1-AI47)</f>
        <v>0</v>
      </c>
      <c r="AJ51" s="151"/>
      <c r="AK51" s="151"/>
      <c r="AL51" s="164">
        <f>SUM(AL21:AL44)*(1-AL47)</f>
        <v>0</v>
      </c>
      <c r="AM51" s="151"/>
      <c r="AN51" s="151"/>
      <c r="AO51" s="164">
        <f>SUM(AO21:AO44)*(1-AO47)</f>
        <v>0</v>
      </c>
      <c r="AP51" s="151"/>
      <c r="AQ51" s="151"/>
      <c r="AR51" s="164">
        <f>SUM(AR21:AR44)*(1-AR47)</f>
        <v>0</v>
      </c>
      <c r="AS51" s="151"/>
      <c r="AT51" s="151"/>
      <c r="AU51" s="164">
        <f>SUM(AU21:AU44)*(1-AU47)</f>
        <v>0</v>
      </c>
      <c r="AV51" s="151"/>
      <c r="AW51" s="151"/>
      <c r="AX51" s="164">
        <f>SUM(AX21:AX44)*(1-AX47)</f>
        <v>0</v>
      </c>
      <c r="AY51" s="151"/>
      <c r="AZ51" s="151"/>
      <c r="BA51" s="164">
        <f>SUM(BA21:BA44)*(1-BA47)</f>
        <v>0</v>
      </c>
      <c r="BB51" s="151"/>
      <c r="BC51" s="151"/>
      <c r="BD51" s="164">
        <f>SUM(BD21:BD44)*(1-BD47)</f>
        <v>0</v>
      </c>
      <c r="BE51" s="151"/>
      <c r="BF51" s="151"/>
      <c r="BG51" s="164">
        <f>SUM(BG21:BG44)*(1-BG47)</f>
        <v>0</v>
      </c>
      <c r="BH51" s="151"/>
      <c r="BI51" s="151"/>
      <c r="BJ51" s="164">
        <f>SUM(BJ21:BJ44)*(1-BJ47)</f>
        <v>0</v>
      </c>
      <c r="BK51" s="151"/>
      <c r="BL51" s="151"/>
      <c r="BM51" s="164">
        <f>SUM(BM21:BM44)*(1-BM47)</f>
        <v>0</v>
      </c>
      <c r="BN51" s="151"/>
      <c r="BO51" s="151"/>
      <c r="BP51" s="164">
        <f>SUM(BP21:BP44)*(1-BP47)</f>
        <v>0</v>
      </c>
      <c r="BQ51" s="151"/>
      <c r="BR51" s="151"/>
      <c r="BS51" s="164">
        <f>SUM(BS21:BS44)*(1-BS47)</f>
        <v>0</v>
      </c>
      <c r="BT51" s="151"/>
      <c r="BU51" s="151"/>
      <c r="BV51" s="164">
        <f>SUM(BV21:BV44)*(1-BV47)</f>
        <v>0</v>
      </c>
      <c r="BW51" s="151"/>
      <c r="BX51" s="151"/>
      <c r="BY51" s="164">
        <f>SUM(BY21:BY44)*(1-BY47)</f>
        <v>0</v>
      </c>
      <c r="BZ51" s="151"/>
      <c r="CA51" s="151"/>
      <c r="CB51" s="164">
        <f>SUM(CB21:CB44)*(1-CB47)</f>
        <v>0</v>
      </c>
      <c r="CC51" s="151"/>
      <c r="CD51" s="151"/>
      <c r="CE51" s="164">
        <f>SUM(CE21:CE44)*(1-CE47)</f>
        <v>0</v>
      </c>
      <c r="CF51" s="151"/>
      <c r="CG51" s="151"/>
      <c r="CH51" s="164">
        <f>SUM(CH21:CH44)*(1-CH47)</f>
        <v>0</v>
      </c>
      <c r="CI51" s="151"/>
      <c r="CJ51" s="151"/>
      <c r="CK51" s="164">
        <f>SUM(CK21:CK44)*(1-CK47)</f>
        <v>0</v>
      </c>
      <c r="CL51" s="151"/>
      <c r="CM51" s="151"/>
      <c r="CN51" s="164">
        <f>SUM(CN21:CN44)*(1-CN47)</f>
        <v>0</v>
      </c>
      <c r="CO51" s="151"/>
      <c r="CP51" s="151"/>
      <c r="CQ51" s="164">
        <f>SUM(CQ21:CQ44)*(1-CQ47)</f>
        <v>0</v>
      </c>
      <c r="CR51" s="106"/>
    </row>
    <row r="52" spans="1:96" ht="15.75" hidden="1" thickBot="1" x14ac:dyDescent="0.3">
      <c r="A52" s="61" t="s">
        <v>140</v>
      </c>
      <c r="B52" s="150"/>
      <c r="C52" s="150"/>
      <c r="D52" s="150"/>
      <c r="E52" s="137">
        <f t="shared" si="32"/>
        <v>0</v>
      </c>
      <c r="F52" s="151"/>
      <c r="G52" s="151"/>
      <c r="H52" s="164">
        <f>SUM(H21:H44)*(1-H48)</f>
        <v>0</v>
      </c>
      <c r="I52" s="151"/>
      <c r="J52" s="151"/>
      <c r="K52" s="164">
        <f>SUM(K21:K44)*(1-K48)</f>
        <v>0</v>
      </c>
      <c r="L52" s="151"/>
      <c r="M52" s="151"/>
      <c r="N52" s="164">
        <f>SUM(N21:N44)*(1-N48)</f>
        <v>0</v>
      </c>
      <c r="O52" s="151"/>
      <c r="P52" s="151"/>
      <c r="Q52" s="164">
        <f>SUM(Q21:Q44)*(1-Q48)</f>
        <v>0</v>
      </c>
      <c r="R52" s="151"/>
      <c r="S52" s="151"/>
      <c r="T52" s="164">
        <f>SUM(T21:T44)*(1-T48)</f>
        <v>0</v>
      </c>
      <c r="U52" s="151"/>
      <c r="V52" s="151"/>
      <c r="W52" s="164">
        <f>SUM(W21:W44)*(1-W48)</f>
        <v>0</v>
      </c>
      <c r="X52" s="151"/>
      <c r="Y52" s="151"/>
      <c r="Z52" s="164">
        <f>SUM(Z21:Z44)*(1-Z48)</f>
        <v>0</v>
      </c>
      <c r="AA52" s="151"/>
      <c r="AB52" s="151"/>
      <c r="AC52" s="164">
        <f>SUM(AC21:AC44)*(1-AC48)</f>
        <v>0</v>
      </c>
      <c r="AD52" s="151"/>
      <c r="AE52" s="151"/>
      <c r="AF52" s="164">
        <f>SUM(AF21:AF44)*(1-AF48)</f>
        <v>0</v>
      </c>
      <c r="AG52" s="151"/>
      <c r="AH52" s="151"/>
      <c r="AI52" s="164">
        <f>SUM(AI21:AI44)*(1-AI48)</f>
        <v>0</v>
      </c>
      <c r="AJ52" s="151"/>
      <c r="AK52" s="151"/>
      <c r="AL52" s="164">
        <f>SUM(AL21:AL44)*(1-AL48)</f>
        <v>0</v>
      </c>
      <c r="AM52" s="151"/>
      <c r="AN52" s="151"/>
      <c r="AO52" s="164">
        <f>SUM(AO21:AO44)*(1-AO48)</f>
        <v>0</v>
      </c>
      <c r="AP52" s="151"/>
      <c r="AQ52" s="151"/>
      <c r="AR52" s="164">
        <f>SUM(AR21:AR44)*(1-AR48)</f>
        <v>0</v>
      </c>
      <c r="AS52" s="151"/>
      <c r="AT52" s="151"/>
      <c r="AU52" s="164">
        <f>SUM(AU21:AU44)*(1-AU48)</f>
        <v>0</v>
      </c>
      <c r="AV52" s="151"/>
      <c r="AW52" s="151"/>
      <c r="AX52" s="164">
        <f>SUM(AX21:AX44)*(1-AX48)</f>
        <v>0</v>
      </c>
      <c r="AY52" s="151"/>
      <c r="AZ52" s="151"/>
      <c r="BA52" s="164">
        <f>SUM(BA21:BA44)*(1-BA48)</f>
        <v>0</v>
      </c>
      <c r="BB52" s="151"/>
      <c r="BC52" s="151"/>
      <c r="BD52" s="164">
        <f>SUM(BD21:BD44)*(1-BD48)</f>
        <v>0</v>
      </c>
      <c r="BE52" s="151"/>
      <c r="BF52" s="151"/>
      <c r="BG52" s="164">
        <f>SUM(BG21:BG44)*(1-BG48)</f>
        <v>0</v>
      </c>
      <c r="BH52" s="151"/>
      <c r="BI52" s="151"/>
      <c r="BJ52" s="164">
        <f>SUM(BJ21:BJ44)*(1-BJ48)</f>
        <v>0</v>
      </c>
      <c r="BK52" s="151"/>
      <c r="BL52" s="151"/>
      <c r="BM52" s="164">
        <f>SUM(BM21:BM44)*(1-BM48)</f>
        <v>0</v>
      </c>
      <c r="BN52" s="151"/>
      <c r="BO52" s="151"/>
      <c r="BP52" s="164">
        <f>SUM(BP21:BP44)*(1-BP48)</f>
        <v>0</v>
      </c>
      <c r="BQ52" s="151"/>
      <c r="BR52" s="151"/>
      <c r="BS52" s="164">
        <f>SUM(BS21:BS44)*(1-BS48)</f>
        <v>0</v>
      </c>
      <c r="BT52" s="151"/>
      <c r="BU52" s="151"/>
      <c r="BV52" s="164">
        <f>SUM(BV21:BV44)*(1-BV48)</f>
        <v>0</v>
      </c>
      <c r="BW52" s="151"/>
      <c r="BX52" s="151"/>
      <c r="BY52" s="164">
        <f>SUM(BY21:BY44)*(1-BY48)</f>
        <v>0</v>
      </c>
      <c r="BZ52" s="151"/>
      <c r="CA52" s="151"/>
      <c r="CB52" s="164">
        <f>SUM(CB21:CB44)*(1-CB48)</f>
        <v>0</v>
      </c>
      <c r="CC52" s="151"/>
      <c r="CD52" s="151"/>
      <c r="CE52" s="164">
        <f>SUM(CE21:CE44)*(1-CE48)</f>
        <v>0</v>
      </c>
      <c r="CF52" s="151"/>
      <c r="CG52" s="151"/>
      <c r="CH52" s="164">
        <f>SUM(CH21:CH44)*(1-CH48)</f>
        <v>0</v>
      </c>
      <c r="CI52" s="151"/>
      <c r="CJ52" s="151"/>
      <c r="CK52" s="164">
        <f>SUM(CK21:CK44)*(1-CK48)</f>
        <v>0</v>
      </c>
      <c r="CL52" s="151"/>
      <c r="CM52" s="151"/>
      <c r="CN52" s="164">
        <f>SUM(CN21:CN44)*(1-CN48)</f>
        <v>0</v>
      </c>
      <c r="CO52" s="151"/>
      <c r="CP52" s="151"/>
      <c r="CQ52" s="164">
        <f>SUM(CQ21:CQ44)*(1-CQ48)</f>
        <v>0</v>
      </c>
      <c r="CR52" s="106"/>
    </row>
    <row r="53" spans="1:96" ht="15.75" hidden="1" thickBot="1" x14ac:dyDescent="0.3">
      <c r="A53" s="61" t="s">
        <v>141</v>
      </c>
      <c r="B53" s="150"/>
      <c r="C53" s="150"/>
      <c r="D53" s="150"/>
      <c r="E53" s="137">
        <f t="shared" si="32"/>
        <v>0</v>
      </c>
      <c r="F53" s="151"/>
      <c r="G53" s="151"/>
      <c r="H53" s="164">
        <f>SUM(H21:H44)*(1-H49)</f>
        <v>0</v>
      </c>
      <c r="I53" s="151"/>
      <c r="J53" s="151"/>
      <c r="K53" s="164">
        <f>SUM(K21:K44)*(1-K49)</f>
        <v>0</v>
      </c>
      <c r="L53" s="151"/>
      <c r="M53" s="151"/>
      <c r="N53" s="164">
        <f>SUM(N21:N44)*(1-N49)</f>
        <v>0</v>
      </c>
      <c r="O53" s="151"/>
      <c r="P53" s="151"/>
      <c r="Q53" s="164">
        <f>SUM(Q21:Q44)*(1-Q49)</f>
        <v>0</v>
      </c>
      <c r="R53" s="151"/>
      <c r="S53" s="151"/>
      <c r="T53" s="164">
        <f>SUM(T21:T44)*(1-T49)</f>
        <v>0</v>
      </c>
      <c r="U53" s="151"/>
      <c r="V53" s="151"/>
      <c r="W53" s="164">
        <f>SUM(W21:W44)*(1-W49)</f>
        <v>0</v>
      </c>
      <c r="X53" s="151"/>
      <c r="Y53" s="151"/>
      <c r="Z53" s="164">
        <f>SUM(Z21:Z44)*(1-Z49)</f>
        <v>0</v>
      </c>
      <c r="AA53" s="151"/>
      <c r="AB53" s="151"/>
      <c r="AC53" s="164">
        <f>SUM(AC21:AC44)*(1-AC49)</f>
        <v>0</v>
      </c>
      <c r="AD53" s="151"/>
      <c r="AE53" s="151"/>
      <c r="AF53" s="164">
        <f>SUM(AF21:AF44)*(1-AF49)</f>
        <v>0</v>
      </c>
      <c r="AG53" s="151"/>
      <c r="AH53" s="151"/>
      <c r="AI53" s="164">
        <f>SUM(AI21:AI44)*(1-AI49)</f>
        <v>0</v>
      </c>
      <c r="AJ53" s="151"/>
      <c r="AK53" s="151"/>
      <c r="AL53" s="164">
        <f>SUM(AL21:AL44)*(1-AL49)</f>
        <v>0</v>
      </c>
      <c r="AM53" s="151"/>
      <c r="AN53" s="151"/>
      <c r="AO53" s="164">
        <f>SUM(AO21:AO44)*(1-AO49)</f>
        <v>0</v>
      </c>
      <c r="AP53" s="151"/>
      <c r="AQ53" s="151"/>
      <c r="AR53" s="164">
        <f>SUM(AR21:AR44)*(1-AR49)</f>
        <v>0</v>
      </c>
      <c r="AS53" s="151"/>
      <c r="AT53" s="151"/>
      <c r="AU53" s="164">
        <f>SUM(AU21:AU44)*(1-AU49)</f>
        <v>0</v>
      </c>
      <c r="AV53" s="151"/>
      <c r="AW53" s="151"/>
      <c r="AX53" s="164">
        <f>SUM(AX21:AX44)*(1-AX49)</f>
        <v>0</v>
      </c>
      <c r="AY53" s="151"/>
      <c r="AZ53" s="151"/>
      <c r="BA53" s="164">
        <f>SUM(BA21:BA44)*(1-BA49)</f>
        <v>0</v>
      </c>
      <c r="BB53" s="151"/>
      <c r="BC53" s="151"/>
      <c r="BD53" s="164">
        <f>SUM(BD21:BD44)*(1-BD49)</f>
        <v>0</v>
      </c>
      <c r="BE53" s="151"/>
      <c r="BF53" s="151"/>
      <c r="BG53" s="164">
        <f>SUM(BG21:BG44)*(1-BG49)</f>
        <v>0</v>
      </c>
      <c r="BH53" s="151"/>
      <c r="BI53" s="151"/>
      <c r="BJ53" s="164">
        <f>SUM(BJ21:BJ44)*(1-BJ49)</f>
        <v>0</v>
      </c>
      <c r="BK53" s="151"/>
      <c r="BL53" s="151"/>
      <c r="BM53" s="164">
        <f>SUM(BM21:BM44)*(1-BM49)</f>
        <v>0</v>
      </c>
      <c r="BN53" s="151"/>
      <c r="BO53" s="151"/>
      <c r="BP53" s="164">
        <f>SUM(BP21:BP44)*(1-BP49)</f>
        <v>0</v>
      </c>
      <c r="BQ53" s="151"/>
      <c r="BR53" s="151"/>
      <c r="BS53" s="164">
        <f>SUM(BS21:BS44)*(1-BS49)</f>
        <v>0</v>
      </c>
      <c r="BT53" s="151"/>
      <c r="BU53" s="151"/>
      <c r="BV53" s="164">
        <f>SUM(BV21:BV44)*(1-BV49)</f>
        <v>0</v>
      </c>
      <c r="BW53" s="151"/>
      <c r="BX53" s="151"/>
      <c r="BY53" s="164">
        <f>SUM(BY21:BY44)*(1-BY49)</f>
        <v>0</v>
      </c>
      <c r="BZ53" s="151"/>
      <c r="CA53" s="151"/>
      <c r="CB53" s="164">
        <f>SUM(CB21:CB44)*(1-CB49)</f>
        <v>0</v>
      </c>
      <c r="CC53" s="151"/>
      <c r="CD53" s="151"/>
      <c r="CE53" s="164">
        <f>SUM(CE21:CE44)*(1-CE49)</f>
        <v>0</v>
      </c>
      <c r="CF53" s="151"/>
      <c r="CG53" s="151"/>
      <c r="CH53" s="164">
        <f>SUM(CH21:CH44)*(1-CH49)</f>
        <v>0</v>
      </c>
      <c r="CI53" s="151"/>
      <c r="CJ53" s="151"/>
      <c r="CK53" s="164">
        <f>SUM(CK21:CK44)*(1-CK49)</f>
        <v>0</v>
      </c>
      <c r="CL53" s="151"/>
      <c r="CM53" s="151"/>
      <c r="CN53" s="164">
        <f>SUM(CN21:CN44)*(1-CN49)</f>
        <v>0</v>
      </c>
      <c r="CO53" s="151"/>
      <c r="CP53" s="151"/>
      <c r="CQ53" s="164">
        <f>SUM(CQ21:CQ44)*(1-CQ49)</f>
        <v>0</v>
      </c>
      <c r="CR53" s="106"/>
    </row>
    <row r="54" spans="1:96" ht="15.75" hidden="1" thickBot="1" x14ac:dyDescent="0.3">
      <c r="A54" s="167" t="s">
        <v>248</v>
      </c>
      <c r="B54" s="232"/>
      <c r="C54" s="233"/>
      <c r="D54" s="233"/>
      <c r="E54" s="137">
        <f t="shared" si="32"/>
        <v>0</v>
      </c>
      <c r="F54" s="234"/>
      <c r="G54" s="235"/>
      <c r="H54" s="236">
        <f>SUMPRODUCT(H$21:H$44,$B$21:$B$44)*(1-H46)</f>
        <v>0</v>
      </c>
      <c r="I54" s="234"/>
      <c r="J54" s="235"/>
      <c r="K54" s="236">
        <f>SUMPRODUCT(K$21:K$44,$B$21:$B$44)*(1-K46)</f>
        <v>0</v>
      </c>
      <c r="L54" s="234"/>
      <c r="M54" s="235"/>
      <c r="N54" s="236">
        <f>SUMPRODUCT(N$21:N$44,$B$21:$B$44)*(1-N46)</f>
        <v>0</v>
      </c>
      <c r="O54" s="234"/>
      <c r="P54" s="235"/>
      <c r="Q54" s="236">
        <f>SUMPRODUCT(Q$21:Q$44,$B$21:$B$44)*(1-Q46)</f>
        <v>0</v>
      </c>
      <c r="R54" s="158"/>
      <c r="S54" s="158"/>
      <c r="T54" s="236">
        <f>SUMPRODUCT(T$21:T$44,$B$21:$B$44)*(1-T46)</f>
        <v>0</v>
      </c>
      <c r="U54" s="234"/>
      <c r="V54" s="235"/>
      <c r="W54" s="236">
        <f>SUMPRODUCT(W$21:W$44,$B$21:$B$44)*(1-W46)</f>
        <v>0</v>
      </c>
      <c r="X54" s="234"/>
      <c r="Y54" s="235"/>
      <c r="Z54" s="236">
        <f>SUMPRODUCT(Z$21:Z$44,$B$21:$B$44)*(1-Z46)</f>
        <v>0</v>
      </c>
      <c r="AA54" s="234"/>
      <c r="AB54" s="235"/>
      <c r="AC54" s="236">
        <f>SUMPRODUCT(AC$21:AC$44,$B$21:$B$44)*(1-AC46)</f>
        <v>0</v>
      </c>
      <c r="AD54" s="234"/>
      <c r="AE54" s="235"/>
      <c r="AF54" s="236">
        <f>SUMPRODUCT(AF$21:AF$44,$B$21:$B$44)*(1-AF46)</f>
        <v>0</v>
      </c>
      <c r="AG54" s="234"/>
      <c r="AH54" s="235"/>
      <c r="AI54" s="236">
        <f>SUMPRODUCT(AI$21:AI$44,$B$21:$B$44)*(1-AI46)</f>
        <v>0</v>
      </c>
      <c r="AJ54" s="234"/>
      <c r="AK54" s="235"/>
      <c r="AL54" s="236">
        <f>SUMPRODUCT(AL$21:AL$44,$B$21:$B$44)*(1-AL46)</f>
        <v>0</v>
      </c>
      <c r="AM54" s="234"/>
      <c r="AN54" s="235"/>
      <c r="AO54" s="236">
        <f>SUMPRODUCT(AO$21:AO$44,$B$21:$B$44)*(1-AO46)</f>
        <v>0</v>
      </c>
      <c r="AP54" s="234"/>
      <c r="AQ54" s="235"/>
      <c r="AR54" s="236">
        <f>SUMPRODUCT(AR$21:AR$44,$B$21:$B$44)*(1-AR46)</f>
        <v>0</v>
      </c>
      <c r="AS54" s="234"/>
      <c r="AT54" s="235"/>
      <c r="AU54" s="236">
        <f>SUMPRODUCT(AU$21:AU$44,$B$21:$B$44)*(1-AU46)</f>
        <v>0</v>
      </c>
      <c r="AV54" s="234"/>
      <c r="AW54" s="235"/>
      <c r="AX54" s="236">
        <f>SUMPRODUCT(AX$21:AX$44,$B$21:$B$44)*(1-AX46)</f>
        <v>0</v>
      </c>
      <c r="AY54" s="234"/>
      <c r="AZ54" s="235"/>
      <c r="BA54" s="236">
        <f>SUMPRODUCT(BA$21:BA$44,$B$21:$B$44)*(1-BA46)</f>
        <v>0</v>
      </c>
      <c r="BB54" s="234"/>
      <c r="BC54" s="235"/>
      <c r="BD54" s="236">
        <f>SUMPRODUCT(BD$21:BD$44,$B$21:$B$44)*(1-BD46)</f>
        <v>0</v>
      </c>
      <c r="BE54" s="234"/>
      <c r="BF54" s="235"/>
      <c r="BG54" s="236">
        <f>SUMPRODUCT(BG$21:BG$44,$B$21:$B$44)*(1-BG46)</f>
        <v>0</v>
      </c>
      <c r="BH54" s="234"/>
      <c r="BI54" s="235"/>
      <c r="BJ54" s="236">
        <f>SUMPRODUCT(BJ$21:BJ$44,$B$21:$B$44)*(1-BJ46)</f>
        <v>0</v>
      </c>
      <c r="BK54" s="234"/>
      <c r="BL54" s="235"/>
      <c r="BM54" s="236">
        <f>SUMPRODUCT(BM$21:BM$44,$B$21:$B$44)*(1-BM46)</f>
        <v>0</v>
      </c>
      <c r="BN54" s="234"/>
      <c r="BO54" s="235"/>
      <c r="BP54" s="236">
        <f>SUMPRODUCT(BP$21:BP$44,$B$21:$B$44)*(1-BP46)</f>
        <v>0</v>
      </c>
      <c r="BQ54" s="234"/>
      <c r="BR54" s="235"/>
      <c r="BS54" s="236">
        <f>SUMPRODUCT(BS$21:BS$44,$B$21:$B$44)*(1-BS46)</f>
        <v>0</v>
      </c>
      <c r="BT54" s="234"/>
      <c r="BU54" s="235"/>
      <c r="BV54" s="236">
        <f>SUMPRODUCT(BV$21:BV$44,$B$21:$B$44)*(1-BV46)</f>
        <v>0</v>
      </c>
      <c r="BW54" s="234"/>
      <c r="BX54" s="235"/>
      <c r="BY54" s="236">
        <f>SUMPRODUCT(BY$21:BY$44,$B$21:$B$44)*(1-BY46)</f>
        <v>0</v>
      </c>
      <c r="BZ54" s="234"/>
      <c r="CA54" s="235"/>
      <c r="CB54" s="236">
        <f>SUMPRODUCT(CB$21:CB$44,$B$21:$B$44)*(1-CB46)</f>
        <v>0</v>
      </c>
      <c r="CC54" s="234"/>
      <c r="CD54" s="235"/>
      <c r="CE54" s="236">
        <f>SUMPRODUCT(CE$21:CE$44,$B$21:$B$44)*(1-CE46)</f>
        <v>0</v>
      </c>
      <c r="CF54" s="234"/>
      <c r="CG54" s="235"/>
      <c r="CH54" s="236">
        <f>SUMPRODUCT(CH$21:CH$44,$B$21:$B$44)*(1-CH46)</f>
        <v>0</v>
      </c>
      <c r="CI54" s="234"/>
      <c r="CJ54" s="235"/>
      <c r="CK54" s="236">
        <f>SUMPRODUCT(CK$21:CK$44,$B$21:$B$44)*(1-CK46)</f>
        <v>0</v>
      </c>
      <c r="CL54" s="234"/>
      <c r="CM54" s="235"/>
      <c r="CN54" s="236">
        <f>SUMPRODUCT(CN$21:CN$44,$B$21:$B$44)*(1-CN46)</f>
        <v>0</v>
      </c>
      <c r="CO54" s="234"/>
      <c r="CP54" s="235"/>
      <c r="CQ54" s="236">
        <f>SUMPRODUCT(CQ$21:CQ$44,$B$21:$B$44)*(1-CQ46)</f>
        <v>0</v>
      </c>
      <c r="CR54" s="106"/>
    </row>
    <row r="55" spans="1:96" ht="15.75" hidden="1" thickBot="1" x14ac:dyDescent="0.3">
      <c r="A55" s="167" t="s">
        <v>249</v>
      </c>
      <c r="B55" s="232"/>
      <c r="C55" s="233"/>
      <c r="D55" s="233"/>
      <c r="E55" s="137">
        <f t="shared" si="32"/>
        <v>0</v>
      </c>
      <c r="F55" s="234"/>
      <c r="G55" s="235"/>
      <c r="H55" s="236">
        <f t="shared" ref="H55:H57" si="33">SUMPRODUCT(H$21:H$44,$B$21:$B$44)*(1-H47)</f>
        <v>0</v>
      </c>
      <c r="I55" s="234"/>
      <c r="J55" s="235"/>
      <c r="K55" s="236">
        <f t="shared" ref="K55:K57" si="34">SUMPRODUCT(K$21:K$44,$B$21:$B$44)*(1-K47)</f>
        <v>0</v>
      </c>
      <c r="L55" s="234"/>
      <c r="M55" s="235"/>
      <c r="N55" s="236">
        <f t="shared" ref="N55:N57" si="35">SUMPRODUCT(N$21:N$44,$B$21:$B$44)*(1-N47)</f>
        <v>0</v>
      </c>
      <c r="O55" s="234"/>
      <c r="P55" s="235"/>
      <c r="Q55" s="236">
        <f t="shared" ref="Q55:Q57" si="36">SUMPRODUCT(Q$21:Q$44,$B$21:$B$44)*(1-Q47)</f>
        <v>0</v>
      </c>
      <c r="R55" s="158"/>
      <c r="S55" s="158"/>
      <c r="T55" s="236">
        <f t="shared" ref="T55:T57" si="37">SUMPRODUCT(T$21:T$44,$B$21:$B$44)*(1-T47)</f>
        <v>0</v>
      </c>
      <c r="U55" s="234"/>
      <c r="V55" s="235"/>
      <c r="W55" s="236">
        <f t="shared" ref="W55:W57" si="38">SUMPRODUCT(W$21:W$44,$B$21:$B$44)*(1-W47)</f>
        <v>0</v>
      </c>
      <c r="X55" s="234"/>
      <c r="Y55" s="235"/>
      <c r="Z55" s="236">
        <f t="shared" ref="Z55:Z57" si="39">SUMPRODUCT(Z$21:Z$44,$B$21:$B$44)*(1-Z47)</f>
        <v>0</v>
      </c>
      <c r="AA55" s="234"/>
      <c r="AB55" s="235"/>
      <c r="AC55" s="236">
        <f t="shared" ref="AC55:AC57" si="40">SUMPRODUCT(AC$21:AC$44,$B$21:$B$44)*(1-AC47)</f>
        <v>0</v>
      </c>
      <c r="AD55" s="234"/>
      <c r="AE55" s="235"/>
      <c r="AF55" s="236">
        <f t="shared" ref="AF55:AF57" si="41">SUMPRODUCT(AF$21:AF$44,$B$21:$B$44)*(1-AF47)</f>
        <v>0</v>
      </c>
      <c r="AG55" s="234"/>
      <c r="AH55" s="235"/>
      <c r="AI55" s="236">
        <f t="shared" ref="AI55:AI57" si="42">SUMPRODUCT(AI$21:AI$44,$B$21:$B$44)*(1-AI47)</f>
        <v>0</v>
      </c>
      <c r="AJ55" s="234"/>
      <c r="AK55" s="235"/>
      <c r="AL55" s="236">
        <f t="shared" ref="AL55:AL57" si="43">SUMPRODUCT(AL$21:AL$44,$B$21:$B$44)*(1-AL47)</f>
        <v>0</v>
      </c>
      <c r="AM55" s="234"/>
      <c r="AN55" s="235"/>
      <c r="AO55" s="236">
        <f t="shared" ref="AO55:AO57" si="44">SUMPRODUCT(AO$21:AO$44,$B$21:$B$44)*(1-AO47)</f>
        <v>0</v>
      </c>
      <c r="AP55" s="234"/>
      <c r="AQ55" s="235"/>
      <c r="AR55" s="236">
        <f t="shared" ref="AR55:AR57" si="45">SUMPRODUCT(AR$21:AR$44,$B$21:$B$44)*(1-AR47)</f>
        <v>0</v>
      </c>
      <c r="AS55" s="234"/>
      <c r="AT55" s="235"/>
      <c r="AU55" s="236">
        <f t="shared" ref="AU55:AU57" si="46">SUMPRODUCT(AU$21:AU$44,$B$21:$B$44)*(1-AU47)</f>
        <v>0</v>
      </c>
      <c r="AV55" s="234"/>
      <c r="AW55" s="235"/>
      <c r="AX55" s="236">
        <f t="shared" ref="AX55:AX57" si="47">SUMPRODUCT(AX$21:AX$44,$B$21:$B$44)*(1-AX47)</f>
        <v>0</v>
      </c>
      <c r="AY55" s="234"/>
      <c r="AZ55" s="235"/>
      <c r="BA55" s="236">
        <f t="shared" ref="BA55:BA57" si="48">SUMPRODUCT(BA$21:BA$44,$B$21:$B$44)*(1-BA47)</f>
        <v>0</v>
      </c>
      <c r="BB55" s="234"/>
      <c r="BC55" s="235"/>
      <c r="BD55" s="236">
        <f t="shared" ref="BD55:BD57" si="49">SUMPRODUCT(BD$21:BD$44,$B$21:$B$44)*(1-BD47)</f>
        <v>0</v>
      </c>
      <c r="BE55" s="234"/>
      <c r="BF55" s="235"/>
      <c r="BG55" s="236">
        <f t="shared" ref="BG55:BG57" si="50">SUMPRODUCT(BG$21:BG$44,$B$21:$B$44)*(1-BG47)</f>
        <v>0</v>
      </c>
      <c r="BH55" s="234"/>
      <c r="BI55" s="235"/>
      <c r="BJ55" s="236">
        <f t="shared" ref="BJ55:BJ57" si="51">SUMPRODUCT(BJ$21:BJ$44,$B$21:$B$44)*(1-BJ47)</f>
        <v>0</v>
      </c>
      <c r="BK55" s="234"/>
      <c r="BL55" s="235"/>
      <c r="BM55" s="236">
        <f t="shared" ref="BM55:BM57" si="52">SUMPRODUCT(BM$21:BM$44,$B$21:$B$44)*(1-BM47)</f>
        <v>0</v>
      </c>
      <c r="BN55" s="234"/>
      <c r="BO55" s="235"/>
      <c r="BP55" s="236">
        <f t="shared" ref="BP55:BP57" si="53">SUMPRODUCT(BP$21:BP$44,$B$21:$B$44)*(1-BP47)</f>
        <v>0</v>
      </c>
      <c r="BQ55" s="234"/>
      <c r="BR55" s="235"/>
      <c r="BS55" s="236">
        <f t="shared" ref="BS55:BS57" si="54">SUMPRODUCT(BS$21:BS$44,$B$21:$B$44)*(1-BS47)</f>
        <v>0</v>
      </c>
      <c r="BT55" s="234"/>
      <c r="BU55" s="235"/>
      <c r="BV55" s="236">
        <f t="shared" ref="BV55:BV57" si="55">SUMPRODUCT(BV$21:BV$44,$B$21:$B$44)*(1-BV47)</f>
        <v>0</v>
      </c>
      <c r="BW55" s="234"/>
      <c r="BX55" s="235"/>
      <c r="BY55" s="236">
        <f t="shared" ref="BY55:BY57" si="56">SUMPRODUCT(BY$21:BY$44,$B$21:$B$44)*(1-BY47)</f>
        <v>0</v>
      </c>
      <c r="BZ55" s="234"/>
      <c r="CA55" s="235"/>
      <c r="CB55" s="236">
        <f t="shared" ref="CB55:CB57" si="57">SUMPRODUCT(CB$21:CB$44,$B$21:$B$44)*(1-CB47)</f>
        <v>0</v>
      </c>
      <c r="CC55" s="234"/>
      <c r="CD55" s="235"/>
      <c r="CE55" s="236">
        <f t="shared" ref="CE55:CE57" si="58">SUMPRODUCT(CE$21:CE$44,$B$21:$B$44)*(1-CE47)</f>
        <v>0</v>
      </c>
      <c r="CF55" s="234"/>
      <c r="CG55" s="235"/>
      <c r="CH55" s="236">
        <f t="shared" ref="CH55:CH57" si="59">SUMPRODUCT(CH$21:CH$44,$B$21:$B$44)*(1-CH47)</f>
        <v>0</v>
      </c>
      <c r="CI55" s="234"/>
      <c r="CJ55" s="235"/>
      <c r="CK55" s="236">
        <f t="shared" ref="CK55:CK57" si="60">SUMPRODUCT(CK$21:CK$44,$B$21:$B$44)*(1-CK47)</f>
        <v>0</v>
      </c>
      <c r="CL55" s="234"/>
      <c r="CM55" s="235"/>
      <c r="CN55" s="236">
        <f t="shared" ref="CN55:CN57" si="61">SUMPRODUCT(CN$21:CN$44,$B$21:$B$44)*(1-CN47)</f>
        <v>0</v>
      </c>
      <c r="CO55" s="234"/>
      <c r="CP55" s="235"/>
      <c r="CQ55" s="236">
        <f t="shared" ref="CQ55:CQ57" si="62">SUMPRODUCT(CQ$21:CQ$44,$B$21:$B$44)*(1-CQ47)</f>
        <v>0</v>
      </c>
      <c r="CR55" s="106"/>
    </row>
    <row r="56" spans="1:96" ht="15.75" hidden="1" thickBot="1" x14ac:dyDescent="0.3">
      <c r="A56" s="167" t="s">
        <v>250</v>
      </c>
      <c r="B56" s="232"/>
      <c r="C56" s="233"/>
      <c r="D56" s="233"/>
      <c r="E56" s="137">
        <f t="shared" si="32"/>
        <v>0</v>
      </c>
      <c r="F56" s="234"/>
      <c r="G56" s="235"/>
      <c r="H56" s="236">
        <f t="shared" si="33"/>
        <v>0</v>
      </c>
      <c r="I56" s="234"/>
      <c r="J56" s="235"/>
      <c r="K56" s="236">
        <f t="shared" si="34"/>
        <v>0</v>
      </c>
      <c r="L56" s="234"/>
      <c r="M56" s="235"/>
      <c r="N56" s="236">
        <f t="shared" si="35"/>
        <v>0</v>
      </c>
      <c r="O56" s="234"/>
      <c r="P56" s="235"/>
      <c r="Q56" s="236">
        <f t="shared" si="36"/>
        <v>0</v>
      </c>
      <c r="R56" s="158"/>
      <c r="S56" s="158"/>
      <c r="T56" s="236">
        <f t="shared" si="37"/>
        <v>0</v>
      </c>
      <c r="U56" s="234"/>
      <c r="V56" s="235"/>
      <c r="W56" s="236">
        <f t="shared" si="38"/>
        <v>0</v>
      </c>
      <c r="X56" s="234"/>
      <c r="Y56" s="235"/>
      <c r="Z56" s="236">
        <f t="shared" si="39"/>
        <v>0</v>
      </c>
      <c r="AA56" s="234"/>
      <c r="AB56" s="235"/>
      <c r="AC56" s="236">
        <f t="shared" si="40"/>
        <v>0</v>
      </c>
      <c r="AD56" s="234"/>
      <c r="AE56" s="235"/>
      <c r="AF56" s="236">
        <f t="shared" si="41"/>
        <v>0</v>
      </c>
      <c r="AG56" s="234"/>
      <c r="AH56" s="235"/>
      <c r="AI56" s="236">
        <f t="shared" si="42"/>
        <v>0</v>
      </c>
      <c r="AJ56" s="234"/>
      <c r="AK56" s="235"/>
      <c r="AL56" s="236">
        <f t="shared" si="43"/>
        <v>0</v>
      </c>
      <c r="AM56" s="234"/>
      <c r="AN56" s="235"/>
      <c r="AO56" s="236">
        <f t="shared" si="44"/>
        <v>0</v>
      </c>
      <c r="AP56" s="234"/>
      <c r="AQ56" s="235"/>
      <c r="AR56" s="236">
        <f t="shared" si="45"/>
        <v>0</v>
      </c>
      <c r="AS56" s="234"/>
      <c r="AT56" s="235"/>
      <c r="AU56" s="236">
        <f t="shared" si="46"/>
        <v>0</v>
      </c>
      <c r="AV56" s="234"/>
      <c r="AW56" s="235"/>
      <c r="AX56" s="236">
        <f t="shared" si="47"/>
        <v>0</v>
      </c>
      <c r="AY56" s="234"/>
      <c r="AZ56" s="235"/>
      <c r="BA56" s="236">
        <f t="shared" si="48"/>
        <v>0</v>
      </c>
      <c r="BB56" s="234"/>
      <c r="BC56" s="235"/>
      <c r="BD56" s="236">
        <f t="shared" si="49"/>
        <v>0</v>
      </c>
      <c r="BE56" s="234"/>
      <c r="BF56" s="235"/>
      <c r="BG56" s="236">
        <f t="shared" si="50"/>
        <v>0</v>
      </c>
      <c r="BH56" s="234"/>
      <c r="BI56" s="235"/>
      <c r="BJ56" s="236">
        <f t="shared" si="51"/>
        <v>0</v>
      </c>
      <c r="BK56" s="234"/>
      <c r="BL56" s="235"/>
      <c r="BM56" s="236">
        <f t="shared" si="52"/>
        <v>0</v>
      </c>
      <c r="BN56" s="234"/>
      <c r="BO56" s="235"/>
      <c r="BP56" s="236">
        <f t="shared" si="53"/>
        <v>0</v>
      </c>
      <c r="BQ56" s="234"/>
      <c r="BR56" s="235"/>
      <c r="BS56" s="236">
        <f t="shared" si="54"/>
        <v>0</v>
      </c>
      <c r="BT56" s="234"/>
      <c r="BU56" s="235"/>
      <c r="BV56" s="236">
        <f t="shared" si="55"/>
        <v>0</v>
      </c>
      <c r="BW56" s="234"/>
      <c r="BX56" s="235"/>
      <c r="BY56" s="236">
        <f t="shared" si="56"/>
        <v>0</v>
      </c>
      <c r="BZ56" s="234"/>
      <c r="CA56" s="235"/>
      <c r="CB56" s="236">
        <f t="shared" si="57"/>
        <v>0</v>
      </c>
      <c r="CC56" s="234"/>
      <c r="CD56" s="235"/>
      <c r="CE56" s="236">
        <f t="shared" si="58"/>
        <v>0</v>
      </c>
      <c r="CF56" s="234"/>
      <c r="CG56" s="235"/>
      <c r="CH56" s="236">
        <f t="shared" si="59"/>
        <v>0</v>
      </c>
      <c r="CI56" s="234"/>
      <c r="CJ56" s="235"/>
      <c r="CK56" s="236">
        <f t="shared" si="60"/>
        <v>0</v>
      </c>
      <c r="CL56" s="234"/>
      <c r="CM56" s="235"/>
      <c r="CN56" s="236">
        <f t="shared" si="61"/>
        <v>0</v>
      </c>
      <c r="CO56" s="234"/>
      <c r="CP56" s="235"/>
      <c r="CQ56" s="236">
        <f t="shared" si="62"/>
        <v>0</v>
      </c>
      <c r="CR56" s="106"/>
    </row>
    <row r="57" spans="1:96" ht="15.75" hidden="1" thickBot="1" x14ac:dyDescent="0.3">
      <c r="A57" s="167" t="s">
        <v>251</v>
      </c>
      <c r="B57" s="232"/>
      <c r="C57" s="233"/>
      <c r="D57" s="233"/>
      <c r="E57" s="137">
        <f t="shared" si="32"/>
        <v>0</v>
      </c>
      <c r="F57" s="234"/>
      <c r="G57" s="235"/>
      <c r="H57" s="236">
        <f t="shared" si="33"/>
        <v>0</v>
      </c>
      <c r="I57" s="234"/>
      <c r="J57" s="235"/>
      <c r="K57" s="236">
        <f t="shared" si="34"/>
        <v>0</v>
      </c>
      <c r="L57" s="234"/>
      <c r="M57" s="235"/>
      <c r="N57" s="236">
        <f t="shared" si="35"/>
        <v>0</v>
      </c>
      <c r="O57" s="234"/>
      <c r="P57" s="235"/>
      <c r="Q57" s="236">
        <f t="shared" si="36"/>
        <v>0</v>
      </c>
      <c r="R57" s="158"/>
      <c r="S57" s="158"/>
      <c r="T57" s="236">
        <f t="shared" si="37"/>
        <v>0</v>
      </c>
      <c r="U57" s="234"/>
      <c r="V57" s="235"/>
      <c r="W57" s="236">
        <f t="shared" si="38"/>
        <v>0</v>
      </c>
      <c r="X57" s="234"/>
      <c r="Y57" s="235"/>
      <c r="Z57" s="236">
        <f t="shared" si="39"/>
        <v>0</v>
      </c>
      <c r="AA57" s="234"/>
      <c r="AB57" s="235"/>
      <c r="AC57" s="236">
        <f t="shared" si="40"/>
        <v>0</v>
      </c>
      <c r="AD57" s="234"/>
      <c r="AE57" s="235"/>
      <c r="AF57" s="236">
        <f t="shared" si="41"/>
        <v>0</v>
      </c>
      <c r="AG57" s="234"/>
      <c r="AH57" s="235"/>
      <c r="AI57" s="236">
        <f t="shared" si="42"/>
        <v>0</v>
      </c>
      <c r="AJ57" s="234"/>
      <c r="AK57" s="235"/>
      <c r="AL57" s="236">
        <f t="shared" si="43"/>
        <v>0</v>
      </c>
      <c r="AM57" s="234"/>
      <c r="AN57" s="235"/>
      <c r="AO57" s="236">
        <f t="shared" si="44"/>
        <v>0</v>
      </c>
      <c r="AP57" s="234"/>
      <c r="AQ57" s="235"/>
      <c r="AR57" s="236">
        <f t="shared" si="45"/>
        <v>0</v>
      </c>
      <c r="AS57" s="234"/>
      <c r="AT57" s="235"/>
      <c r="AU57" s="236">
        <f t="shared" si="46"/>
        <v>0</v>
      </c>
      <c r="AV57" s="234"/>
      <c r="AW57" s="235"/>
      <c r="AX57" s="236">
        <f t="shared" si="47"/>
        <v>0</v>
      </c>
      <c r="AY57" s="234"/>
      <c r="AZ57" s="235"/>
      <c r="BA57" s="236">
        <f t="shared" si="48"/>
        <v>0</v>
      </c>
      <c r="BB57" s="234"/>
      <c r="BC57" s="235"/>
      <c r="BD57" s="236">
        <f t="shared" si="49"/>
        <v>0</v>
      </c>
      <c r="BE57" s="234"/>
      <c r="BF57" s="235"/>
      <c r="BG57" s="236">
        <f t="shared" si="50"/>
        <v>0</v>
      </c>
      <c r="BH57" s="234"/>
      <c r="BI57" s="235"/>
      <c r="BJ57" s="236">
        <f t="shared" si="51"/>
        <v>0</v>
      </c>
      <c r="BK57" s="234"/>
      <c r="BL57" s="235"/>
      <c r="BM57" s="236">
        <f t="shared" si="52"/>
        <v>0</v>
      </c>
      <c r="BN57" s="234"/>
      <c r="BO57" s="235"/>
      <c r="BP57" s="236">
        <f t="shared" si="53"/>
        <v>0</v>
      </c>
      <c r="BQ57" s="234"/>
      <c r="BR57" s="235"/>
      <c r="BS57" s="236">
        <f t="shared" si="54"/>
        <v>0</v>
      </c>
      <c r="BT57" s="234"/>
      <c r="BU57" s="235"/>
      <c r="BV57" s="236">
        <f t="shared" si="55"/>
        <v>0</v>
      </c>
      <c r="BW57" s="234"/>
      <c r="BX57" s="235"/>
      <c r="BY57" s="236">
        <f t="shared" si="56"/>
        <v>0</v>
      </c>
      <c r="BZ57" s="234"/>
      <c r="CA57" s="235"/>
      <c r="CB57" s="236">
        <f t="shared" si="57"/>
        <v>0</v>
      </c>
      <c r="CC57" s="234"/>
      <c r="CD57" s="235"/>
      <c r="CE57" s="236">
        <f t="shared" si="58"/>
        <v>0</v>
      </c>
      <c r="CF57" s="234"/>
      <c r="CG57" s="235"/>
      <c r="CH57" s="236">
        <f t="shared" si="59"/>
        <v>0</v>
      </c>
      <c r="CI57" s="234"/>
      <c r="CJ57" s="235"/>
      <c r="CK57" s="236">
        <f t="shared" si="60"/>
        <v>0</v>
      </c>
      <c r="CL57" s="234"/>
      <c r="CM57" s="235"/>
      <c r="CN57" s="236">
        <f t="shared" si="61"/>
        <v>0</v>
      </c>
      <c r="CO57" s="234"/>
      <c r="CP57" s="235"/>
      <c r="CQ57" s="236">
        <f t="shared" si="62"/>
        <v>0</v>
      </c>
      <c r="CR57" s="106"/>
    </row>
    <row r="58" spans="1:96" ht="21" thickBot="1" x14ac:dyDescent="0.3">
      <c r="A58" s="62" t="s">
        <v>123</v>
      </c>
      <c r="B58" s="152"/>
      <c r="C58" s="153"/>
      <c r="D58" s="153"/>
      <c r="E58" s="154"/>
      <c r="F58" s="152"/>
      <c r="G58" s="153"/>
      <c r="H58" s="154"/>
      <c r="I58" s="152"/>
      <c r="J58" s="153"/>
      <c r="K58" s="154"/>
      <c r="L58" s="152"/>
      <c r="M58" s="153"/>
      <c r="N58" s="154"/>
      <c r="O58" s="152"/>
      <c r="P58" s="153"/>
      <c r="Q58" s="154"/>
      <c r="R58" s="155"/>
      <c r="S58" s="155"/>
      <c r="T58" s="155"/>
      <c r="U58" s="152"/>
      <c r="V58" s="153"/>
      <c r="W58" s="154"/>
      <c r="X58" s="152"/>
      <c r="Y58" s="153"/>
      <c r="Z58" s="154"/>
      <c r="AA58" s="152"/>
      <c r="AB58" s="153"/>
      <c r="AC58" s="154"/>
      <c r="AD58" s="152"/>
      <c r="AE58" s="153"/>
      <c r="AF58" s="154"/>
      <c r="AG58" s="152"/>
      <c r="AH58" s="153"/>
      <c r="AI58" s="154"/>
      <c r="AJ58" s="152"/>
      <c r="AK58" s="153"/>
      <c r="AL58" s="154"/>
      <c r="AM58" s="152"/>
      <c r="AN58" s="153"/>
      <c r="AO58" s="154"/>
      <c r="AP58" s="152"/>
      <c r="AQ58" s="153"/>
      <c r="AR58" s="154"/>
      <c r="AS58" s="152"/>
      <c r="AT58" s="153"/>
      <c r="AU58" s="154"/>
      <c r="AV58" s="152"/>
      <c r="AW58" s="153"/>
      <c r="AX58" s="154"/>
      <c r="AY58" s="152"/>
      <c r="AZ58" s="153"/>
      <c r="BA58" s="154"/>
      <c r="BB58" s="152"/>
      <c r="BC58" s="153"/>
      <c r="BD58" s="154"/>
      <c r="BE58" s="152"/>
      <c r="BF58" s="153"/>
      <c r="BG58" s="154"/>
      <c r="BH58" s="152"/>
      <c r="BI58" s="153"/>
      <c r="BJ58" s="154"/>
      <c r="BK58" s="152"/>
      <c r="BL58" s="153"/>
      <c r="BM58" s="154"/>
      <c r="BN58" s="152"/>
      <c r="BO58" s="153"/>
      <c r="BP58" s="154"/>
      <c r="BQ58" s="152"/>
      <c r="BR58" s="153"/>
      <c r="BS58" s="154"/>
      <c r="BT58" s="152"/>
      <c r="BU58" s="153"/>
      <c r="BV58" s="154"/>
      <c r="BW58" s="152"/>
      <c r="BX58" s="153"/>
      <c r="BY58" s="154"/>
      <c r="BZ58" s="152"/>
      <c r="CA58" s="153"/>
      <c r="CB58" s="154"/>
      <c r="CC58" s="152"/>
      <c r="CD58" s="153"/>
      <c r="CE58" s="154"/>
      <c r="CF58" s="152"/>
      <c r="CG58" s="153"/>
      <c r="CH58" s="154"/>
      <c r="CI58" s="152"/>
      <c r="CJ58" s="153"/>
      <c r="CK58" s="154"/>
      <c r="CL58" s="152"/>
      <c r="CM58" s="153"/>
      <c r="CN58" s="154"/>
      <c r="CO58" s="152"/>
      <c r="CP58" s="153"/>
      <c r="CQ58" s="154"/>
      <c r="CR58" s="106"/>
    </row>
    <row r="59" spans="1:96" ht="30.75" thickBot="1" x14ac:dyDescent="0.3">
      <c r="A59" s="156" t="s">
        <v>124</v>
      </c>
      <c r="B59" s="157">
        <f>IF(D59=0,1,IF(D59=1,10,IF(D59=2,100,IF(D59=3,1000,10000))))</f>
        <v>1</v>
      </c>
      <c r="C59" s="157">
        <f>IF(E59=0,1,IF(E59=1,10,IF(E59=2,100,IF(E59=3,1000,10000))))</f>
        <v>1</v>
      </c>
      <c r="D59" s="157"/>
      <c r="E59" s="182">
        <f>MIN(H59,K59,N59,Q59,T59,W59,Z59,AC59,AF59,AI59,AL59,AO59,AR59,AU59,AX59,BA59,BD59,BG59,BJ59,BM59,BP59,BS59,BV59,BY59,CB59,CE59,CH59,CK59,CN59,CQ59)</f>
        <v>0</v>
      </c>
      <c r="F59" s="158"/>
      <c r="G59" s="158"/>
      <c r="H59" s="169" t="s">
        <v>143</v>
      </c>
      <c r="I59" s="158"/>
      <c r="J59" s="158"/>
      <c r="K59" s="169" t="s">
        <v>143</v>
      </c>
      <c r="L59" s="158"/>
      <c r="M59" s="158"/>
      <c r="N59" s="169" t="s">
        <v>143</v>
      </c>
      <c r="O59" s="158"/>
      <c r="P59" s="158"/>
      <c r="Q59" s="169" t="s">
        <v>143</v>
      </c>
      <c r="R59" s="158"/>
      <c r="S59" s="158"/>
      <c r="T59" s="169" t="s">
        <v>143</v>
      </c>
      <c r="U59" s="158"/>
      <c r="V59" s="158"/>
      <c r="W59" s="169" t="s">
        <v>143</v>
      </c>
      <c r="X59" s="158"/>
      <c r="Y59" s="158"/>
      <c r="Z59" s="169" t="s">
        <v>143</v>
      </c>
      <c r="AA59" s="158"/>
      <c r="AB59" s="158"/>
      <c r="AC59" s="169" t="s">
        <v>143</v>
      </c>
      <c r="AD59" s="158"/>
      <c r="AE59" s="158"/>
      <c r="AF59" s="169" t="s">
        <v>143</v>
      </c>
      <c r="AG59" s="158"/>
      <c r="AH59" s="158"/>
      <c r="AI59" s="169" t="s">
        <v>143</v>
      </c>
      <c r="AJ59" s="158"/>
      <c r="AK59" s="158"/>
      <c r="AL59" s="169" t="s">
        <v>143</v>
      </c>
      <c r="AM59" s="158"/>
      <c r="AN59" s="158"/>
      <c r="AO59" s="169" t="s">
        <v>143</v>
      </c>
      <c r="AP59" s="158"/>
      <c r="AQ59" s="158"/>
      <c r="AR59" s="169" t="s">
        <v>143</v>
      </c>
      <c r="AS59" s="158"/>
      <c r="AT59" s="158"/>
      <c r="AU59" s="169" t="s">
        <v>143</v>
      </c>
      <c r="AV59" s="158"/>
      <c r="AW59" s="158"/>
      <c r="AX59" s="169" t="s">
        <v>143</v>
      </c>
      <c r="AY59" s="158"/>
      <c r="AZ59" s="158"/>
      <c r="BA59" s="169" t="s">
        <v>143</v>
      </c>
      <c r="BB59" s="158"/>
      <c r="BC59" s="158"/>
      <c r="BD59" s="169" t="s">
        <v>143</v>
      </c>
      <c r="BE59" s="158"/>
      <c r="BF59" s="158"/>
      <c r="BG59" s="169" t="s">
        <v>143</v>
      </c>
      <c r="BH59" s="158"/>
      <c r="BI59" s="158"/>
      <c r="BJ59" s="169" t="s">
        <v>143</v>
      </c>
      <c r="BK59" s="158"/>
      <c r="BL59" s="158"/>
      <c r="BM59" s="169" t="s">
        <v>143</v>
      </c>
      <c r="BN59" s="158"/>
      <c r="BO59" s="158"/>
      <c r="BP59" s="169" t="s">
        <v>143</v>
      </c>
      <c r="BQ59" s="158"/>
      <c r="BR59" s="158"/>
      <c r="BS59" s="169" t="s">
        <v>143</v>
      </c>
      <c r="BT59" s="158"/>
      <c r="BU59" s="158"/>
      <c r="BV59" s="169" t="s">
        <v>143</v>
      </c>
      <c r="BW59" s="158"/>
      <c r="BX59" s="158"/>
      <c r="BY59" s="169" t="s">
        <v>143</v>
      </c>
      <c r="BZ59" s="158"/>
      <c r="CA59" s="158"/>
      <c r="CB59" s="169" t="s">
        <v>143</v>
      </c>
      <c r="CC59" s="158"/>
      <c r="CD59" s="158"/>
      <c r="CE59" s="169" t="s">
        <v>143</v>
      </c>
      <c r="CF59" s="158"/>
      <c r="CG59" s="158"/>
      <c r="CH59" s="169" t="s">
        <v>143</v>
      </c>
      <c r="CI59" s="158"/>
      <c r="CJ59" s="158"/>
      <c r="CK59" s="169" t="s">
        <v>143</v>
      </c>
      <c r="CL59" s="158"/>
      <c r="CM59" s="158"/>
      <c r="CN59" s="169" t="s">
        <v>143</v>
      </c>
      <c r="CO59" s="158"/>
      <c r="CP59" s="158"/>
      <c r="CQ59" s="169" t="s">
        <v>143</v>
      </c>
      <c r="CR59" s="106"/>
    </row>
    <row r="60" spans="1:96" ht="30.75" thickBot="1" x14ac:dyDescent="0.3">
      <c r="A60" s="156" t="s">
        <v>125</v>
      </c>
      <c r="B60" s="157">
        <f>IF(D60=0,1,IF(D60=1,10,IF(D60=2,100,IF(D60=3,1000,10000))))</f>
        <v>1</v>
      </c>
      <c r="C60" s="157">
        <f>IF(E60=0,1,IF(E60=1,10,IF(E60=2,100,IF(E60=3,1000,10000))))</f>
        <v>1</v>
      </c>
      <c r="D60" s="157"/>
      <c r="E60" s="182">
        <f>MIN(H60,K60,N60,Q60,T60,W60,Z60,AC60,AF60,AI60,AL60,AO60,AR60,AU60,AX60,BA60,BD60,BG60,BJ60,BM60,BP60,BS60,BV60,BY60,CB60,CE60,CH60,CK60,CN60,CQ60)</f>
        <v>0</v>
      </c>
      <c r="F60" s="158"/>
      <c r="G60" s="158"/>
      <c r="H60" s="169" t="s">
        <v>143</v>
      </c>
      <c r="I60" s="158"/>
      <c r="J60" s="158"/>
      <c r="K60" s="169" t="s">
        <v>143</v>
      </c>
      <c r="L60" s="158"/>
      <c r="M60" s="158"/>
      <c r="N60" s="169" t="s">
        <v>143</v>
      </c>
      <c r="O60" s="158"/>
      <c r="P60" s="158"/>
      <c r="Q60" s="169" t="s">
        <v>143</v>
      </c>
      <c r="R60" s="158"/>
      <c r="S60" s="158"/>
      <c r="T60" s="169" t="s">
        <v>143</v>
      </c>
      <c r="U60" s="158"/>
      <c r="V60" s="158"/>
      <c r="W60" s="169" t="s">
        <v>143</v>
      </c>
      <c r="X60" s="158"/>
      <c r="Y60" s="158"/>
      <c r="Z60" s="169" t="s">
        <v>143</v>
      </c>
      <c r="AA60" s="158"/>
      <c r="AB60" s="158"/>
      <c r="AC60" s="169" t="s">
        <v>143</v>
      </c>
      <c r="AD60" s="158"/>
      <c r="AE60" s="158"/>
      <c r="AF60" s="169" t="s">
        <v>143</v>
      </c>
      <c r="AG60" s="158"/>
      <c r="AH60" s="158"/>
      <c r="AI60" s="169" t="s">
        <v>143</v>
      </c>
      <c r="AJ60" s="158"/>
      <c r="AK60" s="158"/>
      <c r="AL60" s="169" t="s">
        <v>143</v>
      </c>
      <c r="AM60" s="158"/>
      <c r="AN60" s="158"/>
      <c r="AO60" s="169" t="s">
        <v>143</v>
      </c>
      <c r="AP60" s="158"/>
      <c r="AQ60" s="158"/>
      <c r="AR60" s="169" t="s">
        <v>143</v>
      </c>
      <c r="AS60" s="158"/>
      <c r="AT60" s="158"/>
      <c r="AU60" s="169" t="s">
        <v>143</v>
      </c>
      <c r="AV60" s="158"/>
      <c r="AW60" s="158"/>
      <c r="AX60" s="169" t="s">
        <v>143</v>
      </c>
      <c r="AY60" s="158"/>
      <c r="AZ60" s="158"/>
      <c r="BA60" s="169" t="s">
        <v>143</v>
      </c>
      <c r="BB60" s="158"/>
      <c r="BC60" s="158"/>
      <c r="BD60" s="169" t="s">
        <v>143</v>
      </c>
      <c r="BE60" s="158"/>
      <c r="BF60" s="158"/>
      <c r="BG60" s="169" t="s">
        <v>143</v>
      </c>
      <c r="BH60" s="158"/>
      <c r="BI60" s="158"/>
      <c r="BJ60" s="169" t="s">
        <v>143</v>
      </c>
      <c r="BK60" s="158"/>
      <c r="BL60" s="158"/>
      <c r="BM60" s="169" t="s">
        <v>143</v>
      </c>
      <c r="BN60" s="158"/>
      <c r="BO60" s="158"/>
      <c r="BP60" s="169" t="s">
        <v>143</v>
      </c>
      <c r="BQ60" s="158"/>
      <c r="BR60" s="158"/>
      <c r="BS60" s="169" t="s">
        <v>143</v>
      </c>
      <c r="BT60" s="158"/>
      <c r="BU60" s="158"/>
      <c r="BV60" s="169" t="s">
        <v>143</v>
      </c>
      <c r="BW60" s="158"/>
      <c r="BX60" s="158"/>
      <c r="BY60" s="169" t="s">
        <v>143</v>
      </c>
      <c r="BZ60" s="158"/>
      <c r="CA60" s="158"/>
      <c r="CB60" s="169" t="s">
        <v>143</v>
      </c>
      <c r="CC60" s="158"/>
      <c r="CD60" s="158"/>
      <c r="CE60" s="169" t="s">
        <v>143</v>
      </c>
      <c r="CF60" s="158"/>
      <c r="CG60" s="158"/>
      <c r="CH60" s="169" t="s">
        <v>143</v>
      </c>
      <c r="CI60" s="158"/>
      <c r="CJ60" s="158"/>
      <c r="CK60" s="169" t="s">
        <v>143</v>
      </c>
      <c r="CL60" s="158"/>
      <c r="CM60" s="158"/>
      <c r="CN60" s="169" t="s">
        <v>143</v>
      </c>
      <c r="CO60" s="158"/>
      <c r="CP60" s="158"/>
      <c r="CQ60" s="169" t="s">
        <v>143</v>
      </c>
      <c r="CR60" s="106"/>
    </row>
    <row r="61" spans="1:96" ht="21" thickBot="1" x14ac:dyDescent="0.3">
      <c r="A61" s="62" t="str">
        <f>IF('Target Setting Rules'!B7=2011,"THROUGHPUT (IT ENERGY) FOR BASE YEAR","THROUGHPUT FOR BASE YEAR")</f>
        <v>THROUGHPUT (IT ENERGY) FOR BASE YEAR</v>
      </c>
      <c r="C61" s="143"/>
      <c r="D61" s="144"/>
      <c r="E61" s="144"/>
      <c r="F61" s="145"/>
      <c r="G61" s="146"/>
      <c r="H61" s="147"/>
      <c r="I61" s="145"/>
      <c r="J61" s="146"/>
      <c r="K61" s="147"/>
      <c r="L61" s="145"/>
      <c r="M61" s="146"/>
      <c r="N61" s="147"/>
      <c r="O61" s="145"/>
      <c r="P61" s="146"/>
      <c r="Q61" s="147"/>
      <c r="R61" s="145"/>
      <c r="S61" s="146"/>
      <c r="T61" s="147"/>
      <c r="U61" s="148"/>
      <c r="V61" s="148"/>
      <c r="W61" s="149"/>
      <c r="X61" s="148"/>
      <c r="Y61" s="148"/>
      <c r="Z61" s="149"/>
      <c r="AA61" s="148"/>
      <c r="AB61" s="148"/>
      <c r="AC61" s="149"/>
      <c r="AD61" s="148"/>
      <c r="AE61" s="148"/>
      <c r="AF61" s="149"/>
      <c r="AG61" s="148"/>
      <c r="AH61" s="148"/>
      <c r="AI61" s="149"/>
      <c r="AJ61" s="148"/>
      <c r="AK61" s="148"/>
      <c r="AL61" s="149"/>
      <c r="AM61" s="148"/>
      <c r="AN61" s="148"/>
      <c r="AO61" s="149"/>
      <c r="AP61" s="148"/>
      <c r="AQ61" s="148"/>
      <c r="AR61" s="149"/>
      <c r="AS61" s="148"/>
      <c r="AT61" s="148"/>
      <c r="AU61" s="149"/>
      <c r="AV61" s="148"/>
      <c r="AW61" s="148"/>
      <c r="AX61" s="149"/>
      <c r="AY61" s="148"/>
      <c r="AZ61" s="148"/>
      <c r="BA61" s="149"/>
      <c r="BB61" s="148"/>
      <c r="BC61" s="148"/>
      <c r="BD61" s="149"/>
      <c r="BE61" s="148"/>
      <c r="BF61" s="148"/>
      <c r="BG61" s="149"/>
      <c r="BH61" s="148"/>
      <c r="BI61" s="148"/>
      <c r="BJ61" s="149"/>
      <c r="BK61" s="148"/>
      <c r="BL61" s="148"/>
      <c r="BM61" s="149"/>
      <c r="BN61" s="148"/>
      <c r="BO61" s="148"/>
      <c r="BP61" s="149"/>
      <c r="BQ61" s="148"/>
      <c r="BR61" s="148"/>
      <c r="BS61" s="149"/>
      <c r="BT61" s="148"/>
      <c r="BU61" s="148"/>
      <c r="BV61" s="149"/>
      <c r="BW61" s="148"/>
      <c r="BX61" s="148"/>
      <c r="BY61" s="149"/>
      <c r="BZ61" s="148"/>
      <c r="CA61" s="148"/>
      <c r="CB61" s="149"/>
      <c r="CC61" s="148"/>
      <c r="CD61" s="148"/>
      <c r="CE61" s="149"/>
      <c r="CF61" s="148"/>
      <c r="CG61" s="148"/>
      <c r="CH61" s="149"/>
      <c r="CI61" s="148"/>
      <c r="CJ61" s="148"/>
      <c r="CK61" s="149"/>
      <c r="CL61" s="148"/>
      <c r="CM61" s="148"/>
      <c r="CN61" s="149"/>
      <c r="CO61" s="148"/>
      <c r="CP61" s="148"/>
      <c r="CQ61" s="149"/>
      <c r="CR61" s="106"/>
    </row>
    <row r="62" spans="1:96" ht="15.75" thickBot="1" x14ac:dyDescent="0.3">
      <c r="A62" s="61" t="str">
        <f>IF('Target Setting Rules'!B7=2011,"Throughput (IT ENERGY USE) for Base Year (MWh)","Throughput for Base Year")</f>
        <v>Throughput (IT ENERGY USE) for Base Year (MWh)</v>
      </c>
      <c r="B62" s="150"/>
      <c r="C62" s="150"/>
      <c r="D62" s="150"/>
      <c r="E62" s="137">
        <f t="shared" si="0"/>
        <v>0</v>
      </c>
      <c r="F62" s="151"/>
      <c r="G62" s="151"/>
      <c r="H62" s="74"/>
      <c r="I62" s="151"/>
      <c r="J62" s="151"/>
      <c r="K62" s="74"/>
      <c r="L62" s="151"/>
      <c r="M62" s="151"/>
      <c r="N62" s="74"/>
      <c r="O62" s="151"/>
      <c r="P62" s="151"/>
      <c r="Q62" s="74"/>
      <c r="R62" s="151"/>
      <c r="S62" s="151"/>
      <c r="T62" s="74"/>
      <c r="U62" s="151"/>
      <c r="V62" s="151"/>
      <c r="W62" s="74"/>
      <c r="X62" s="151"/>
      <c r="Y62" s="151"/>
      <c r="Z62" s="74"/>
      <c r="AA62" s="151"/>
      <c r="AB62" s="151"/>
      <c r="AC62" s="74"/>
      <c r="AD62" s="151"/>
      <c r="AE62" s="151"/>
      <c r="AF62" s="74"/>
      <c r="AG62" s="151"/>
      <c r="AH62" s="151"/>
      <c r="AI62" s="74"/>
      <c r="AJ62" s="151"/>
      <c r="AK62" s="151"/>
      <c r="AL62" s="74"/>
      <c r="AM62" s="151"/>
      <c r="AN62" s="151"/>
      <c r="AO62" s="74"/>
      <c r="AP62" s="151"/>
      <c r="AQ62" s="151"/>
      <c r="AR62" s="74"/>
      <c r="AS62" s="151"/>
      <c r="AT62" s="151"/>
      <c r="AU62" s="74"/>
      <c r="AV62" s="151"/>
      <c r="AW62" s="151"/>
      <c r="AX62" s="74"/>
      <c r="AY62" s="151"/>
      <c r="AZ62" s="151"/>
      <c r="BA62" s="74"/>
      <c r="BB62" s="151"/>
      <c r="BC62" s="151"/>
      <c r="BD62" s="74"/>
      <c r="BE62" s="151"/>
      <c r="BF62" s="151"/>
      <c r="BG62" s="74"/>
      <c r="BH62" s="151"/>
      <c r="BI62" s="151"/>
      <c r="BJ62" s="74"/>
      <c r="BK62" s="151"/>
      <c r="BL62" s="151"/>
      <c r="BM62" s="74"/>
      <c r="BN62" s="151"/>
      <c r="BO62" s="151"/>
      <c r="BP62" s="74"/>
      <c r="BQ62" s="151"/>
      <c r="BR62" s="151"/>
      <c r="BS62" s="74"/>
      <c r="BT62" s="151"/>
      <c r="BU62" s="151"/>
      <c r="BV62" s="74"/>
      <c r="BW62" s="151"/>
      <c r="BX62" s="151"/>
      <c r="BY62" s="74"/>
      <c r="BZ62" s="151"/>
      <c r="CA62" s="151"/>
      <c r="CB62" s="74"/>
      <c r="CC62" s="151"/>
      <c r="CD62" s="151"/>
      <c r="CE62" s="74"/>
      <c r="CF62" s="151"/>
      <c r="CG62" s="151"/>
      <c r="CH62" s="74"/>
      <c r="CI62" s="151"/>
      <c r="CJ62" s="151"/>
      <c r="CK62" s="74"/>
      <c r="CL62" s="151"/>
      <c r="CM62" s="151"/>
      <c r="CN62" s="74"/>
      <c r="CO62" s="151"/>
      <c r="CP62" s="151"/>
      <c r="CQ62" s="74"/>
      <c r="CR62" s="106"/>
    </row>
    <row r="63" spans="1:96" ht="30.75" thickBot="1" x14ac:dyDescent="0.3">
      <c r="A63" s="61" t="s">
        <v>130</v>
      </c>
      <c r="B63" s="150"/>
      <c r="C63" s="150"/>
      <c r="D63" s="150"/>
      <c r="E63" s="137">
        <f t="shared" si="0"/>
        <v>0</v>
      </c>
      <c r="F63" s="151"/>
      <c r="G63" s="151"/>
      <c r="H63" s="74"/>
      <c r="I63" s="151"/>
      <c r="J63" s="151"/>
      <c r="K63" s="74"/>
      <c r="L63" s="151"/>
      <c r="M63" s="151"/>
      <c r="N63" s="74"/>
      <c r="O63" s="151"/>
      <c r="P63" s="151"/>
      <c r="Q63" s="74"/>
      <c r="R63" s="151"/>
      <c r="S63" s="151"/>
      <c r="T63" s="74"/>
      <c r="U63" s="151"/>
      <c r="V63" s="151"/>
      <c r="W63" s="74"/>
      <c r="X63" s="151"/>
      <c r="Y63" s="151"/>
      <c r="Z63" s="74"/>
      <c r="AA63" s="151"/>
      <c r="AB63" s="151"/>
      <c r="AC63" s="74"/>
      <c r="AD63" s="151"/>
      <c r="AE63" s="151"/>
      <c r="AF63" s="74"/>
      <c r="AG63" s="151"/>
      <c r="AH63" s="151"/>
      <c r="AI63" s="74"/>
      <c r="AJ63" s="151"/>
      <c r="AK63" s="151"/>
      <c r="AL63" s="74"/>
      <c r="AM63" s="151"/>
      <c r="AN63" s="151"/>
      <c r="AO63" s="74"/>
      <c r="AP63" s="151"/>
      <c r="AQ63" s="151"/>
      <c r="AR63" s="74"/>
      <c r="AS63" s="151"/>
      <c r="AT63" s="151"/>
      <c r="AU63" s="74"/>
      <c r="AV63" s="151"/>
      <c r="AW63" s="151"/>
      <c r="AX63" s="74"/>
      <c r="AY63" s="151"/>
      <c r="AZ63" s="151"/>
      <c r="BA63" s="74"/>
      <c r="BB63" s="151"/>
      <c r="BC63" s="151"/>
      <c r="BD63" s="74"/>
      <c r="BE63" s="151"/>
      <c r="BF63" s="151"/>
      <c r="BG63" s="74"/>
      <c r="BH63" s="151"/>
      <c r="BI63" s="151"/>
      <c r="BJ63" s="74"/>
      <c r="BK63" s="151"/>
      <c r="BL63" s="151"/>
      <c r="BM63" s="74"/>
      <c r="BN63" s="151"/>
      <c r="BO63" s="151"/>
      <c r="BP63" s="74"/>
      <c r="BQ63" s="151"/>
      <c r="BR63" s="151"/>
      <c r="BS63" s="74"/>
      <c r="BT63" s="151"/>
      <c r="BU63" s="151"/>
      <c r="BV63" s="74"/>
      <c r="BW63" s="151"/>
      <c r="BX63" s="151"/>
      <c r="BY63" s="74"/>
      <c r="BZ63" s="151"/>
      <c r="CA63" s="151"/>
      <c r="CB63" s="74"/>
      <c r="CC63" s="151"/>
      <c r="CD63" s="151"/>
      <c r="CE63" s="74"/>
      <c r="CF63" s="151"/>
      <c r="CG63" s="151"/>
      <c r="CH63" s="74"/>
      <c r="CI63" s="151"/>
      <c r="CJ63" s="151"/>
      <c r="CK63" s="74"/>
      <c r="CL63" s="151"/>
      <c r="CM63" s="151"/>
      <c r="CN63" s="74"/>
      <c r="CO63" s="151"/>
      <c r="CP63" s="151"/>
      <c r="CQ63" s="74"/>
      <c r="CR63" s="106"/>
    </row>
    <row r="64" spans="1:96" ht="15.75" thickBot="1" x14ac:dyDescent="0.3">
      <c r="A64" s="61" t="s">
        <v>121</v>
      </c>
      <c r="B64" s="150"/>
      <c r="C64" s="150"/>
      <c r="D64" s="150"/>
      <c r="E64" s="150"/>
      <c r="F64" s="151"/>
      <c r="G64" s="151"/>
      <c r="H64" s="137">
        <f>IF(((H21/2.6)+H63)=0,1,(H21/2.6)/((H21/2.6)+H63))</f>
        <v>1</v>
      </c>
      <c r="I64" s="151"/>
      <c r="J64" s="151"/>
      <c r="K64" s="137">
        <f>IF(((K21/2.6)+K63)=0,1,(K21/2.6)/((K21/2.6)+K63))</f>
        <v>1</v>
      </c>
      <c r="L64" s="151"/>
      <c r="M64" s="151"/>
      <c r="N64" s="137">
        <f>IF(((N21/2.6)+N63)=0,1,(N21/2.6)/((N21/2.6)+N63))</f>
        <v>1</v>
      </c>
      <c r="O64" s="151"/>
      <c r="P64" s="151"/>
      <c r="Q64" s="137">
        <f>IF(((Q21/2.6)+Q63)=0,1,(Q21/2.6)/((Q21/2.6)+Q63))</f>
        <v>1</v>
      </c>
      <c r="R64" s="151"/>
      <c r="S64" s="151"/>
      <c r="T64" s="137">
        <f>IF(((T21/2.6)+T63)=0,1,(T21/2.6)/((T21/2.6)+T63))</f>
        <v>1</v>
      </c>
      <c r="U64" s="151"/>
      <c r="V64" s="151"/>
      <c r="W64" s="137">
        <f>IF(((W21/2.6)+W63)=0,1,(W21/2.6)/((W21/2.6)+W63))</f>
        <v>1</v>
      </c>
      <c r="X64" s="151"/>
      <c r="Y64" s="151"/>
      <c r="Z64" s="137">
        <f>IF(((Z21/2.6)+Z63)=0,1,(Z21/2.6)/((Z21/2.6)+Z63))</f>
        <v>1</v>
      </c>
      <c r="AA64" s="151"/>
      <c r="AB64" s="151"/>
      <c r="AC64" s="137">
        <f>IF(((AC21/2.6)+AC63)=0,1,(AC21/2.6)/((AC21/2.6)+AC63))</f>
        <v>1</v>
      </c>
      <c r="AD64" s="151"/>
      <c r="AE64" s="151"/>
      <c r="AF64" s="137">
        <f>IF(((AF21/2.6)+AF63)=0,1,(AF21/2.6)/((AF21/2.6)+AF63))</f>
        <v>1</v>
      </c>
      <c r="AG64" s="151"/>
      <c r="AH64" s="151"/>
      <c r="AI64" s="137">
        <f>IF(((AI21/2.6)+AI63)=0,1,(AI21/2.6)/((AI21/2.6)+AI63))</f>
        <v>1</v>
      </c>
      <c r="AJ64" s="151"/>
      <c r="AK64" s="151"/>
      <c r="AL64" s="137">
        <f>IF(((AL21/2.6)+AL63)=0,1,(AL21/2.6)/((AL21/2.6)+AL63))</f>
        <v>1</v>
      </c>
      <c r="AM64" s="151"/>
      <c r="AN64" s="151"/>
      <c r="AO64" s="137">
        <f>IF(((AO21/2.6)+AO63)=0,1,(AO21/2.6)/((AO21/2.6)+AO63))</f>
        <v>1</v>
      </c>
      <c r="AP64" s="151"/>
      <c r="AQ64" s="151"/>
      <c r="AR64" s="137">
        <f>IF(((AR21/2.6)+AR63)=0,1,(AR21/2.6)/((AR21/2.6)+AR63))</f>
        <v>1</v>
      </c>
      <c r="AS64" s="151"/>
      <c r="AT64" s="151"/>
      <c r="AU64" s="137">
        <f>IF(((AU21/2.6)+AU63)=0,1,(AU21/2.6)/((AU21/2.6)+AU63))</f>
        <v>1</v>
      </c>
      <c r="AV64" s="151"/>
      <c r="AW64" s="151"/>
      <c r="AX64" s="137">
        <f>IF(((AX21/2.6)+AX63)=0,1,(AX21/2.6)/((AX21/2.6)+AX63))</f>
        <v>1</v>
      </c>
      <c r="AY64" s="151"/>
      <c r="AZ64" s="151"/>
      <c r="BA64" s="137">
        <f>IF(((BA21/2.6)+BA63)=0,1,(BA21/2.6)/((BA21/2.6)+BA63))</f>
        <v>1</v>
      </c>
      <c r="BB64" s="151"/>
      <c r="BC64" s="151"/>
      <c r="BD64" s="137">
        <f>IF(((BD21/2.6)+BD63)=0,1,(BD21/2.6)/((BD21/2.6)+BD63))</f>
        <v>1</v>
      </c>
      <c r="BE64" s="151"/>
      <c r="BF64" s="151"/>
      <c r="BG64" s="137">
        <f>IF(((BG21/2.6)+BG63)=0,1,(BG21/2.6)/((BG21/2.6)+BG63))</f>
        <v>1</v>
      </c>
      <c r="BH64" s="151"/>
      <c r="BI64" s="151"/>
      <c r="BJ64" s="137">
        <f>IF(((BJ21/2.6)+BJ63)=0,1,(BJ21/2.6)/((BJ21/2.6)+BJ63))</f>
        <v>1</v>
      </c>
      <c r="BK64" s="151"/>
      <c r="BL64" s="151"/>
      <c r="BM64" s="137">
        <f>IF(((BM21/2.6)+BM63)=0,1,(BM21/2.6)/((BM21/2.6)+BM63))</f>
        <v>1</v>
      </c>
      <c r="BN64" s="151"/>
      <c r="BO64" s="151"/>
      <c r="BP64" s="137">
        <f>IF(((BP21/2.6)+BP63)=0,1,(BP21/2.6)/((BP21/2.6)+BP63))</f>
        <v>1</v>
      </c>
      <c r="BQ64" s="151"/>
      <c r="BR64" s="151"/>
      <c r="BS64" s="137">
        <f>IF(((BS21/2.6)+BS63)=0,1,(BS21/2.6)/((BS21/2.6)+BS63))</f>
        <v>1</v>
      </c>
      <c r="BT64" s="151"/>
      <c r="BU64" s="151"/>
      <c r="BV64" s="137">
        <f>IF(((BV21/2.6)+BV63)=0,1,(BV21/2.6)/((BV21/2.6)+BV63))</f>
        <v>1</v>
      </c>
      <c r="BW64" s="151"/>
      <c r="BX64" s="151"/>
      <c r="BY64" s="137">
        <f>IF(((BY21/2.6)+BY63)=0,1,(BY21/2.6)/((BY21/2.6)+BY63))</f>
        <v>1</v>
      </c>
      <c r="BZ64" s="151"/>
      <c r="CA64" s="151"/>
      <c r="CB64" s="137">
        <f>IF(((CB21/2.6)+CB63)=0,1,(CB21/2.6)/((CB21/2.6)+CB63))</f>
        <v>1</v>
      </c>
      <c r="CC64" s="151"/>
      <c r="CD64" s="151"/>
      <c r="CE64" s="137">
        <f>IF(((CE21/2.6)+CE63)=0,1,(CE21/2.6)/((CE21/2.6)+CE63))</f>
        <v>1</v>
      </c>
      <c r="CF64" s="151"/>
      <c r="CG64" s="151"/>
      <c r="CH64" s="137">
        <f>IF(((CH21/2.6)+CH63)=0,1,(CH21/2.6)/((CH21/2.6)+CH63))</f>
        <v>1</v>
      </c>
      <c r="CI64" s="151"/>
      <c r="CJ64" s="151"/>
      <c r="CK64" s="137">
        <f>IF(((CK21/2.6)+CK63)=0,1,(CK21/2.6)/((CK21/2.6)+CK63))</f>
        <v>1</v>
      </c>
      <c r="CL64" s="151"/>
      <c r="CM64" s="151"/>
      <c r="CN64" s="137">
        <f>IF(((CN21/2.6)+CN63)=0,1,(CN21/2.6)/((CN21/2.6)+CN63))</f>
        <v>1</v>
      </c>
      <c r="CO64" s="151"/>
      <c r="CP64" s="151"/>
      <c r="CQ64" s="137">
        <f>IF(((CQ21/2.6)+CQ63)=0,1,(CQ21/2.6)/((CQ21/2.6)+CQ63))</f>
        <v>1</v>
      </c>
      <c r="CR64" s="106"/>
    </row>
    <row r="65" spans="1:96" ht="15.75" thickBot="1" x14ac:dyDescent="0.3">
      <c r="A65" s="167" t="s">
        <v>122</v>
      </c>
      <c r="B65" s="150"/>
      <c r="C65" s="150"/>
      <c r="D65" s="150"/>
      <c r="E65" s="137">
        <f t="shared" si="0"/>
        <v>0</v>
      </c>
      <c r="F65" s="151"/>
      <c r="G65" s="151"/>
      <c r="H65" s="137">
        <f>H62*H64</f>
        <v>0</v>
      </c>
      <c r="I65" s="151"/>
      <c r="J65" s="151"/>
      <c r="K65" s="137">
        <f>K62*K64</f>
        <v>0</v>
      </c>
      <c r="L65" s="151"/>
      <c r="M65" s="151"/>
      <c r="N65" s="137">
        <f>N62*N64</f>
        <v>0</v>
      </c>
      <c r="O65" s="151"/>
      <c r="P65" s="151"/>
      <c r="Q65" s="137">
        <f>Q62*Q64</f>
        <v>0</v>
      </c>
      <c r="R65" s="151"/>
      <c r="S65" s="151"/>
      <c r="T65" s="137">
        <f>T62*T64</f>
        <v>0</v>
      </c>
      <c r="U65" s="151"/>
      <c r="V65" s="151"/>
      <c r="W65" s="137">
        <f>W62*W64</f>
        <v>0</v>
      </c>
      <c r="X65" s="151"/>
      <c r="Y65" s="151"/>
      <c r="Z65" s="137">
        <f>Z62*Z64</f>
        <v>0</v>
      </c>
      <c r="AA65" s="151"/>
      <c r="AB65" s="151"/>
      <c r="AC65" s="137">
        <f>AC62*AC64</f>
        <v>0</v>
      </c>
      <c r="AD65" s="151"/>
      <c r="AE65" s="151"/>
      <c r="AF65" s="137">
        <f>AF62*AF64</f>
        <v>0</v>
      </c>
      <c r="AG65" s="151"/>
      <c r="AH65" s="151"/>
      <c r="AI65" s="137">
        <f>AI62*AI64</f>
        <v>0</v>
      </c>
      <c r="AJ65" s="151"/>
      <c r="AK65" s="151"/>
      <c r="AL65" s="137">
        <f>AL62*AL64</f>
        <v>0</v>
      </c>
      <c r="AM65" s="151"/>
      <c r="AN65" s="151"/>
      <c r="AO65" s="137">
        <f>AO62*AO64</f>
        <v>0</v>
      </c>
      <c r="AP65" s="151"/>
      <c r="AQ65" s="151"/>
      <c r="AR65" s="137">
        <f>AR62*AR64</f>
        <v>0</v>
      </c>
      <c r="AS65" s="151"/>
      <c r="AT65" s="151"/>
      <c r="AU65" s="137">
        <f>AU62*AU64</f>
        <v>0</v>
      </c>
      <c r="AV65" s="151"/>
      <c r="AW65" s="151"/>
      <c r="AX65" s="137">
        <f>AX62*AX64</f>
        <v>0</v>
      </c>
      <c r="AY65" s="151"/>
      <c r="AZ65" s="151"/>
      <c r="BA65" s="137">
        <f>BA62*BA64</f>
        <v>0</v>
      </c>
      <c r="BB65" s="151"/>
      <c r="BC65" s="151"/>
      <c r="BD65" s="137">
        <f>BD62*BD64</f>
        <v>0</v>
      </c>
      <c r="BE65" s="151"/>
      <c r="BF65" s="151"/>
      <c r="BG65" s="137">
        <f>BG62*BG64</f>
        <v>0</v>
      </c>
      <c r="BH65" s="151"/>
      <c r="BI65" s="151"/>
      <c r="BJ65" s="137">
        <f>BJ62*BJ64</f>
        <v>0</v>
      </c>
      <c r="BK65" s="151"/>
      <c r="BL65" s="151"/>
      <c r="BM65" s="137">
        <f>BM62*BM64</f>
        <v>0</v>
      </c>
      <c r="BN65" s="151"/>
      <c r="BO65" s="151"/>
      <c r="BP65" s="137">
        <f>BP62*BP64</f>
        <v>0</v>
      </c>
      <c r="BQ65" s="151"/>
      <c r="BR65" s="151"/>
      <c r="BS65" s="137">
        <f>BS62*BS64</f>
        <v>0</v>
      </c>
      <c r="BT65" s="151"/>
      <c r="BU65" s="151"/>
      <c r="BV65" s="137">
        <f>BV62*BV64</f>
        <v>0</v>
      </c>
      <c r="BW65" s="151"/>
      <c r="BX65" s="151"/>
      <c r="BY65" s="137">
        <f>BY62*BY64</f>
        <v>0</v>
      </c>
      <c r="BZ65" s="151"/>
      <c r="CA65" s="151"/>
      <c r="CB65" s="137">
        <f>CB62*CB64</f>
        <v>0</v>
      </c>
      <c r="CC65" s="151"/>
      <c r="CD65" s="151"/>
      <c r="CE65" s="137">
        <f>CE62*CE64</f>
        <v>0</v>
      </c>
      <c r="CF65" s="151"/>
      <c r="CG65" s="151"/>
      <c r="CH65" s="137">
        <f>CH62*CH64</f>
        <v>0</v>
      </c>
      <c r="CI65" s="151"/>
      <c r="CJ65" s="151"/>
      <c r="CK65" s="137">
        <f>CK62*CK64</f>
        <v>0</v>
      </c>
      <c r="CL65" s="151"/>
      <c r="CM65" s="151"/>
      <c r="CN65" s="137">
        <f>CN62*CN64</f>
        <v>0</v>
      </c>
      <c r="CO65" s="151"/>
      <c r="CP65" s="151"/>
      <c r="CQ65" s="137">
        <f>CQ62*CQ64</f>
        <v>0</v>
      </c>
      <c r="CR65" s="106"/>
    </row>
    <row r="66" spans="1:96" ht="21" thickBot="1" x14ac:dyDescent="0.3">
      <c r="A66" s="62" t="s">
        <v>339</v>
      </c>
      <c r="B66" s="369"/>
      <c r="C66" s="369"/>
      <c r="D66" s="369"/>
      <c r="E66" s="371"/>
      <c r="F66" s="370"/>
      <c r="G66" s="153"/>
      <c r="H66" s="372"/>
      <c r="I66" s="370"/>
      <c r="J66" s="153"/>
      <c r="K66" s="372"/>
      <c r="L66" s="370"/>
      <c r="M66" s="153"/>
      <c r="N66" s="372"/>
      <c r="O66" s="370"/>
      <c r="P66" s="153"/>
      <c r="Q66" s="372"/>
      <c r="R66" s="370"/>
      <c r="S66" s="153"/>
      <c r="T66" s="372"/>
      <c r="U66" s="370"/>
      <c r="V66" s="153"/>
      <c r="W66" s="372"/>
      <c r="X66" s="370"/>
      <c r="Y66" s="153"/>
      <c r="Z66" s="372"/>
      <c r="AA66" s="370"/>
      <c r="AB66" s="153"/>
      <c r="AC66" s="372"/>
      <c r="AD66" s="370"/>
      <c r="AE66" s="153"/>
      <c r="AF66" s="372"/>
      <c r="AG66" s="370"/>
      <c r="AH66" s="153"/>
      <c r="AI66" s="372"/>
      <c r="AJ66" s="370"/>
      <c r="AK66" s="153"/>
      <c r="AL66" s="372"/>
      <c r="AM66" s="370"/>
      <c r="AN66" s="153"/>
      <c r="AO66" s="372"/>
      <c r="AP66" s="370"/>
      <c r="AQ66" s="153"/>
      <c r="AR66" s="372"/>
      <c r="AS66" s="370"/>
      <c r="AT66" s="153"/>
      <c r="AU66" s="372"/>
      <c r="AV66" s="370"/>
      <c r="AW66" s="153"/>
      <c r="AX66" s="372"/>
      <c r="AY66" s="370"/>
      <c r="AZ66" s="153"/>
      <c r="BA66" s="372"/>
      <c r="BB66" s="370"/>
      <c r="BC66" s="153"/>
      <c r="BD66" s="372"/>
      <c r="BE66" s="370"/>
      <c r="BF66" s="153"/>
      <c r="BG66" s="372"/>
      <c r="BH66" s="370"/>
      <c r="BI66" s="153"/>
      <c r="BJ66" s="372"/>
      <c r="BK66" s="370"/>
      <c r="BL66" s="153"/>
      <c r="BM66" s="372"/>
      <c r="BN66" s="370"/>
      <c r="BO66" s="153"/>
      <c r="BP66" s="372"/>
      <c r="BQ66" s="370"/>
      <c r="BR66" s="153"/>
      <c r="BS66" s="372"/>
      <c r="BT66" s="370"/>
      <c r="BU66" s="153"/>
      <c r="BV66" s="372"/>
      <c r="BW66" s="370"/>
      <c r="BX66" s="153"/>
      <c r="BY66" s="372"/>
      <c r="BZ66" s="370"/>
      <c r="CA66" s="153"/>
      <c r="CB66" s="372"/>
      <c r="CC66" s="370"/>
      <c r="CD66" s="153"/>
      <c r="CE66" s="372"/>
      <c r="CF66" s="370"/>
      <c r="CG66" s="153"/>
      <c r="CH66" s="372"/>
      <c r="CI66" s="370"/>
      <c r="CJ66" s="153"/>
      <c r="CK66" s="372"/>
      <c r="CL66" s="370"/>
      <c r="CM66" s="153"/>
      <c r="CN66" s="372"/>
      <c r="CO66" s="370"/>
      <c r="CP66" s="153"/>
      <c r="CQ66" s="372"/>
      <c r="CR66" s="106"/>
    </row>
    <row r="67" spans="1:96" ht="15.75" thickBot="1" x14ac:dyDescent="0.3">
      <c r="A67" s="58" t="s">
        <v>341</v>
      </c>
      <c r="B67" s="157"/>
      <c r="C67" s="157"/>
      <c r="D67" s="157"/>
      <c r="E67" s="368"/>
      <c r="F67" s="158"/>
      <c r="G67" s="235"/>
      <c r="H67" s="415" t="s">
        <v>336</v>
      </c>
      <c r="I67" s="158"/>
      <c r="J67" s="235"/>
      <c r="K67" s="415" t="s">
        <v>336</v>
      </c>
      <c r="L67" s="158"/>
      <c r="M67" s="235"/>
      <c r="N67" s="415" t="s">
        <v>336</v>
      </c>
      <c r="O67" s="158"/>
      <c r="P67" s="235"/>
      <c r="Q67" s="415" t="s">
        <v>336</v>
      </c>
      <c r="R67" s="158"/>
      <c r="S67" s="235"/>
      <c r="T67" s="415" t="s">
        <v>336</v>
      </c>
      <c r="U67" s="158"/>
      <c r="V67" s="235"/>
      <c r="W67" s="415" t="s">
        <v>336</v>
      </c>
      <c r="X67" s="158"/>
      <c r="Y67" s="235"/>
      <c r="Z67" s="415" t="s">
        <v>336</v>
      </c>
      <c r="AA67" s="158"/>
      <c r="AB67" s="235"/>
      <c r="AC67" s="415" t="s">
        <v>336</v>
      </c>
      <c r="AD67" s="158"/>
      <c r="AE67" s="235"/>
      <c r="AF67" s="415" t="s">
        <v>336</v>
      </c>
      <c r="AG67" s="158"/>
      <c r="AH67" s="235"/>
      <c r="AI67" s="415" t="s">
        <v>336</v>
      </c>
      <c r="AJ67" s="158"/>
      <c r="AK67" s="235"/>
      <c r="AL67" s="415" t="s">
        <v>336</v>
      </c>
      <c r="AM67" s="158"/>
      <c r="AN67" s="235"/>
      <c r="AO67" s="415" t="s">
        <v>336</v>
      </c>
      <c r="AP67" s="158"/>
      <c r="AQ67" s="235"/>
      <c r="AR67" s="415" t="s">
        <v>336</v>
      </c>
      <c r="AS67" s="158"/>
      <c r="AT67" s="235"/>
      <c r="AU67" s="415" t="s">
        <v>336</v>
      </c>
      <c r="AV67" s="158"/>
      <c r="AW67" s="235"/>
      <c r="AX67" s="415" t="s">
        <v>336</v>
      </c>
      <c r="AY67" s="158"/>
      <c r="AZ67" s="235"/>
      <c r="BA67" s="415" t="s">
        <v>336</v>
      </c>
      <c r="BB67" s="158"/>
      <c r="BC67" s="235"/>
      <c r="BD67" s="415" t="s">
        <v>336</v>
      </c>
      <c r="BE67" s="158"/>
      <c r="BF67" s="235"/>
      <c r="BG67" s="415" t="s">
        <v>336</v>
      </c>
      <c r="BH67" s="158"/>
      <c r="BI67" s="235"/>
      <c r="BJ67" s="415" t="s">
        <v>336</v>
      </c>
      <c r="BK67" s="158"/>
      <c r="BL67" s="235"/>
      <c r="BM67" s="415" t="s">
        <v>336</v>
      </c>
      <c r="BN67" s="158"/>
      <c r="BO67" s="235"/>
      <c r="BP67" s="415" t="s">
        <v>336</v>
      </c>
      <c r="BQ67" s="158"/>
      <c r="BR67" s="235"/>
      <c r="BS67" s="415" t="s">
        <v>336</v>
      </c>
      <c r="BT67" s="158"/>
      <c r="BU67" s="235"/>
      <c r="BV67" s="415" t="s">
        <v>336</v>
      </c>
      <c r="BW67" s="158"/>
      <c r="BX67" s="235"/>
      <c r="BY67" s="415" t="s">
        <v>336</v>
      </c>
      <c r="BZ67" s="158"/>
      <c r="CA67" s="235"/>
      <c r="CB67" s="415" t="s">
        <v>336</v>
      </c>
      <c r="CC67" s="158"/>
      <c r="CD67" s="235"/>
      <c r="CE67" s="415" t="s">
        <v>336</v>
      </c>
      <c r="CF67" s="158"/>
      <c r="CG67" s="235"/>
      <c r="CH67" s="415" t="s">
        <v>336</v>
      </c>
      <c r="CI67" s="158"/>
      <c r="CJ67" s="235"/>
      <c r="CK67" s="415" t="s">
        <v>336</v>
      </c>
      <c r="CL67" s="158"/>
      <c r="CM67" s="235"/>
      <c r="CN67" s="415" t="s">
        <v>336</v>
      </c>
      <c r="CO67" s="158"/>
      <c r="CP67" s="235"/>
      <c r="CQ67" s="415" t="s">
        <v>336</v>
      </c>
      <c r="CR67" s="106"/>
    </row>
    <row r="68" spans="1:96" ht="15.75" thickBot="1" x14ac:dyDescent="0.3">
      <c r="A68" s="58" t="s">
        <v>340</v>
      </c>
      <c r="B68" s="150"/>
      <c r="C68" s="150"/>
      <c r="D68" s="150"/>
      <c r="E68" s="137">
        <f>H68+K68+N68+Q68+T68+W68+Z68+AC68+AF68+AI68+AL68+AO68+AR68+AU68+AX68+BA68+BD68+BG68+BJ68+BM68+BP68+BS68+BV68+BY68+CB68+CE68+CH68+CK68+CN68+CQ68</f>
        <v>0</v>
      </c>
      <c r="F68" s="366"/>
      <c r="G68" s="366"/>
      <c r="H68" s="140">
        <f>SUM(H21:H44)-(H62*1000)</f>
        <v>0</v>
      </c>
      <c r="I68" s="366"/>
      <c r="J68" s="366"/>
      <c r="K68" s="140">
        <f>SUM(K21:K44)-(K62*1000)</f>
        <v>0</v>
      </c>
      <c r="L68" s="366"/>
      <c r="M68" s="366"/>
      <c r="N68" s="140">
        <f>SUM(N21:N44)-(N62*1000)</f>
        <v>0</v>
      </c>
      <c r="O68" s="366"/>
      <c r="P68" s="366"/>
      <c r="Q68" s="140">
        <f>SUM(Q21:Q44)-(Q62*1000)</f>
        <v>0</v>
      </c>
      <c r="R68" s="366"/>
      <c r="S68" s="366"/>
      <c r="T68" s="140">
        <f>SUM(T21:T44)-(T62*1000)</f>
        <v>0</v>
      </c>
      <c r="U68" s="366"/>
      <c r="V68" s="366"/>
      <c r="W68" s="140">
        <f>SUM(W21:W44)-(W62*1000)</f>
        <v>0</v>
      </c>
      <c r="X68" s="366"/>
      <c r="Y68" s="366"/>
      <c r="Z68" s="140">
        <f>SUM(Z21:Z44)-(Z62*1000)</f>
        <v>0</v>
      </c>
      <c r="AA68" s="366"/>
      <c r="AB68" s="366"/>
      <c r="AC68" s="140">
        <f>SUM(AC21:AC44)-(AC62*1000)</f>
        <v>0</v>
      </c>
      <c r="AD68" s="366"/>
      <c r="AE68" s="366"/>
      <c r="AF68" s="140">
        <f>SUM(AF21:AF44)-(AF62*1000)</f>
        <v>0</v>
      </c>
      <c r="AG68" s="366"/>
      <c r="AH68" s="366"/>
      <c r="AI68" s="140">
        <f>SUM(AI21:AI44)-(AI62*1000)</f>
        <v>0</v>
      </c>
      <c r="AJ68" s="366"/>
      <c r="AK68" s="366"/>
      <c r="AL68" s="140">
        <f>SUM(AL21:AL44)-(AL62*1000)</f>
        <v>0</v>
      </c>
      <c r="AM68" s="366"/>
      <c r="AN68" s="366"/>
      <c r="AO68" s="140">
        <f>SUM(AO21:AO44)-(AO62*1000)</f>
        <v>0</v>
      </c>
      <c r="AP68" s="366"/>
      <c r="AQ68" s="366"/>
      <c r="AR68" s="140">
        <f>SUM(AR21:AR44)-(AR62*1000)</f>
        <v>0</v>
      </c>
      <c r="AS68" s="366"/>
      <c r="AT68" s="366"/>
      <c r="AU68" s="140">
        <f>SUM(AU21:AU44)-(AU62*1000)</f>
        <v>0</v>
      </c>
      <c r="AV68" s="366"/>
      <c r="AW68" s="366"/>
      <c r="AX68" s="140">
        <f>SUM(AX21:AX44)-(AX62*1000)</f>
        <v>0</v>
      </c>
      <c r="AY68" s="366"/>
      <c r="AZ68" s="366"/>
      <c r="BA68" s="140">
        <f>SUM(BA21:BA44)-(BA62*1000)</f>
        <v>0</v>
      </c>
      <c r="BB68" s="366"/>
      <c r="BC68" s="366"/>
      <c r="BD68" s="140">
        <f>SUM(BD21:BD44)-(BD62*1000)</f>
        <v>0</v>
      </c>
      <c r="BE68" s="366"/>
      <c r="BF68" s="366"/>
      <c r="BG68" s="140">
        <f>SUM(BG21:BG44)-(BG62*1000)</f>
        <v>0</v>
      </c>
      <c r="BH68" s="366"/>
      <c r="BI68" s="366"/>
      <c r="BJ68" s="140">
        <f>SUM(BJ21:BJ44)-(BJ62*1000)</f>
        <v>0</v>
      </c>
      <c r="BK68" s="366"/>
      <c r="BL68" s="366"/>
      <c r="BM68" s="140">
        <f>SUM(BM21:BM44)-(BM62*1000)</f>
        <v>0</v>
      </c>
      <c r="BN68" s="366"/>
      <c r="BO68" s="366"/>
      <c r="BP68" s="140">
        <f>SUM(BP21:BP44)-(BP62*1000)</f>
        <v>0</v>
      </c>
      <c r="BQ68" s="366"/>
      <c r="BR68" s="366"/>
      <c r="BS68" s="140">
        <f>SUM(BS21:BS44)-(BS62*1000)</f>
        <v>0</v>
      </c>
      <c r="BT68" s="366"/>
      <c r="BU68" s="366"/>
      <c r="BV68" s="140">
        <f>SUM(BV21:BV44)-(BV62*1000)</f>
        <v>0</v>
      </c>
      <c r="BW68" s="366"/>
      <c r="BX68" s="366"/>
      <c r="BY68" s="140">
        <f>SUM(BY21:BY44)-(BY62*1000)</f>
        <v>0</v>
      </c>
      <c r="BZ68" s="366"/>
      <c r="CA68" s="366"/>
      <c r="CB68" s="140">
        <f>SUM(CB21:CB44)-(CB62*1000)</f>
        <v>0</v>
      </c>
      <c r="CC68" s="366"/>
      <c r="CD68" s="366"/>
      <c r="CE68" s="140">
        <f>SUM(CE21:CE44)-(CE62*1000)</f>
        <v>0</v>
      </c>
      <c r="CF68" s="366"/>
      <c r="CG68" s="366"/>
      <c r="CH68" s="140">
        <f>SUM(CH21:CH44)-(CH62*1000)</f>
        <v>0</v>
      </c>
      <c r="CI68" s="366"/>
      <c r="CJ68" s="366"/>
      <c r="CK68" s="140">
        <f>SUM(CK21:CK44)-(CK62*1000)</f>
        <v>0</v>
      </c>
      <c r="CL68" s="366"/>
      <c r="CM68" s="366"/>
      <c r="CN68" s="140">
        <f>SUM(CN21:CN44)-(CN62*1000)</f>
        <v>0</v>
      </c>
      <c r="CO68" s="366"/>
      <c r="CP68" s="366"/>
      <c r="CQ68" s="140">
        <f>SUM(CQ21:CQ44)-(CQ62*1000)</f>
        <v>0</v>
      </c>
      <c r="CR68" s="106"/>
    </row>
    <row r="69" spans="1:96" ht="15.75" thickBot="1" x14ac:dyDescent="0.3">
      <c r="A69" s="58" t="s">
        <v>355</v>
      </c>
      <c r="B69" s="150"/>
      <c r="C69" s="150"/>
      <c r="D69" s="150"/>
      <c r="E69" s="137">
        <f>H69+K69+N69+Q69+T69+W69+Z69+AC69+AF69+AI69+AL69+AO69+AR69+AU69+AX69+BA69+BD69+BG69+BJ69+BM69+BP69+BS69+BV69+BY69+CB69+CE69+CH69+CK69+CN69+CQ69</f>
        <v>0</v>
      </c>
      <c r="F69" s="366"/>
      <c r="G69" s="366"/>
      <c r="H69" s="140">
        <f>IFERROR(H$68*(1/(1-2*VLOOKUP(H$67,'Target Setting Rules'!$B$33:$C$42,2))),0)</f>
        <v>0</v>
      </c>
      <c r="I69" s="366"/>
      <c r="J69" s="366"/>
      <c r="K69" s="140">
        <f>IFERROR(K$68*(1/(1-2*VLOOKUP(K$67,'Target Setting Rules'!$B$33:$C$42,2))),0)</f>
        <v>0</v>
      </c>
      <c r="L69" s="366"/>
      <c r="M69" s="366"/>
      <c r="N69" s="140">
        <f>IFERROR(N$68*(1/(1-2*VLOOKUP(N$67,'Target Setting Rules'!$B$33:$C$42,2))),0)</f>
        <v>0</v>
      </c>
      <c r="O69" s="366"/>
      <c r="P69" s="366"/>
      <c r="Q69" s="140">
        <f>IFERROR(Q$68*(1/(1-2*VLOOKUP(Q$67,'Target Setting Rules'!$B$33:$C$42,2))),0)</f>
        <v>0</v>
      </c>
      <c r="R69" s="366"/>
      <c r="S69" s="366"/>
      <c r="T69" s="140">
        <f>IFERROR(T$68*(1/(1-2*VLOOKUP(T$67,'Target Setting Rules'!$B$33:$C$42,2))),0)</f>
        <v>0</v>
      </c>
      <c r="U69" s="366"/>
      <c r="V69" s="366"/>
      <c r="W69" s="140">
        <f>IFERROR(W$68*(1/(1-2*VLOOKUP(W$67,'Target Setting Rules'!$B$33:$C$42,2))),0)</f>
        <v>0</v>
      </c>
      <c r="X69" s="366"/>
      <c r="Y69" s="366"/>
      <c r="Z69" s="140">
        <f>IFERROR(Z$68*(1/(1-2*VLOOKUP(Z$67,'Target Setting Rules'!$B$33:$C$42,2))),0)</f>
        <v>0</v>
      </c>
      <c r="AA69" s="366"/>
      <c r="AB69" s="366"/>
      <c r="AC69" s="140">
        <f>IFERROR(AC$68*(1/(1-2*VLOOKUP(AC$67,'Target Setting Rules'!$B$33:$C$42,2))),0)</f>
        <v>0</v>
      </c>
      <c r="AD69" s="366"/>
      <c r="AE69" s="366"/>
      <c r="AF69" s="140">
        <f>IFERROR(AF$68*(1/(1-2*VLOOKUP(AF$67,'Target Setting Rules'!$B$33:$C$42,2))),0)</f>
        <v>0</v>
      </c>
      <c r="AG69" s="366"/>
      <c r="AH69" s="366"/>
      <c r="AI69" s="140">
        <f>IFERROR(AI$68*(1/(1-2*VLOOKUP(AI$67,'Target Setting Rules'!$B$33:$C$42,2))),0)</f>
        <v>0</v>
      </c>
      <c r="AJ69" s="366"/>
      <c r="AK69" s="366"/>
      <c r="AL69" s="140">
        <f>IFERROR(AL$68*(1/(1-2*VLOOKUP(AL$67,'Target Setting Rules'!$B$33:$C$42,2))),0)</f>
        <v>0</v>
      </c>
      <c r="AM69" s="366"/>
      <c r="AN69" s="366"/>
      <c r="AO69" s="140">
        <f>IFERROR(AO$68*(1/(1-2*VLOOKUP(AO$67,'Target Setting Rules'!$B$33:$C$42,2))),0)</f>
        <v>0</v>
      </c>
      <c r="AP69" s="366"/>
      <c r="AQ69" s="366"/>
      <c r="AR69" s="140">
        <f>IFERROR(AR$68*(1/(1-2*VLOOKUP(AR$67,'Target Setting Rules'!$B$33:$C$42,2))),0)</f>
        <v>0</v>
      </c>
      <c r="AS69" s="366"/>
      <c r="AT69" s="366"/>
      <c r="AU69" s="140">
        <f>IFERROR(AU$68*(1/(1-2*VLOOKUP(AU$67,'Target Setting Rules'!$B$33:$C$42,2))),0)</f>
        <v>0</v>
      </c>
      <c r="AV69" s="366"/>
      <c r="AW69" s="366"/>
      <c r="AX69" s="140">
        <f>IFERROR(AX$68*(1/(1-2*VLOOKUP(AX$67,'Target Setting Rules'!$B$33:$C$42,2))),0)</f>
        <v>0</v>
      </c>
      <c r="AY69" s="366"/>
      <c r="AZ69" s="366"/>
      <c r="BA69" s="140">
        <f>IFERROR(BA$68*(1/(1-2*VLOOKUP(BA$67,'Target Setting Rules'!$B$33:$C$42,2))),0)</f>
        <v>0</v>
      </c>
      <c r="BB69" s="366"/>
      <c r="BC69" s="366"/>
      <c r="BD69" s="140">
        <f>IFERROR(BD$68*(1/(1-2*VLOOKUP(BD$67,'Target Setting Rules'!$B$33:$C$42,2))),0)</f>
        <v>0</v>
      </c>
      <c r="BE69" s="366"/>
      <c r="BF69" s="366"/>
      <c r="BG69" s="140">
        <f>IFERROR(BG$68*(1/(1-2*VLOOKUP(BG$67,'Target Setting Rules'!$B$33:$C$42,2))),0)</f>
        <v>0</v>
      </c>
      <c r="BH69" s="366"/>
      <c r="BI69" s="366"/>
      <c r="BJ69" s="140">
        <f>IFERROR(BJ$68*(1/(1-2*VLOOKUP(BJ$67,'Target Setting Rules'!$B$33:$C$42,2))),0)</f>
        <v>0</v>
      </c>
      <c r="BK69" s="366"/>
      <c r="BL69" s="366"/>
      <c r="BM69" s="140">
        <f>IFERROR(BM$68*(1/(1-2*VLOOKUP(BM$67,'Target Setting Rules'!$B$33:$C$42,2))),0)</f>
        <v>0</v>
      </c>
      <c r="BN69" s="366"/>
      <c r="BO69" s="366"/>
      <c r="BP69" s="140">
        <f>IFERROR(BP$68*(1/(1-2*VLOOKUP(BP$67,'Target Setting Rules'!$B$33:$C$42,2))),0)</f>
        <v>0</v>
      </c>
      <c r="BQ69" s="366"/>
      <c r="BR69" s="366"/>
      <c r="BS69" s="140">
        <f>IFERROR(BS$68*(1/(1-2*VLOOKUP(BS$67,'Target Setting Rules'!$B$33:$C$42,2))),0)</f>
        <v>0</v>
      </c>
      <c r="BT69" s="366"/>
      <c r="BU69" s="366"/>
      <c r="BV69" s="140">
        <f>IFERROR(BV$68*(1/(1-2*VLOOKUP(BV$67,'Target Setting Rules'!$B$33:$C$42,2))),0)</f>
        <v>0</v>
      </c>
      <c r="BW69" s="366"/>
      <c r="BX69" s="366"/>
      <c r="BY69" s="140">
        <f>IFERROR(BY$68*(1/(1-2*VLOOKUP(BY$67,'Target Setting Rules'!$B$33:$C$42,2))),0)</f>
        <v>0</v>
      </c>
      <c r="BZ69" s="366"/>
      <c r="CA69" s="366"/>
      <c r="CB69" s="140">
        <f>IFERROR(CB$68*(1/(1-2*VLOOKUP(CB$67,'Target Setting Rules'!$B$33:$C$42,2))),0)</f>
        <v>0</v>
      </c>
      <c r="CC69" s="366"/>
      <c r="CD69" s="366"/>
      <c r="CE69" s="140">
        <f>IFERROR(CE$68*(1/(1-2*VLOOKUP(CE$67,'Target Setting Rules'!$B$33:$C$42,2))),0)</f>
        <v>0</v>
      </c>
      <c r="CF69" s="366"/>
      <c r="CG69" s="366"/>
      <c r="CH69" s="140">
        <f>IFERROR(CH$68*(1/(1-2*VLOOKUP(CH$67,'Target Setting Rules'!$B$33:$C$42,2))),0)</f>
        <v>0</v>
      </c>
      <c r="CI69" s="366"/>
      <c r="CJ69" s="366"/>
      <c r="CK69" s="140">
        <f>IFERROR(CK$68*(1/(1-2*VLOOKUP(CK$67,'Target Setting Rules'!$B$33:$C$42,2))),0)</f>
        <v>0</v>
      </c>
      <c r="CL69" s="366"/>
      <c r="CM69" s="366"/>
      <c r="CN69" s="140">
        <f>IFERROR(CN$68*(1/(1-2*VLOOKUP(CN$67,'Target Setting Rules'!$B$33:$C$42,2))),0)</f>
        <v>0</v>
      </c>
      <c r="CO69" s="366"/>
      <c r="CP69" s="366"/>
      <c r="CQ69" s="140">
        <f>IFERROR(CQ$68*(1/(1-2*VLOOKUP(CQ$67,'Target Setting Rules'!$B$33:$C$42,2))),0)</f>
        <v>0</v>
      </c>
      <c r="CR69" s="106"/>
    </row>
    <row r="70" spans="1:96" ht="15.75" thickBot="1" x14ac:dyDescent="0.3">
      <c r="A70" s="58" t="s">
        <v>356</v>
      </c>
      <c r="B70" s="150"/>
      <c r="C70" s="150"/>
      <c r="D70" s="150"/>
      <c r="E70" s="137" t="e">
        <f>(E69+E65*1000)/E65</f>
        <v>#DIV/0!</v>
      </c>
      <c r="F70" s="366"/>
      <c r="G70" s="366"/>
      <c r="H70" s="140" t="e">
        <f>(H69+H65*1000)/H65</f>
        <v>#DIV/0!</v>
      </c>
      <c r="I70" s="366"/>
      <c r="J70" s="366"/>
      <c r="K70" s="140" t="e">
        <f>(K69+K65*1000)/K65</f>
        <v>#DIV/0!</v>
      </c>
      <c r="L70" s="366"/>
      <c r="M70" s="366"/>
      <c r="N70" s="140" t="e">
        <f>(N69+N65*1000)/N65</f>
        <v>#DIV/0!</v>
      </c>
      <c r="O70" s="366"/>
      <c r="P70" s="366"/>
      <c r="Q70" s="140" t="e">
        <f>(Q69+Q65*1000)/Q65</f>
        <v>#DIV/0!</v>
      </c>
      <c r="R70" s="366"/>
      <c r="S70" s="366"/>
      <c r="T70" s="140" t="e">
        <f>(T69+T65*1000)/T65</f>
        <v>#DIV/0!</v>
      </c>
      <c r="U70" s="366"/>
      <c r="V70" s="366"/>
      <c r="W70" s="140" t="e">
        <f>(W69+W65*1000)/W65</f>
        <v>#DIV/0!</v>
      </c>
      <c r="X70" s="366"/>
      <c r="Y70" s="366"/>
      <c r="Z70" s="140" t="e">
        <f>(Z69+Z65*1000)/Z65</f>
        <v>#DIV/0!</v>
      </c>
      <c r="AA70" s="366"/>
      <c r="AB70" s="366"/>
      <c r="AC70" s="140" t="e">
        <f>(AC69+AC65*1000)/AC65</f>
        <v>#DIV/0!</v>
      </c>
      <c r="AD70" s="366"/>
      <c r="AE70" s="366"/>
      <c r="AF70" s="140" t="e">
        <f>(AF69+AF65*1000)/AF65</f>
        <v>#DIV/0!</v>
      </c>
      <c r="AG70" s="366"/>
      <c r="AH70" s="366"/>
      <c r="AI70" s="140" t="e">
        <f>(AI69+AI65*1000)/AI65</f>
        <v>#DIV/0!</v>
      </c>
      <c r="AJ70" s="366"/>
      <c r="AK70" s="366"/>
      <c r="AL70" s="140" t="e">
        <f>(AL69+AL65*1000)/AL65</f>
        <v>#DIV/0!</v>
      </c>
      <c r="AM70" s="366"/>
      <c r="AN70" s="366"/>
      <c r="AO70" s="140" t="e">
        <f>(AO69+AO65*1000)/AO65</f>
        <v>#DIV/0!</v>
      </c>
      <c r="AP70" s="366"/>
      <c r="AQ70" s="366"/>
      <c r="AR70" s="140" t="e">
        <f>(AR69+AR65*1000)/AR65</f>
        <v>#DIV/0!</v>
      </c>
      <c r="AS70" s="366"/>
      <c r="AT70" s="366"/>
      <c r="AU70" s="140" t="e">
        <f>(AU69+AU65*1000)/AU65</f>
        <v>#DIV/0!</v>
      </c>
      <c r="AV70" s="366"/>
      <c r="AW70" s="366"/>
      <c r="AX70" s="140" t="e">
        <f>(AX69+AX65*1000)/AX65</f>
        <v>#DIV/0!</v>
      </c>
      <c r="AY70" s="366"/>
      <c r="AZ70" s="366"/>
      <c r="BA70" s="140" t="e">
        <f>(BA69+BA65*1000)/BA65</f>
        <v>#DIV/0!</v>
      </c>
      <c r="BB70" s="366"/>
      <c r="BC70" s="366"/>
      <c r="BD70" s="140" t="e">
        <f>(BD69+BD65*1000)/BD65</f>
        <v>#DIV/0!</v>
      </c>
      <c r="BE70" s="366"/>
      <c r="BF70" s="366"/>
      <c r="BG70" s="140" t="e">
        <f>(BG69+BG65*1000)/BG65</f>
        <v>#DIV/0!</v>
      </c>
      <c r="BH70" s="366"/>
      <c r="BI70" s="366"/>
      <c r="BJ70" s="140" t="e">
        <f>(BJ69+BJ65*1000)/BJ65</f>
        <v>#DIV/0!</v>
      </c>
      <c r="BK70" s="366"/>
      <c r="BL70" s="366"/>
      <c r="BM70" s="140" t="e">
        <f>(BM69+BM65*1000)/BM65</f>
        <v>#DIV/0!</v>
      </c>
      <c r="BN70" s="366"/>
      <c r="BO70" s="366"/>
      <c r="BP70" s="140" t="e">
        <f>(BP69+BP65*1000)/BP65</f>
        <v>#DIV/0!</v>
      </c>
      <c r="BQ70" s="366"/>
      <c r="BR70" s="366"/>
      <c r="BS70" s="140" t="e">
        <f>(BS69+BS65*1000)/BS65</f>
        <v>#DIV/0!</v>
      </c>
      <c r="BT70" s="366"/>
      <c r="BU70" s="366"/>
      <c r="BV70" s="140" t="e">
        <f>(BV69+BV65*1000)/BV65</f>
        <v>#DIV/0!</v>
      </c>
      <c r="BW70" s="366"/>
      <c r="BX70" s="366"/>
      <c r="BY70" s="140" t="e">
        <f>(BY69+BY65*1000)/BY65</f>
        <v>#DIV/0!</v>
      </c>
      <c r="BZ70" s="366"/>
      <c r="CA70" s="366"/>
      <c r="CB70" s="140" t="e">
        <f>(CB69+CB65*1000)/CB65</f>
        <v>#DIV/0!</v>
      </c>
      <c r="CC70" s="366"/>
      <c r="CD70" s="366"/>
      <c r="CE70" s="140" t="e">
        <f>(CE69+CE65*1000)/CE65</f>
        <v>#DIV/0!</v>
      </c>
      <c r="CF70" s="366"/>
      <c r="CG70" s="366"/>
      <c r="CH70" s="140" t="e">
        <f>(CH69+CH65*1000)/CH65</f>
        <v>#DIV/0!</v>
      </c>
      <c r="CI70" s="366"/>
      <c r="CJ70" s="366"/>
      <c r="CK70" s="140" t="e">
        <f>(CK69+CK65*1000)/CK65</f>
        <v>#DIV/0!</v>
      </c>
      <c r="CL70" s="366"/>
      <c r="CM70" s="366"/>
      <c r="CN70" s="140" t="e">
        <f>(CN69+CN65*1000)/CN65</f>
        <v>#DIV/0!</v>
      </c>
      <c r="CO70" s="366"/>
      <c r="CP70" s="366"/>
      <c r="CQ70" s="140" t="e">
        <f>(CQ69+CQ65*1000)/CQ65</f>
        <v>#DIV/0!</v>
      </c>
      <c r="CR70" s="106"/>
    </row>
    <row r="71" spans="1:96" ht="21" thickBot="1" x14ac:dyDescent="0.3">
      <c r="A71" s="62" t="s">
        <v>342</v>
      </c>
      <c r="B71" s="395" t="str">
        <f>'Baseline Data'!B10</f>
        <v>Please select</v>
      </c>
      <c r="C71" s="369"/>
      <c r="D71" s="369"/>
      <c r="E71" s="371"/>
      <c r="F71" s="370"/>
      <c r="G71" s="153"/>
      <c r="H71" s="372"/>
      <c r="I71" s="370"/>
      <c r="J71" s="153"/>
      <c r="K71" s="372"/>
      <c r="L71" s="370"/>
      <c r="M71" s="153"/>
      <c r="N71" s="372"/>
      <c r="O71" s="370"/>
      <c r="P71" s="153"/>
      <c r="Q71" s="372"/>
      <c r="R71" s="370"/>
      <c r="S71" s="153"/>
      <c r="T71" s="372"/>
      <c r="U71" s="370"/>
      <c r="V71" s="153"/>
      <c r="W71" s="372"/>
      <c r="X71" s="370"/>
      <c r="Y71" s="153"/>
      <c r="Z71" s="372"/>
      <c r="AA71" s="370"/>
      <c r="AB71" s="153"/>
      <c r="AC71" s="372"/>
      <c r="AD71" s="370"/>
      <c r="AE71" s="153"/>
      <c r="AF71" s="372"/>
      <c r="AG71" s="370"/>
      <c r="AH71" s="153"/>
      <c r="AI71" s="372"/>
      <c r="AJ71" s="370"/>
      <c r="AK71" s="153"/>
      <c r="AL71" s="372"/>
      <c r="AM71" s="370"/>
      <c r="AN71" s="153"/>
      <c r="AO71" s="372"/>
      <c r="AP71" s="370"/>
      <c r="AQ71" s="153"/>
      <c r="AR71" s="372"/>
      <c r="AS71" s="370"/>
      <c r="AT71" s="153"/>
      <c r="AU71" s="372"/>
      <c r="AV71" s="370"/>
      <c r="AW71" s="153"/>
      <c r="AX71" s="372"/>
      <c r="AY71" s="370"/>
      <c r="AZ71" s="153"/>
      <c r="BA71" s="372"/>
      <c r="BB71" s="370"/>
      <c r="BC71" s="153"/>
      <c r="BD71" s="372"/>
      <c r="BE71" s="370"/>
      <c r="BF71" s="153"/>
      <c r="BG71" s="372"/>
      <c r="BH71" s="370"/>
      <c r="BI71" s="153"/>
      <c r="BJ71" s="372"/>
      <c r="BK71" s="370"/>
      <c r="BL71" s="153"/>
      <c r="BM71" s="372"/>
      <c r="BN71" s="370"/>
      <c r="BO71" s="153"/>
      <c r="BP71" s="372"/>
      <c r="BQ71" s="370"/>
      <c r="BR71" s="153"/>
      <c r="BS71" s="372"/>
      <c r="BT71" s="370"/>
      <c r="BU71" s="153"/>
      <c r="BV71" s="372"/>
      <c r="BW71" s="370"/>
      <c r="BX71" s="153"/>
      <c r="BY71" s="372"/>
      <c r="BZ71" s="370"/>
      <c r="CA71" s="153"/>
      <c r="CB71" s="372"/>
      <c r="CC71" s="370"/>
      <c r="CD71" s="153"/>
      <c r="CE71" s="372"/>
      <c r="CF71" s="370"/>
      <c r="CG71" s="153"/>
      <c r="CH71" s="372"/>
      <c r="CI71" s="370"/>
      <c r="CJ71" s="153"/>
      <c r="CK71" s="372"/>
      <c r="CL71" s="370"/>
      <c r="CM71" s="153"/>
      <c r="CN71" s="372"/>
      <c r="CO71" s="370"/>
      <c r="CP71" s="153"/>
      <c r="CQ71" s="372"/>
      <c r="CR71" s="374"/>
    </row>
    <row r="72" spans="1:96" ht="15.75" thickBot="1" x14ac:dyDescent="0.3">
      <c r="A72" s="58" t="str">
        <f>IF('Baseline Data'!B10="Please Select","Please input TU Base Year in Baseline Data Tab","Equivalent ME energy in TU BY of "&amp;B71&amp;" (kWh)")</f>
        <v>Please input TU Base Year in Baseline Data Tab</v>
      </c>
      <c r="B72" s="150"/>
      <c r="C72" s="150"/>
      <c r="D72" s="150"/>
      <c r="E72" s="137">
        <f t="shared" ref="E72" si="63">H72+K72+N72+Q72+T72+W72+Z72+AC72+AF72+AI72+AL72+AO72+AR72+AU72+AX72+BA72+BD72+BG72+BJ72+BM72+BP72+BS72+BV72+BY72+CB72+CE72+CH72+CK72+CN72+CQ72</f>
        <v>0</v>
      </c>
      <c r="F72" s="366"/>
      <c r="G72" s="366"/>
      <c r="H72" s="140">
        <f>IFERROR(H68*(1-2*VLOOKUP('Baseline Data'!$B10,'Target Setting Rules'!$B$33:$C$42,2))/(1-2*VLOOKUP(H$67,'Target Setting Rules'!$B$33:$C$42,2)),0)</f>
        <v>0</v>
      </c>
      <c r="I72" s="366"/>
      <c r="J72" s="366"/>
      <c r="K72" s="140">
        <f>IFERROR(K68*(1-2*VLOOKUP('Baseline Data'!$B10,'Target Setting Rules'!$B$33:$C$42,2))/(1-2*VLOOKUP(K$67,'Target Setting Rules'!$B$33:$C$42,2)),0)</f>
        <v>0</v>
      </c>
      <c r="L72" s="366"/>
      <c r="M72" s="366"/>
      <c r="N72" s="140">
        <f>IFERROR(N68*(1-2*VLOOKUP('Baseline Data'!$B10,'Target Setting Rules'!$B$33:$C$42,2))/(1-2*VLOOKUP(N$67,'Target Setting Rules'!$B$33:$C$42,2)),0)</f>
        <v>0</v>
      </c>
      <c r="O72" s="366"/>
      <c r="P72" s="366"/>
      <c r="Q72" s="140">
        <f>IFERROR(Q68*(1-2*VLOOKUP('Baseline Data'!$B10,'Target Setting Rules'!$B$33:$C$42,2))/(1-2*VLOOKUP(Q$67,'Target Setting Rules'!$B$33:$C$42,2)),0)</f>
        <v>0</v>
      </c>
      <c r="R72" s="366"/>
      <c r="S72" s="366"/>
      <c r="T72" s="140">
        <f>IFERROR(T68*(1-2*VLOOKUP('Baseline Data'!$B10,'Target Setting Rules'!$B$33:$C$42,2))/(1-2*VLOOKUP(T$67,'Target Setting Rules'!$B$33:$C$42,2)),0)</f>
        <v>0</v>
      </c>
      <c r="U72" s="366"/>
      <c r="V72" s="366"/>
      <c r="W72" s="140">
        <f>IFERROR(W68*(1-2*VLOOKUP('Baseline Data'!$B10,'Target Setting Rules'!$B$33:$C$42,2))/(1-2*VLOOKUP(W$67,'Target Setting Rules'!$B$33:$C$42,2)),0)</f>
        <v>0</v>
      </c>
      <c r="X72" s="366"/>
      <c r="Y72" s="366"/>
      <c r="Z72" s="140">
        <f>IFERROR(Z68*(1-2*VLOOKUP('Baseline Data'!$B10,'Target Setting Rules'!$B$33:$C$42,2))/(1-2*VLOOKUP(Z$67,'Target Setting Rules'!$B$33:$C$42,2)),0)</f>
        <v>0</v>
      </c>
      <c r="AA72" s="366"/>
      <c r="AB72" s="366"/>
      <c r="AC72" s="140">
        <f>IFERROR(AC68*(1-2*VLOOKUP('Baseline Data'!$B10,'Target Setting Rules'!$B$33:$C$42,2))/(1-2*VLOOKUP(AC$67,'Target Setting Rules'!$B$33:$C$42,2)),0)</f>
        <v>0</v>
      </c>
      <c r="AD72" s="366"/>
      <c r="AE72" s="366"/>
      <c r="AF72" s="140">
        <f>IFERROR(AF68*(1-2*VLOOKUP('Baseline Data'!$B10,'Target Setting Rules'!$B$33:$C$42,2))/(1-2*VLOOKUP(AF$67,'Target Setting Rules'!$B$33:$C$42,2)),0)</f>
        <v>0</v>
      </c>
      <c r="AG72" s="366"/>
      <c r="AH72" s="366"/>
      <c r="AI72" s="140">
        <f>IFERROR(AI68*(1-2*VLOOKUP('Baseline Data'!$B10,'Target Setting Rules'!$B$33:$C$42,2))/(1-2*VLOOKUP(AI$67,'Target Setting Rules'!$B$33:$C$42,2)),0)</f>
        <v>0</v>
      </c>
      <c r="AJ72" s="366"/>
      <c r="AK72" s="366"/>
      <c r="AL72" s="140">
        <f>IFERROR(AL68*(1-2*VLOOKUP('Baseline Data'!$B10,'Target Setting Rules'!$B$33:$C$42,2))/(1-2*VLOOKUP(AL$67,'Target Setting Rules'!$B$33:$C$42,2)),0)</f>
        <v>0</v>
      </c>
      <c r="AM72" s="366"/>
      <c r="AN72" s="366"/>
      <c r="AO72" s="140">
        <f>IFERROR(AO68*(1-2*VLOOKUP('Baseline Data'!$B10,'Target Setting Rules'!$B$33:$C$42,2))/(1-2*VLOOKUP(AO$67,'Target Setting Rules'!$B$33:$C$42,2)),0)</f>
        <v>0</v>
      </c>
      <c r="AP72" s="366"/>
      <c r="AQ72" s="366"/>
      <c r="AR72" s="140">
        <f>IFERROR(AR68*(1-2*VLOOKUP('Baseline Data'!$B10,'Target Setting Rules'!$B$33:$C$42,2))/(1-2*VLOOKUP(AR$67,'Target Setting Rules'!$B$33:$C$42,2)),0)</f>
        <v>0</v>
      </c>
      <c r="AS72" s="366"/>
      <c r="AT72" s="366"/>
      <c r="AU72" s="140">
        <f>IFERROR(AU68*(1-2*VLOOKUP('Baseline Data'!$B10,'Target Setting Rules'!$B$33:$C$42,2))/(1-2*VLOOKUP(AU$67,'Target Setting Rules'!$B$33:$C$42,2)),0)</f>
        <v>0</v>
      </c>
      <c r="AV72" s="366"/>
      <c r="AW72" s="366"/>
      <c r="AX72" s="140">
        <f>IFERROR(AX68*(1-2*VLOOKUP('Baseline Data'!$B10,'Target Setting Rules'!$B$33:$C$42,2))/(1-2*VLOOKUP(AX$67,'Target Setting Rules'!$B$33:$C$42,2)),0)</f>
        <v>0</v>
      </c>
      <c r="AY72" s="366"/>
      <c r="AZ72" s="366"/>
      <c r="BA72" s="140">
        <f>IFERROR(BA68*(1-2*VLOOKUP('Baseline Data'!$B10,'Target Setting Rules'!$B$33:$C$42,2))/(1-2*VLOOKUP(BA$67,'Target Setting Rules'!$B$33:$C$42,2)),0)</f>
        <v>0</v>
      </c>
      <c r="BB72" s="366"/>
      <c r="BC72" s="366"/>
      <c r="BD72" s="140">
        <f>IFERROR(BD68*(1-2*VLOOKUP('Baseline Data'!$B10,'Target Setting Rules'!$B$33:$C$42,2))/(1-2*VLOOKUP(BD$67,'Target Setting Rules'!$B$33:$C$42,2)),0)</f>
        <v>0</v>
      </c>
      <c r="BE72" s="366"/>
      <c r="BF72" s="366"/>
      <c r="BG72" s="140">
        <f>IFERROR(BG68*(1-2*VLOOKUP('Baseline Data'!$B10,'Target Setting Rules'!$B$33:$C$42,2))/(1-2*VLOOKUP(BG$67,'Target Setting Rules'!$B$33:$C$42,2)),0)</f>
        <v>0</v>
      </c>
      <c r="BH72" s="366"/>
      <c r="BI72" s="366"/>
      <c r="BJ72" s="140">
        <f>IFERROR(BJ68*(1-2*VLOOKUP('Baseline Data'!$B10,'Target Setting Rules'!$B$33:$C$42,2))/(1-2*VLOOKUP(BJ$67,'Target Setting Rules'!$B$33:$C$42,2)),0)</f>
        <v>0</v>
      </c>
      <c r="BK72" s="366"/>
      <c r="BL72" s="366"/>
      <c r="BM72" s="140">
        <f>IFERROR(BM68*(1-2*VLOOKUP('Baseline Data'!$B10,'Target Setting Rules'!$B$33:$C$42,2))/(1-2*VLOOKUP(BM$67,'Target Setting Rules'!$B$33:$C$42,2)),0)</f>
        <v>0</v>
      </c>
      <c r="BN72" s="366"/>
      <c r="BO72" s="366"/>
      <c r="BP72" s="140">
        <f>IFERROR(BP68*(1-2*VLOOKUP('Baseline Data'!$B10,'Target Setting Rules'!$B$33:$C$42,2))/(1-2*VLOOKUP(BP$67,'Target Setting Rules'!$B$33:$C$42,2)),0)</f>
        <v>0</v>
      </c>
      <c r="BQ72" s="366"/>
      <c r="BR72" s="366"/>
      <c r="BS72" s="140">
        <f>IFERROR(BS68*(1-2*VLOOKUP('Baseline Data'!$B10,'Target Setting Rules'!$B$33:$C$42,2))/(1-2*VLOOKUP(BS$67,'Target Setting Rules'!$B$33:$C$42,2)),0)</f>
        <v>0</v>
      </c>
      <c r="BT72" s="366"/>
      <c r="BU72" s="366"/>
      <c r="BV72" s="140">
        <f>IFERROR(BV68*(1-2*VLOOKUP('Baseline Data'!$B10,'Target Setting Rules'!$B$33:$C$42,2))/(1-2*VLOOKUP(BV$67,'Target Setting Rules'!$B$33:$C$42,2)),0)</f>
        <v>0</v>
      </c>
      <c r="BW72" s="366"/>
      <c r="BX72" s="366"/>
      <c r="BY72" s="140">
        <f>IFERROR(BY68*(1-2*VLOOKUP('Baseline Data'!$B10,'Target Setting Rules'!$B$33:$C$42,2))/(1-2*VLOOKUP(BY$67,'Target Setting Rules'!$B$33:$C$42,2)),0)</f>
        <v>0</v>
      </c>
      <c r="BZ72" s="366"/>
      <c r="CA72" s="366"/>
      <c r="CB72" s="140">
        <f>IFERROR(CB68*(1-2*VLOOKUP('Baseline Data'!$B10,'Target Setting Rules'!$B$33:$C$42,2))/(1-2*VLOOKUP(CB$67,'Target Setting Rules'!$B$33:$C$42,2)),0)</f>
        <v>0</v>
      </c>
      <c r="CC72" s="366"/>
      <c r="CD72" s="366"/>
      <c r="CE72" s="140">
        <f>IFERROR(CE68*(1-2*VLOOKUP('Baseline Data'!$B10,'Target Setting Rules'!$B$33:$C$42,2))/(1-2*VLOOKUP(CE$67,'Target Setting Rules'!$B$33:$C$42,2)),0)</f>
        <v>0</v>
      </c>
      <c r="CF72" s="366"/>
      <c r="CG72" s="366"/>
      <c r="CH72" s="140">
        <f>IFERROR(CH68*(1-2*VLOOKUP('Baseline Data'!$B10,'Target Setting Rules'!$B$33:$C$42,2))/(1-2*VLOOKUP(CH$67,'Target Setting Rules'!$B$33:$C$42,2)),0)</f>
        <v>0</v>
      </c>
      <c r="CI72" s="366"/>
      <c r="CJ72" s="366"/>
      <c r="CK72" s="140">
        <f>IFERROR(CK68*(1-2*VLOOKUP('Baseline Data'!$B10,'Target Setting Rules'!$B$33:$C$42,2))/(1-2*VLOOKUP(CK$67,'Target Setting Rules'!$B$33:$C$42,2)),0)</f>
        <v>0</v>
      </c>
      <c r="CL72" s="366"/>
      <c r="CM72" s="366"/>
      <c r="CN72" s="140">
        <f>IFERROR(CN68*(1-2*VLOOKUP('Baseline Data'!$B10,'Target Setting Rules'!$B$33:$C$42,2))/(1-2*VLOOKUP(CN$67,'Target Setting Rules'!$B$33:$C$42,2)),0)</f>
        <v>0</v>
      </c>
      <c r="CO72" s="366"/>
      <c r="CP72" s="366"/>
      <c r="CQ72" s="140">
        <f>IFERROR(CQ68*(1-2*VLOOKUP('Baseline Data'!$B10,'Target Setting Rules'!$B$33:$C$42,2))/(1-2*VLOOKUP(CQ$67,'Target Setting Rules'!$B$33:$C$42,2)),0)</f>
        <v>0</v>
      </c>
      <c r="CR72" s="374"/>
    </row>
    <row r="73" spans="1:96" ht="15.75" thickBot="1" x14ac:dyDescent="0.3">
      <c r="A73" s="58" t="str">
        <f>IF('Baseline Data'!B10="Please Select","Please input TU Base Year in Baseline Data Tab","Equivalent Baseline energy in TU BY of "&amp;B71&amp;" (kWh)")</f>
        <v>Please input TU Base Year in Baseline Data Tab</v>
      </c>
      <c r="B73" s="150"/>
      <c r="C73" s="150"/>
      <c r="D73" s="150"/>
      <c r="E73" s="137">
        <f>E72+E65*1000</f>
        <v>0</v>
      </c>
      <c r="F73" s="366"/>
      <c r="G73" s="366"/>
      <c r="H73" s="373"/>
      <c r="I73" s="366"/>
      <c r="J73" s="366"/>
      <c r="K73" s="373"/>
      <c r="L73" s="366"/>
      <c r="M73" s="366"/>
      <c r="N73" s="373"/>
      <c r="O73" s="366"/>
      <c r="P73" s="366"/>
      <c r="Q73" s="373"/>
      <c r="R73" s="366"/>
      <c r="S73" s="366"/>
      <c r="T73" s="373"/>
      <c r="U73" s="366"/>
      <c r="V73" s="366"/>
      <c r="W73" s="373"/>
      <c r="X73" s="366"/>
      <c r="Y73" s="366"/>
      <c r="Z73" s="373"/>
      <c r="AA73" s="366"/>
      <c r="AB73" s="366"/>
      <c r="AC73" s="373"/>
      <c r="AD73" s="366"/>
      <c r="AE73" s="366"/>
      <c r="AF73" s="373"/>
      <c r="AG73" s="366"/>
      <c r="AH73" s="366"/>
      <c r="AI73" s="373"/>
      <c r="AJ73" s="366"/>
      <c r="AK73" s="366"/>
      <c r="AL73" s="373"/>
      <c r="AM73" s="366"/>
      <c r="AN73" s="366"/>
      <c r="AO73" s="373"/>
      <c r="AP73" s="366"/>
      <c r="AQ73" s="366"/>
      <c r="AR73" s="373"/>
      <c r="AS73" s="366"/>
      <c r="AT73" s="366"/>
      <c r="AU73" s="373"/>
      <c r="AV73" s="366"/>
      <c r="AW73" s="366"/>
      <c r="AX73" s="373"/>
      <c r="AY73" s="366"/>
      <c r="AZ73" s="366"/>
      <c r="BA73" s="373"/>
      <c r="BB73" s="366"/>
      <c r="BC73" s="366"/>
      <c r="BD73" s="373"/>
      <c r="BE73" s="366"/>
      <c r="BF73" s="366"/>
      <c r="BG73" s="373"/>
      <c r="BH73" s="366"/>
      <c r="BI73" s="366"/>
      <c r="BJ73" s="373"/>
      <c r="BK73" s="366"/>
      <c r="BL73" s="366"/>
      <c r="BM73" s="373"/>
      <c r="BN73" s="366"/>
      <c r="BO73" s="366"/>
      <c r="BP73" s="373"/>
      <c r="BQ73" s="366"/>
      <c r="BR73" s="366"/>
      <c r="BS73" s="373"/>
      <c r="BT73" s="366"/>
      <c r="BU73" s="366"/>
      <c r="BV73" s="373"/>
      <c r="BW73" s="366"/>
      <c r="BX73" s="366"/>
      <c r="BY73" s="373"/>
      <c r="BZ73" s="366"/>
      <c r="CA73" s="366"/>
      <c r="CB73" s="373"/>
      <c r="CC73" s="366"/>
      <c r="CD73" s="366"/>
      <c r="CE73" s="373"/>
      <c r="CF73" s="366"/>
      <c r="CG73" s="366"/>
      <c r="CH73" s="373"/>
      <c r="CI73" s="366"/>
      <c r="CJ73" s="366"/>
      <c r="CK73" s="373"/>
      <c r="CL73" s="366"/>
      <c r="CM73" s="366"/>
      <c r="CN73" s="373"/>
      <c r="CO73" s="366"/>
      <c r="CP73" s="366"/>
      <c r="CQ73" s="373"/>
      <c r="CR73" s="374"/>
    </row>
    <row r="74" spans="1:96" ht="15.75" thickBot="1" x14ac:dyDescent="0.3">
      <c r="A74" s="58" t="str">
        <f>IF('Baseline Data'!B10="Please Select","Please input TU Base Year in Baseline Data Tab","Equivalent PUE in TU BY of "&amp;B71&amp;" (PUEx1000)")</f>
        <v>Please input TU Base Year in Baseline Data Tab</v>
      </c>
      <c r="B74" s="150"/>
      <c r="C74" s="150"/>
      <c r="D74" s="150"/>
      <c r="E74" s="137" t="e">
        <f>(E72+E65*1000)/E65</f>
        <v>#DIV/0!</v>
      </c>
      <c r="F74" s="366"/>
      <c r="G74" s="366"/>
      <c r="H74" s="140">
        <f>IFERROR((H72+H65*1000)/H65,0)</f>
        <v>0</v>
      </c>
      <c r="I74" s="366"/>
      <c r="J74" s="366"/>
      <c r="K74" s="140">
        <f>IFERROR((K72+K65*1000)/K65,0)</f>
        <v>0</v>
      </c>
      <c r="L74" s="366"/>
      <c r="M74" s="366"/>
      <c r="N74" s="140">
        <f>IFERROR((N72+N65*1000)/N65,0)</f>
        <v>0</v>
      </c>
      <c r="O74" s="366"/>
      <c r="P74" s="366"/>
      <c r="Q74" s="140">
        <f>IFERROR((Q72+Q65*1000)/Q65,0)</f>
        <v>0</v>
      </c>
      <c r="R74" s="366"/>
      <c r="S74" s="366"/>
      <c r="T74" s="140">
        <f>IFERROR((T72+T65*1000)/T65,0)</f>
        <v>0</v>
      </c>
      <c r="U74" s="366"/>
      <c r="V74" s="366"/>
      <c r="W74" s="140">
        <f>IFERROR((W72+W65*1000)/W65,0)</f>
        <v>0</v>
      </c>
      <c r="X74" s="366"/>
      <c r="Y74" s="366"/>
      <c r="Z74" s="140">
        <f>IFERROR((Z72+Z65*1000)/Z65,0)</f>
        <v>0</v>
      </c>
      <c r="AA74" s="366"/>
      <c r="AB74" s="366"/>
      <c r="AC74" s="140">
        <f>IFERROR((AC72+AC65*1000)/AC65,0)</f>
        <v>0</v>
      </c>
      <c r="AD74" s="366"/>
      <c r="AE74" s="366"/>
      <c r="AF74" s="140">
        <f>IFERROR((AF72+AF65*1000)/AF65,0)</f>
        <v>0</v>
      </c>
      <c r="AG74" s="366"/>
      <c r="AH74" s="366"/>
      <c r="AI74" s="140">
        <f>IFERROR((AI72+AI65*1000)/AI65,0)</f>
        <v>0</v>
      </c>
      <c r="AJ74" s="366"/>
      <c r="AK74" s="366"/>
      <c r="AL74" s="140">
        <f>IFERROR((AL72+AL65*1000)/AL65,0)</f>
        <v>0</v>
      </c>
      <c r="AM74" s="366"/>
      <c r="AN74" s="366"/>
      <c r="AO74" s="140">
        <f>IFERROR((AO72+AO65*1000)/AO65,0)</f>
        <v>0</v>
      </c>
      <c r="AP74" s="366"/>
      <c r="AQ74" s="366"/>
      <c r="AR74" s="140">
        <f>IFERROR((AR72+AR65*1000)/AR65,0)</f>
        <v>0</v>
      </c>
      <c r="AS74" s="366"/>
      <c r="AT74" s="366"/>
      <c r="AU74" s="140">
        <f>IFERROR((AU72+AU65*1000)/AU65,0)</f>
        <v>0</v>
      </c>
      <c r="AV74" s="366"/>
      <c r="AW74" s="366"/>
      <c r="AX74" s="140">
        <f>IFERROR((AX72+AX65*1000)/AX65,0)</f>
        <v>0</v>
      </c>
      <c r="AY74" s="366"/>
      <c r="AZ74" s="366"/>
      <c r="BA74" s="140">
        <f>IFERROR((BA72+BA65*1000)/BA65,0)</f>
        <v>0</v>
      </c>
      <c r="BB74" s="366"/>
      <c r="BC74" s="366"/>
      <c r="BD74" s="140">
        <f>IFERROR((BD72+BD65*1000)/BD65,0)</f>
        <v>0</v>
      </c>
      <c r="BE74" s="366"/>
      <c r="BF74" s="366"/>
      <c r="BG74" s="140">
        <f>IFERROR((BG72+BG65*1000)/BG65,0)</f>
        <v>0</v>
      </c>
      <c r="BH74" s="366"/>
      <c r="BI74" s="366"/>
      <c r="BJ74" s="140">
        <f>IFERROR((BJ72+BJ65*1000)/BJ65,0)</f>
        <v>0</v>
      </c>
      <c r="BK74" s="366"/>
      <c r="BL74" s="366"/>
      <c r="BM74" s="140">
        <f>IFERROR((BM72+BM65*1000)/BM65,0)</f>
        <v>0</v>
      </c>
      <c r="BN74" s="366"/>
      <c r="BO74" s="366"/>
      <c r="BP74" s="140">
        <f>IFERROR((BP72+BP65*1000)/BP65,0)</f>
        <v>0</v>
      </c>
      <c r="BQ74" s="366"/>
      <c r="BR74" s="366"/>
      <c r="BS74" s="140">
        <f>IFERROR((BS72+BS65*1000)/BS65,0)</f>
        <v>0</v>
      </c>
      <c r="BT74" s="366"/>
      <c r="BU74" s="366"/>
      <c r="BV74" s="140">
        <f>IFERROR((BV72+BV65*1000)/BV65,0)</f>
        <v>0</v>
      </c>
      <c r="BW74" s="366"/>
      <c r="BX74" s="366"/>
      <c r="BY74" s="140">
        <f>IFERROR((BY72+BY65*1000)/BY65,0)</f>
        <v>0</v>
      </c>
      <c r="BZ74" s="366"/>
      <c r="CA74" s="366"/>
      <c r="CB74" s="140">
        <f>IFERROR((CB72+CB65*1000)/CB65,0)</f>
        <v>0</v>
      </c>
      <c r="CC74" s="366"/>
      <c r="CD74" s="366"/>
      <c r="CE74" s="140">
        <f>IFERROR((CE72+CE65*1000)/CE65,0)</f>
        <v>0</v>
      </c>
      <c r="CF74" s="366"/>
      <c r="CG74" s="366"/>
      <c r="CH74" s="140">
        <f>IFERROR((CH72+CH65*1000)/CH65,0)</f>
        <v>0</v>
      </c>
      <c r="CI74" s="366"/>
      <c r="CJ74" s="366"/>
      <c r="CK74" s="140">
        <f>IFERROR((CK72+CK65*1000)/CK65,0)</f>
        <v>0</v>
      </c>
      <c r="CL74" s="366"/>
      <c r="CM74" s="366"/>
      <c r="CN74" s="140">
        <f>IFERROR((CN72+CN65*1000)/CN65,0)</f>
        <v>0</v>
      </c>
      <c r="CO74" s="366"/>
      <c r="CP74" s="366"/>
      <c r="CQ74" s="140">
        <f>IFERROR((CQ72+CQ65*1000)/CQ65,0)</f>
        <v>0</v>
      </c>
      <c r="CR74" s="106"/>
    </row>
    <row r="75" spans="1:96" ht="15.75" thickBot="1" x14ac:dyDescent="0.3">
      <c r="A75" s="375"/>
      <c r="B75" s="376"/>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76"/>
      <c r="CG75" s="376"/>
      <c r="CH75" s="376"/>
      <c r="CI75" s="376"/>
      <c r="CJ75" s="376"/>
      <c r="CK75" s="376"/>
      <c r="CL75" s="376"/>
      <c r="CM75" s="376"/>
      <c r="CN75" s="376"/>
      <c r="CO75" s="376"/>
      <c r="CP75" s="376"/>
      <c r="CQ75" s="376"/>
      <c r="CR75" s="111"/>
    </row>
    <row r="77" spans="1:96" x14ac:dyDescent="0.25">
      <c r="K77" s="367"/>
    </row>
  </sheetData>
  <sheetProtection password="CF99" sheet="1" objects="1" scenarios="1"/>
  <mergeCells count="2">
    <mergeCell ref="A3:A4"/>
    <mergeCell ref="C19:E19"/>
  </mergeCells>
  <conditionalFormatting sqref="B3">
    <cfRule type="cellIs" dxfId="1138" priority="1230" stopIfTrue="1" operator="equal">
      <formula>"Yes"</formula>
    </cfRule>
  </conditionalFormatting>
  <conditionalFormatting sqref="B4">
    <cfRule type="cellIs" dxfId="1137" priority="1229" stopIfTrue="1" operator="equal">
      <formula>"Yes"</formula>
    </cfRule>
  </conditionalFormatting>
  <conditionalFormatting sqref="V22:V44">
    <cfRule type="expression" dxfId="1136" priority="1199">
      <formula>"If(b13=""Yes"",1,0)"</formula>
    </cfRule>
    <cfRule type="expression" dxfId="1135" priority="1200">
      <formula>"if(b13='Yes')"</formula>
    </cfRule>
    <cfRule type="expression" dxfId="1134" priority="1201">
      <formula>"if(B13='Yes'"</formula>
    </cfRule>
  </conditionalFormatting>
  <conditionalFormatting sqref="E3">
    <cfRule type="cellIs" dxfId="1133" priority="1228" stopIfTrue="1" operator="equal">
      <formula>"Yes"</formula>
    </cfRule>
  </conditionalFormatting>
  <conditionalFormatting sqref="E4">
    <cfRule type="cellIs" dxfId="1132" priority="1227" stopIfTrue="1" operator="equal">
      <formula>"Yes"</formula>
    </cfRule>
  </conditionalFormatting>
  <conditionalFormatting sqref="G22:G44">
    <cfRule type="expression" dxfId="1131" priority="1224">
      <formula>"If(b13=""Yes"",1,0)"</formula>
    </cfRule>
    <cfRule type="expression" dxfId="1130" priority="1225">
      <formula>"if(b13='Yes')"</formula>
    </cfRule>
    <cfRule type="expression" dxfId="1129" priority="1226">
      <formula>"if(B13='Yes'"</formula>
    </cfRule>
  </conditionalFormatting>
  <conditionalFormatting sqref="H3">
    <cfRule type="cellIs" dxfId="1128" priority="1223" stopIfTrue="1" operator="equal">
      <formula>"Yes"</formula>
    </cfRule>
  </conditionalFormatting>
  <conditionalFormatting sqref="H4">
    <cfRule type="cellIs" dxfId="1127" priority="1222" stopIfTrue="1" operator="equal">
      <formula>"Yes"</formula>
    </cfRule>
  </conditionalFormatting>
  <conditionalFormatting sqref="J22:J44">
    <cfRule type="expression" dxfId="1126" priority="1219">
      <formula>"If(b13=""Yes"",1,0)"</formula>
    </cfRule>
    <cfRule type="expression" dxfId="1125" priority="1220">
      <formula>"if(b13='Yes')"</formula>
    </cfRule>
    <cfRule type="expression" dxfId="1124" priority="1221">
      <formula>"if(B13='Yes'"</formula>
    </cfRule>
  </conditionalFormatting>
  <conditionalFormatting sqref="K3">
    <cfRule type="cellIs" dxfId="1123" priority="1218" stopIfTrue="1" operator="equal">
      <formula>"Yes"</formula>
    </cfRule>
  </conditionalFormatting>
  <conditionalFormatting sqref="K4">
    <cfRule type="cellIs" dxfId="1122" priority="1217" stopIfTrue="1" operator="equal">
      <formula>"Yes"</formula>
    </cfRule>
  </conditionalFormatting>
  <conditionalFormatting sqref="M22:M44">
    <cfRule type="expression" dxfId="1121" priority="1214">
      <formula>"If(b13=""Yes"",1,0)"</formula>
    </cfRule>
    <cfRule type="expression" dxfId="1120" priority="1215">
      <formula>"if(b13='Yes')"</formula>
    </cfRule>
    <cfRule type="expression" dxfId="1119" priority="1216">
      <formula>"if(B13='Yes'"</formula>
    </cfRule>
  </conditionalFormatting>
  <conditionalFormatting sqref="N3">
    <cfRule type="cellIs" dxfId="1118" priority="1213" stopIfTrue="1" operator="equal">
      <formula>"Yes"</formula>
    </cfRule>
  </conditionalFormatting>
  <conditionalFormatting sqref="N4">
    <cfRule type="cellIs" dxfId="1117" priority="1212" stopIfTrue="1" operator="equal">
      <formula>"Yes"</formula>
    </cfRule>
  </conditionalFormatting>
  <conditionalFormatting sqref="P22:P44">
    <cfRule type="expression" dxfId="1116" priority="1209">
      <formula>"If(b13=""Yes"",1,0)"</formula>
    </cfRule>
    <cfRule type="expression" dxfId="1115" priority="1210">
      <formula>"if(b13='Yes')"</formula>
    </cfRule>
    <cfRule type="expression" dxfId="1114" priority="1211">
      <formula>"if(B13='Yes'"</formula>
    </cfRule>
  </conditionalFormatting>
  <conditionalFormatting sqref="Q3">
    <cfRule type="cellIs" dxfId="1113" priority="1208" stopIfTrue="1" operator="equal">
      <formula>"Yes"</formula>
    </cfRule>
  </conditionalFormatting>
  <conditionalFormatting sqref="Q4">
    <cfRule type="cellIs" dxfId="1112" priority="1207" stopIfTrue="1" operator="equal">
      <formula>"Yes"</formula>
    </cfRule>
  </conditionalFormatting>
  <conditionalFormatting sqref="S22:S44">
    <cfRule type="expression" dxfId="1111" priority="1204">
      <formula>"If(b13=""Yes"",1,0)"</formula>
    </cfRule>
    <cfRule type="expression" dxfId="1110" priority="1205">
      <formula>"if(b13='Yes')"</formula>
    </cfRule>
    <cfRule type="expression" dxfId="1109" priority="1206">
      <formula>"if(B13='Yes'"</formula>
    </cfRule>
  </conditionalFormatting>
  <conditionalFormatting sqref="T3">
    <cfRule type="cellIs" dxfId="1108" priority="1203" stopIfTrue="1" operator="equal">
      <formula>"Yes"</formula>
    </cfRule>
  </conditionalFormatting>
  <conditionalFormatting sqref="T4">
    <cfRule type="cellIs" dxfId="1107" priority="1202" stopIfTrue="1" operator="equal">
      <formula>"Yes"</formula>
    </cfRule>
  </conditionalFormatting>
  <conditionalFormatting sqref="V61">
    <cfRule type="expression" dxfId="1106" priority="1193">
      <formula>"If(b13=""Yes"",1,0)"</formula>
    </cfRule>
    <cfRule type="expression" dxfId="1105" priority="1194">
      <formula>"if(b13='Yes')"</formula>
    </cfRule>
    <cfRule type="expression" dxfId="1104" priority="1195">
      <formula>"if(B13='Yes'"</formula>
    </cfRule>
  </conditionalFormatting>
  <conditionalFormatting sqref="G61">
    <cfRule type="expression" dxfId="1103" priority="1196">
      <formula>"If(b13=""Yes"",1,0)"</formula>
    </cfRule>
    <cfRule type="expression" dxfId="1102" priority="1197">
      <formula>"if(b13='Yes')"</formula>
    </cfRule>
    <cfRule type="expression" dxfId="1101" priority="1198">
      <formula>"if(B13='Yes'"</formula>
    </cfRule>
  </conditionalFormatting>
  <conditionalFormatting sqref="V62:V65 V59:V60">
    <cfRule type="expression" dxfId="1100" priority="1175">
      <formula>"If(b13=""Yes"",1,0)"</formula>
    </cfRule>
    <cfRule type="expression" dxfId="1099" priority="1176">
      <formula>"if(b13='Yes')"</formula>
    </cfRule>
    <cfRule type="expression" dxfId="1098" priority="1177">
      <formula>"if(B13='Yes'"</formula>
    </cfRule>
  </conditionalFormatting>
  <conditionalFormatting sqref="V58">
    <cfRule type="expression" dxfId="1097" priority="1145">
      <formula>"If(b13=""Yes"",1,0)"</formula>
    </cfRule>
    <cfRule type="expression" dxfId="1096" priority="1146">
      <formula>"if(b13='Yes')"</formula>
    </cfRule>
    <cfRule type="expression" dxfId="1095" priority="1147">
      <formula>"if(B13='Yes'"</formula>
    </cfRule>
  </conditionalFormatting>
  <conditionalFormatting sqref="G62:G65 G59:G60">
    <cfRule type="expression" dxfId="1094" priority="1190">
      <formula>"If(b13=""Yes"",1,0)"</formula>
    </cfRule>
    <cfRule type="expression" dxfId="1093" priority="1191">
      <formula>"if(b13='Yes')"</formula>
    </cfRule>
    <cfRule type="expression" dxfId="1092" priority="1192">
      <formula>"if(B13='Yes'"</formula>
    </cfRule>
  </conditionalFormatting>
  <conditionalFormatting sqref="J62:J65 J59:J60">
    <cfRule type="expression" dxfId="1091" priority="1187">
      <formula>"If(b13=""Yes"",1,0)"</formula>
    </cfRule>
    <cfRule type="expression" dxfId="1090" priority="1188">
      <formula>"if(b13='Yes')"</formula>
    </cfRule>
    <cfRule type="expression" dxfId="1089" priority="1189">
      <formula>"if(B13='Yes'"</formula>
    </cfRule>
  </conditionalFormatting>
  <conditionalFormatting sqref="M62:M65 M59:M60">
    <cfRule type="expression" dxfId="1088" priority="1184">
      <formula>"If(b13=""Yes"",1,0)"</formula>
    </cfRule>
    <cfRule type="expression" dxfId="1087" priority="1185">
      <formula>"if(b13='Yes')"</formula>
    </cfRule>
    <cfRule type="expression" dxfId="1086" priority="1186">
      <formula>"if(B13='Yes'"</formula>
    </cfRule>
  </conditionalFormatting>
  <conditionalFormatting sqref="P62:P65 P59:P60">
    <cfRule type="expression" dxfId="1085" priority="1181">
      <formula>"If(b13=""Yes"",1,0)"</formula>
    </cfRule>
    <cfRule type="expression" dxfId="1084" priority="1182">
      <formula>"if(b13='Yes')"</formula>
    </cfRule>
    <cfRule type="expression" dxfId="1083" priority="1183">
      <formula>"if(B13='Yes'"</formula>
    </cfRule>
  </conditionalFormatting>
  <conditionalFormatting sqref="S62:S65 S59:S60">
    <cfRule type="expression" dxfId="1082" priority="1178">
      <formula>"If(b13=""Yes"",1,0)"</formula>
    </cfRule>
    <cfRule type="expression" dxfId="1081" priority="1179">
      <formula>"if(b13='Yes')"</formula>
    </cfRule>
    <cfRule type="expression" dxfId="1080" priority="1180">
      <formula>"if(B13='Yes'"</formula>
    </cfRule>
  </conditionalFormatting>
  <conditionalFormatting sqref="J61">
    <cfRule type="expression" dxfId="1079" priority="1172">
      <formula>"If(b13=""Yes"",1,0)"</formula>
    </cfRule>
    <cfRule type="expression" dxfId="1078" priority="1173">
      <formula>"if(b13='Yes')"</formula>
    </cfRule>
    <cfRule type="expression" dxfId="1077" priority="1174">
      <formula>"if(B13='Yes'"</formula>
    </cfRule>
  </conditionalFormatting>
  <conditionalFormatting sqref="M61">
    <cfRule type="expression" dxfId="1076" priority="1169">
      <formula>"If(b13=""Yes"",1,0)"</formula>
    </cfRule>
    <cfRule type="expression" dxfId="1075" priority="1170">
      <formula>"if(b13='Yes')"</formula>
    </cfRule>
    <cfRule type="expression" dxfId="1074" priority="1171">
      <formula>"if(B13='Yes'"</formula>
    </cfRule>
  </conditionalFormatting>
  <conditionalFormatting sqref="P61">
    <cfRule type="expression" dxfId="1073" priority="1166">
      <formula>"If(b13=""Yes"",1,0)"</formula>
    </cfRule>
    <cfRule type="expression" dxfId="1072" priority="1167">
      <formula>"if(b13='Yes')"</formula>
    </cfRule>
    <cfRule type="expression" dxfId="1071" priority="1168">
      <formula>"if(B13='Yes'"</formula>
    </cfRule>
  </conditionalFormatting>
  <conditionalFormatting sqref="S61">
    <cfRule type="expression" dxfId="1070" priority="1163">
      <formula>"If(b13=""Yes"",1,0)"</formula>
    </cfRule>
    <cfRule type="expression" dxfId="1069" priority="1164">
      <formula>"if(b13='Yes')"</formula>
    </cfRule>
    <cfRule type="expression" dxfId="1068" priority="1165">
      <formula>"if(B13='Yes'"</formula>
    </cfRule>
  </conditionalFormatting>
  <conditionalFormatting sqref="D58">
    <cfRule type="expression" dxfId="1067" priority="1160">
      <formula>"If(b13=""Yes"",1,0)"</formula>
    </cfRule>
    <cfRule type="expression" dxfId="1066" priority="1161">
      <formula>"if(b13='Yes')"</formula>
    </cfRule>
    <cfRule type="expression" dxfId="1065" priority="1162">
      <formula>"if(B13='Yes'"</formula>
    </cfRule>
  </conditionalFormatting>
  <conditionalFormatting sqref="G58">
    <cfRule type="expression" dxfId="1064" priority="1157">
      <formula>"If(b13=""Yes"",1,0)"</formula>
    </cfRule>
    <cfRule type="expression" dxfId="1063" priority="1158">
      <formula>"if(b13='Yes')"</formula>
    </cfRule>
    <cfRule type="expression" dxfId="1062" priority="1159">
      <formula>"if(B13='Yes'"</formula>
    </cfRule>
  </conditionalFormatting>
  <conditionalFormatting sqref="J58">
    <cfRule type="expression" dxfId="1061" priority="1154">
      <formula>"If(b13=""Yes"",1,0)"</formula>
    </cfRule>
    <cfRule type="expression" dxfId="1060" priority="1155">
      <formula>"if(b13='Yes')"</formula>
    </cfRule>
    <cfRule type="expression" dxfId="1059" priority="1156">
      <formula>"if(B13='Yes'"</formula>
    </cfRule>
  </conditionalFormatting>
  <conditionalFormatting sqref="M58">
    <cfRule type="expression" dxfId="1058" priority="1151">
      <formula>"If(b13=""Yes"",1,0)"</formula>
    </cfRule>
    <cfRule type="expression" dxfId="1057" priority="1152">
      <formula>"if(b13='Yes')"</formula>
    </cfRule>
    <cfRule type="expression" dxfId="1056" priority="1153">
      <formula>"if(B13='Yes'"</formula>
    </cfRule>
  </conditionalFormatting>
  <conditionalFormatting sqref="P58">
    <cfRule type="expression" dxfId="1055" priority="1148">
      <formula>"If(b13=""Yes"",1,0)"</formula>
    </cfRule>
    <cfRule type="expression" dxfId="1054" priority="1149">
      <formula>"if(b13='Yes')"</formula>
    </cfRule>
    <cfRule type="expression" dxfId="1053" priority="1150">
      <formula>"if(B13='Yes'"</formula>
    </cfRule>
  </conditionalFormatting>
  <conditionalFormatting sqref="Y22:Y44">
    <cfRule type="expression" dxfId="1052" priority="1140">
      <formula>"If(b13=""Yes"",1,0)"</formula>
    </cfRule>
    <cfRule type="expression" dxfId="1051" priority="1141">
      <formula>"if(b13='Yes')"</formula>
    </cfRule>
    <cfRule type="expression" dxfId="1050" priority="1142">
      <formula>"if(B13='Yes'"</formula>
    </cfRule>
  </conditionalFormatting>
  <conditionalFormatting sqref="W3">
    <cfRule type="cellIs" dxfId="1049" priority="1144" stopIfTrue="1" operator="equal">
      <formula>"Yes"</formula>
    </cfRule>
  </conditionalFormatting>
  <conditionalFormatting sqref="W4">
    <cfRule type="cellIs" dxfId="1048" priority="1143" stopIfTrue="1" operator="equal">
      <formula>"Yes"</formula>
    </cfRule>
  </conditionalFormatting>
  <conditionalFormatting sqref="AB22:AB44">
    <cfRule type="expression" dxfId="1047" priority="1135">
      <formula>"If(b13=""Yes"",1,0)"</formula>
    </cfRule>
    <cfRule type="expression" dxfId="1046" priority="1136">
      <formula>"if(b13='Yes')"</formula>
    </cfRule>
    <cfRule type="expression" dxfId="1045" priority="1137">
      <formula>"if(B13='Yes'"</formula>
    </cfRule>
  </conditionalFormatting>
  <conditionalFormatting sqref="Z3">
    <cfRule type="cellIs" dxfId="1044" priority="1139" stopIfTrue="1" operator="equal">
      <formula>"Yes"</formula>
    </cfRule>
  </conditionalFormatting>
  <conditionalFormatting sqref="Z4">
    <cfRule type="cellIs" dxfId="1043" priority="1138" stopIfTrue="1" operator="equal">
      <formula>"Yes"</formula>
    </cfRule>
  </conditionalFormatting>
  <conditionalFormatting sqref="AE22:AE44">
    <cfRule type="expression" dxfId="1042" priority="1130">
      <formula>"If(b13=""Yes"",1,0)"</formula>
    </cfRule>
    <cfRule type="expression" dxfId="1041" priority="1131">
      <formula>"if(b13='Yes')"</formula>
    </cfRule>
    <cfRule type="expression" dxfId="1040" priority="1132">
      <formula>"if(B13='Yes'"</formula>
    </cfRule>
  </conditionalFormatting>
  <conditionalFormatting sqref="AC3">
    <cfRule type="cellIs" dxfId="1039" priority="1134" stopIfTrue="1" operator="equal">
      <formula>"Yes"</formula>
    </cfRule>
  </conditionalFormatting>
  <conditionalFormatting sqref="AC4">
    <cfRule type="cellIs" dxfId="1038" priority="1133" stopIfTrue="1" operator="equal">
      <formula>"Yes"</formula>
    </cfRule>
  </conditionalFormatting>
  <conditionalFormatting sqref="AH22:AH44">
    <cfRule type="expression" dxfId="1037" priority="1125">
      <formula>"If(b13=""Yes"",1,0)"</formula>
    </cfRule>
    <cfRule type="expression" dxfId="1036" priority="1126">
      <formula>"if(b13='Yes')"</formula>
    </cfRule>
    <cfRule type="expression" dxfId="1035" priority="1127">
      <formula>"if(B13='Yes'"</formula>
    </cfRule>
  </conditionalFormatting>
  <conditionalFormatting sqref="AF3">
    <cfRule type="cellIs" dxfId="1034" priority="1129" stopIfTrue="1" operator="equal">
      <formula>"Yes"</formula>
    </cfRule>
  </conditionalFormatting>
  <conditionalFormatting sqref="AF4">
    <cfRule type="cellIs" dxfId="1033" priority="1128" stopIfTrue="1" operator="equal">
      <formula>"Yes"</formula>
    </cfRule>
  </conditionalFormatting>
  <conditionalFormatting sqref="AK22:AK44">
    <cfRule type="expression" dxfId="1032" priority="1120">
      <formula>"If(b13=""Yes"",1,0)"</formula>
    </cfRule>
    <cfRule type="expression" dxfId="1031" priority="1121">
      <formula>"if(b13='Yes')"</formula>
    </cfRule>
    <cfRule type="expression" dxfId="1030" priority="1122">
      <formula>"if(B13='Yes'"</formula>
    </cfRule>
  </conditionalFormatting>
  <conditionalFormatting sqref="AI3">
    <cfRule type="cellIs" dxfId="1029" priority="1124" stopIfTrue="1" operator="equal">
      <formula>"Yes"</formula>
    </cfRule>
  </conditionalFormatting>
  <conditionalFormatting sqref="AI4">
    <cfRule type="cellIs" dxfId="1028" priority="1123" stopIfTrue="1" operator="equal">
      <formula>"Yes"</formula>
    </cfRule>
  </conditionalFormatting>
  <conditionalFormatting sqref="AN22:AN44">
    <cfRule type="expression" dxfId="1027" priority="1115">
      <formula>"If(b13=""Yes"",1,0)"</formula>
    </cfRule>
    <cfRule type="expression" dxfId="1026" priority="1116">
      <formula>"if(b13='Yes')"</formula>
    </cfRule>
    <cfRule type="expression" dxfId="1025" priority="1117">
      <formula>"if(B13='Yes'"</formula>
    </cfRule>
  </conditionalFormatting>
  <conditionalFormatting sqref="AL3">
    <cfRule type="cellIs" dxfId="1024" priority="1119" stopIfTrue="1" operator="equal">
      <formula>"Yes"</formula>
    </cfRule>
  </conditionalFormatting>
  <conditionalFormatting sqref="AL4">
    <cfRule type="cellIs" dxfId="1023" priority="1118" stopIfTrue="1" operator="equal">
      <formula>"Yes"</formula>
    </cfRule>
  </conditionalFormatting>
  <conditionalFormatting sqref="AQ22:AQ44">
    <cfRule type="expression" dxfId="1022" priority="1110">
      <formula>"If(b13=""Yes"",1,0)"</formula>
    </cfRule>
    <cfRule type="expression" dxfId="1021" priority="1111">
      <formula>"if(b13='Yes')"</formula>
    </cfRule>
    <cfRule type="expression" dxfId="1020" priority="1112">
      <formula>"if(B13='Yes'"</formula>
    </cfRule>
  </conditionalFormatting>
  <conditionalFormatting sqref="AO3">
    <cfRule type="cellIs" dxfId="1019" priority="1114" stopIfTrue="1" operator="equal">
      <formula>"Yes"</formula>
    </cfRule>
  </conditionalFormatting>
  <conditionalFormatting sqref="AO4">
    <cfRule type="cellIs" dxfId="1018" priority="1113" stopIfTrue="1" operator="equal">
      <formula>"Yes"</formula>
    </cfRule>
  </conditionalFormatting>
  <conditionalFormatting sqref="AT22:AT44">
    <cfRule type="expression" dxfId="1017" priority="1105">
      <formula>"If(b13=""Yes"",1,0)"</formula>
    </cfRule>
    <cfRule type="expression" dxfId="1016" priority="1106">
      <formula>"if(b13='Yes')"</formula>
    </cfRule>
    <cfRule type="expression" dxfId="1015" priority="1107">
      <formula>"if(B13='Yes'"</formula>
    </cfRule>
  </conditionalFormatting>
  <conditionalFormatting sqref="AR3">
    <cfRule type="cellIs" dxfId="1014" priority="1109" stopIfTrue="1" operator="equal">
      <formula>"Yes"</formula>
    </cfRule>
  </conditionalFormatting>
  <conditionalFormatting sqref="AR4">
    <cfRule type="cellIs" dxfId="1013" priority="1108" stopIfTrue="1" operator="equal">
      <formula>"Yes"</formula>
    </cfRule>
  </conditionalFormatting>
  <conditionalFormatting sqref="AW22:AW44">
    <cfRule type="expression" dxfId="1012" priority="1100">
      <formula>"If(b13=""Yes"",1,0)"</formula>
    </cfRule>
    <cfRule type="expression" dxfId="1011" priority="1101">
      <formula>"if(b13='Yes')"</formula>
    </cfRule>
    <cfRule type="expression" dxfId="1010" priority="1102">
      <formula>"if(B13='Yes'"</formula>
    </cfRule>
  </conditionalFormatting>
  <conditionalFormatting sqref="AU3">
    <cfRule type="cellIs" dxfId="1009" priority="1104" stopIfTrue="1" operator="equal">
      <formula>"Yes"</formula>
    </cfRule>
  </conditionalFormatting>
  <conditionalFormatting sqref="AU4">
    <cfRule type="cellIs" dxfId="1008" priority="1103" stopIfTrue="1" operator="equal">
      <formula>"Yes"</formula>
    </cfRule>
  </conditionalFormatting>
  <conditionalFormatting sqref="AZ22:AZ44">
    <cfRule type="expression" dxfId="1007" priority="1095">
      <formula>"If(b13=""Yes"",1,0)"</formula>
    </cfRule>
    <cfRule type="expression" dxfId="1006" priority="1096">
      <formula>"if(b13='Yes')"</formula>
    </cfRule>
    <cfRule type="expression" dxfId="1005" priority="1097">
      <formula>"if(B13='Yes'"</formula>
    </cfRule>
  </conditionalFormatting>
  <conditionalFormatting sqref="AX3">
    <cfRule type="cellIs" dxfId="1004" priority="1099" stopIfTrue="1" operator="equal">
      <formula>"Yes"</formula>
    </cfRule>
  </conditionalFormatting>
  <conditionalFormatting sqref="AX4">
    <cfRule type="cellIs" dxfId="1003" priority="1098" stopIfTrue="1" operator="equal">
      <formula>"Yes"</formula>
    </cfRule>
  </conditionalFormatting>
  <conditionalFormatting sqref="BC22:BC44">
    <cfRule type="expression" dxfId="1002" priority="1090">
      <formula>"If(b13=""Yes"",1,0)"</formula>
    </cfRule>
    <cfRule type="expression" dxfId="1001" priority="1091">
      <formula>"if(b13='Yes')"</formula>
    </cfRule>
    <cfRule type="expression" dxfId="1000" priority="1092">
      <formula>"if(B13='Yes'"</formula>
    </cfRule>
  </conditionalFormatting>
  <conditionalFormatting sqref="BA3">
    <cfRule type="cellIs" dxfId="999" priority="1094" stopIfTrue="1" operator="equal">
      <formula>"Yes"</formula>
    </cfRule>
  </conditionalFormatting>
  <conditionalFormatting sqref="BA4">
    <cfRule type="cellIs" dxfId="998" priority="1093" stopIfTrue="1" operator="equal">
      <formula>"Yes"</formula>
    </cfRule>
  </conditionalFormatting>
  <conditionalFormatting sqref="BF22:BF44">
    <cfRule type="expression" dxfId="997" priority="1085">
      <formula>"If(b13=""Yes"",1,0)"</formula>
    </cfRule>
    <cfRule type="expression" dxfId="996" priority="1086">
      <formula>"if(b13='Yes')"</formula>
    </cfRule>
    <cfRule type="expression" dxfId="995" priority="1087">
      <formula>"if(B13='Yes'"</formula>
    </cfRule>
  </conditionalFormatting>
  <conditionalFormatting sqref="BD3">
    <cfRule type="cellIs" dxfId="994" priority="1089" stopIfTrue="1" operator="equal">
      <formula>"Yes"</formula>
    </cfRule>
  </conditionalFormatting>
  <conditionalFormatting sqref="BD4">
    <cfRule type="cellIs" dxfId="993" priority="1088" stopIfTrue="1" operator="equal">
      <formula>"Yes"</formula>
    </cfRule>
  </conditionalFormatting>
  <conditionalFormatting sqref="BI22:BI44">
    <cfRule type="expression" dxfId="992" priority="1080">
      <formula>"If(b13=""Yes"",1,0)"</formula>
    </cfRule>
    <cfRule type="expression" dxfId="991" priority="1081">
      <formula>"if(b13='Yes')"</formula>
    </cfRule>
    <cfRule type="expression" dxfId="990" priority="1082">
      <formula>"if(B13='Yes'"</formula>
    </cfRule>
  </conditionalFormatting>
  <conditionalFormatting sqref="BG3">
    <cfRule type="cellIs" dxfId="989" priority="1084" stopIfTrue="1" operator="equal">
      <formula>"Yes"</formula>
    </cfRule>
  </conditionalFormatting>
  <conditionalFormatting sqref="BG4">
    <cfRule type="cellIs" dxfId="988" priority="1083" stopIfTrue="1" operator="equal">
      <formula>"Yes"</formula>
    </cfRule>
  </conditionalFormatting>
  <conditionalFormatting sqref="BL22:BL44">
    <cfRule type="expression" dxfId="987" priority="1075">
      <formula>"If(b13=""Yes"",1,0)"</formula>
    </cfRule>
    <cfRule type="expression" dxfId="986" priority="1076">
      <formula>"if(b13='Yes')"</formula>
    </cfRule>
    <cfRule type="expression" dxfId="985" priority="1077">
      <formula>"if(B13='Yes'"</formula>
    </cfRule>
  </conditionalFormatting>
  <conditionalFormatting sqref="BJ3">
    <cfRule type="cellIs" dxfId="984" priority="1079" stopIfTrue="1" operator="equal">
      <formula>"Yes"</formula>
    </cfRule>
  </conditionalFormatting>
  <conditionalFormatting sqref="BJ4">
    <cfRule type="cellIs" dxfId="983" priority="1078" stopIfTrue="1" operator="equal">
      <formula>"Yes"</formula>
    </cfRule>
  </conditionalFormatting>
  <conditionalFormatting sqref="BO22:BO44">
    <cfRule type="expression" dxfId="982" priority="1070">
      <formula>"If(b13=""Yes"",1,0)"</formula>
    </cfRule>
    <cfRule type="expression" dxfId="981" priority="1071">
      <formula>"if(b13='Yes')"</formula>
    </cfRule>
    <cfRule type="expression" dxfId="980" priority="1072">
      <formula>"if(B13='Yes'"</formula>
    </cfRule>
  </conditionalFormatting>
  <conditionalFormatting sqref="BM3">
    <cfRule type="cellIs" dxfId="979" priority="1074" stopIfTrue="1" operator="equal">
      <formula>"Yes"</formula>
    </cfRule>
  </conditionalFormatting>
  <conditionalFormatting sqref="BM4">
    <cfRule type="cellIs" dxfId="978" priority="1073" stopIfTrue="1" operator="equal">
      <formula>"Yes"</formula>
    </cfRule>
  </conditionalFormatting>
  <conditionalFormatting sqref="BR22:BR44">
    <cfRule type="expression" dxfId="977" priority="1065">
      <formula>"If(b13=""Yes"",1,0)"</formula>
    </cfRule>
    <cfRule type="expression" dxfId="976" priority="1066">
      <formula>"if(b13='Yes')"</formula>
    </cfRule>
    <cfRule type="expression" dxfId="975" priority="1067">
      <formula>"if(B13='Yes'"</formula>
    </cfRule>
  </conditionalFormatting>
  <conditionalFormatting sqref="BP3">
    <cfRule type="cellIs" dxfId="974" priority="1069" stopIfTrue="1" operator="equal">
      <formula>"Yes"</formula>
    </cfRule>
  </conditionalFormatting>
  <conditionalFormatting sqref="BP4">
    <cfRule type="cellIs" dxfId="973" priority="1068" stopIfTrue="1" operator="equal">
      <formula>"Yes"</formula>
    </cfRule>
  </conditionalFormatting>
  <conditionalFormatting sqref="BU22:BU44">
    <cfRule type="expression" dxfId="972" priority="1060">
      <formula>"If(b13=""Yes"",1,0)"</formula>
    </cfRule>
    <cfRule type="expression" dxfId="971" priority="1061">
      <formula>"if(b13='Yes')"</formula>
    </cfRule>
    <cfRule type="expression" dxfId="970" priority="1062">
      <formula>"if(B13='Yes'"</formula>
    </cfRule>
  </conditionalFormatting>
  <conditionalFormatting sqref="BS3">
    <cfRule type="cellIs" dxfId="969" priority="1064" stopIfTrue="1" operator="equal">
      <formula>"Yes"</formula>
    </cfRule>
  </conditionalFormatting>
  <conditionalFormatting sqref="BS4">
    <cfRule type="cellIs" dxfId="968" priority="1063" stopIfTrue="1" operator="equal">
      <formula>"Yes"</formula>
    </cfRule>
  </conditionalFormatting>
  <conditionalFormatting sqref="BX22:BX44">
    <cfRule type="expression" dxfId="967" priority="1055">
      <formula>"If(b13=""Yes"",1,0)"</formula>
    </cfRule>
    <cfRule type="expression" dxfId="966" priority="1056">
      <formula>"if(b13='Yes')"</formula>
    </cfRule>
    <cfRule type="expression" dxfId="965" priority="1057">
      <formula>"if(B13='Yes'"</formula>
    </cfRule>
  </conditionalFormatting>
  <conditionalFormatting sqref="BV3">
    <cfRule type="cellIs" dxfId="964" priority="1059" stopIfTrue="1" operator="equal">
      <formula>"Yes"</formula>
    </cfRule>
  </conditionalFormatting>
  <conditionalFormatting sqref="BV4">
    <cfRule type="cellIs" dxfId="963" priority="1058" stopIfTrue="1" operator="equal">
      <formula>"Yes"</formula>
    </cfRule>
  </conditionalFormatting>
  <conditionalFormatting sqref="CA22:CA44">
    <cfRule type="expression" dxfId="962" priority="1050">
      <formula>"If(b13=""Yes"",1,0)"</formula>
    </cfRule>
    <cfRule type="expression" dxfId="961" priority="1051">
      <formula>"if(b13='Yes')"</formula>
    </cfRule>
    <cfRule type="expression" dxfId="960" priority="1052">
      <formula>"if(B13='Yes'"</formula>
    </cfRule>
  </conditionalFormatting>
  <conditionalFormatting sqref="BY3">
    <cfRule type="cellIs" dxfId="959" priority="1054" stopIfTrue="1" operator="equal">
      <formula>"Yes"</formula>
    </cfRule>
  </conditionalFormatting>
  <conditionalFormatting sqref="BY4">
    <cfRule type="cellIs" dxfId="958" priority="1053" stopIfTrue="1" operator="equal">
      <formula>"Yes"</formula>
    </cfRule>
  </conditionalFormatting>
  <conditionalFormatting sqref="CD22:CD44">
    <cfRule type="expression" dxfId="957" priority="1045">
      <formula>"If(b13=""Yes"",1,0)"</formula>
    </cfRule>
    <cfRule type="expression" dxfId="956" priority="1046">
      <formula>"if(b13='Yes')"</formula>
    </cfRule>
    <cfRule type="expression" dxfId="955" priority="1047">
      <formula>"if(B13='Yes'"</formula>
    </cfRule>
  </conditionalFormatting>
  <conditionalFormatting sqref="CB3">
    <cfRule type="cellIs" dxfId="954" priority="1049" stopIfTrue="1" operator="equal">
      <formula>"Yes"</formula>
    </cfRule>
  </conditionalFormatting>
  <conditionalFormatting sqref="CB4">
    <cfRule type="cellIs" dxfId="953" priority="1048" stopIfTrue="1" operator="equal">
      <formula>"Yes"</formula>
    </cfRule>
  </conditionalFormatting>
  <conditionalFormatting sqref="CG22:CG44">
    <cfRule type="expression" dxfId="952" priority="1040">
      <formula>"If(b13=""Yes"",1,0)"</formula>
    </cfRule>
    <cfRule type="expression" dxfId="951" priority="1041">
      <formula>"if(b13='Yes')"</formula>
    </cfRule>
    <cfRule type="expression" dxfId="950" priority="1042">
      <formula>"if(B13='Yes'"</formula>
    </cfRule>
  </conditionalFormatting>
  <conditionalFormatting sqref="CE3">
    <cfRule type="cellIs" dxfId="949" priority="1044" stopIfTrue="1" operator="equal">
      <formula>"Yes"</formula>
    </cfRule>
  </conditionalFormatting>
  <conditionalFormatting sqref="CE4">
    <cfRule type="cellIs" dxfId="948" priority="1043" stopIfTrue="1" operator="equal">
      <formula>"Yes"</formula>
    </cfRule>
  </conditionalFormatting>
  <conditionalFormatting sqref="CJ22:CJ44">
    <cfRule type="expression" dxfId="947" priority="1035">
      <formula>"If(b13=""Yes"",1,0)"</formula>
    </cfRule>
    <cfRule type="expression" dxfId="946" priority="1036">
      <formula>"if(b13='Yes')"</formula>
    </cfRule>
    <cfRule type="expression" dxfId="945" priority="1037">
      <formula>"if(B13='Yes'"</formula>
    </cfRule>
  </conditionalFormatting>
  <conditionalFormatting sqref="CH3">
    <cfRule type="cellIs" dxfId="944" priority="1039" stopIfTrue="1" operator="equal">
      <formula>"Yes"</formula>
    </cfRule>
  </conditionalFormatting>
  <conditionalFormatting sqref="CH4">
    <cfRule type="cellIs" dxfId="943" priority="1038" stopIfTrue="1" operator="equal">
      <formula>"Yes"</formula>
    </cfRule>
  </conditionalFormatting>
  <conditionalFormatting sqref="CM22:CM44">
    <cfRule type="expression" dxfId="942" priority="1030">
      <formula>"If(b13=""Yes"",1,0)"</formula>
    </cfRule>
    <cfRule type="expression" dxfId="941" priority="1031">
      <formula>"if(b13='Yes')"</formula>
    </cfRule>
    <cfRule type="expression" dxfId="940" priority="1032">
      <formula>"if(B13='Yes'"</formula>
    </cfRule>
  </conditionalFormatting>
  <conditionalFormatting sqref="CK3">
    <cfRule type="cellIs" dxfId="939" priority="1034" stopIfTrue="1" operator="equal">
      <formula>"Yes"</formula>
    </cfRule>
  </conditionalFormatting>
  <conditionalFormatting sqref="CK4">
    <cfRule type="cellIs" dxfId="938" priority="1033" stopIfTrue="1" operator="equal">
      <formula>"Yes"</formula>
    </cfRule>
  </conditionalFormatting>
  <conditionalFormatting sqref="CP22:CP44">
    <cfRule type="expression" dxfId="937" priority="1025">
      <formula>"If(b13=""Yes"",1,0)"</formula>
    </cfRule>
    <cfRule type="expression" dxfId="936" priority="1026">
      <formula>"if(b13='Yes')"</formula>
    </cfRule>
    <cfRule type="expression" dxfId="935" priority="1027">
      <formula>"if(B13='Yes'"</formula>
    </cfRule>
  </conditionalFormatting>
  <conditionalFormatting sqref="CN3">
    <cfRule type="cellIs" dxfId="934" priority="1029" stopIfTrue="1" operator="equal">
      <formula>"Yes"</formula>
    </cfRule>
  </conditionalFormatting>
  <conditionalFormatting sqref="CN4">
    <cfRule type="cellIs" dxfId="933" priority="1028" stopIfTrue="1" operator="equal">
      <formula>"Yes"</formula>
    </cfRule>
  </conditionalFormatting>
  <conditionalFormatting sqref="Y61">
    <cfRule type="expression" dxfId="932" priority="1022">
      <formula>"If(b13=""Yes"",1,0)"</formula>
    </cfRule>
    <cfRule type="expression" dxfId="931" priority="1023">
      <formula>"if(b13='Yes')"</formula>
    </cfRule>
    <cfRule type="expression" dxfId="930" priority="1024">
      <formula>"if(B13='Yes'"</formula>
    </cfRule>
  </conditionalFormatting>
  <conditionalFormatting sqref="Y62:Y65 Y59:Y60">
    <cfRule type="expression" dxfId="929" priority="1019">
      <formula>"If(b13=""Yes"",1,0)"</formula>
    </cfRule>
    <cfRule type="expression" dxfId="928" priority="1020">
      <formula>"if(b13='Yes')"</formula>
    </cfRule>
    <cfRule type="expression" dxfId="927" priority="1021">
      <formula>"if(B13='Yes'"</formula>
    </cfRule>
  </conditionalFormatting>
  <conditionalFormatting sqref="Y58">
    <cfRule type="expression" dxfId="926" priority="1016">
      <formula>"If(b13=""Yes"",1,0)"</formula>
    </cfRule>
    <cfRule type="expression" dxfId="925" priority="1017">
      <formula>"if(b13='Yes')"</formula>
    </cfRule>
    <cfRule type="expression" dxfId="924" priority="1018">
      <formula>"if(B13='Yes'"</formula>
    </cfRule>
  </conditionalFormatting>
  <conditionalFormatting sqref="AB61">
    <cfRule type="expression" dxfId="923" priority="1013">
      <formula>"If(b13=""Yes"",1,0)"</formula>
    </cfRule>
    <cfRule type="expression" dxfId="922" priority="1014">
      <formula>"if(b13='Yes')"</formula>
    </cfRule>
    <cfRule type="expression" dxfId="921" priority="1015">
      <formula>"if(B13='Yes'"</formula>
    </cfRule>
  </conditionalFormatting>
  <conditionalFormatting sqref="AB62:AB65 AB59:AB60">
    <cfRule type="expression" dxfId="920" priority="1010">
      <formula>"If(b13=""Yes"",1,0)"</formula>
    </cfRule>
    <cfRule type="expression" dxfId="919" priority="1011">
      <formula>"if(b13='Yes')"</formula>
    </cfRule>
    <cfRule type="expression" dxfId="918" priority="1012">
      <formula>"if(B13='Yes'"</formula>
    </cfRule>
  </conditionalFormatting>
  <conditionalFormatting sqref="AB58">
    <cfRule type="expression" dxfId="917" priority="1007">
      <formula>"If(b13=""Yes"",1,0)"</formula>
    </cfRule>
    <cfRule type="expression" dxfId="916" priority="1008">
      <formula>"if(b13='Yes')"</formula>
    </cfRule>
    <cfRule type="expression" dxfId="915" priority="1009">
      <formula>"if(B13='Yes'"</formula>
    </cfRule>
  </conditionalFormatting>
  <conditionalFormatting sqref="AE61">
    <cfRule type="expression" dxfId="914" priority="1004">
      <formula>"If(b13=""Yes"",1,0)"</formula>
    </cfRule>
    <cfRule type="expression" dxfId="913" priority="1005">
      <formula>"if(b13='Yes')"</formula>
    </cfRule>
    <cfRule type="expression" dxfId="912" priority="1006">
      <formula>"if(B13='Yes'"</formula>
    </cfRule>
  </conditionalFormatting>
  <conditionalFormatting sqref="AE62:AE65 AE59:AE60">
    <cfRule type="expression" dxfId="911" priority="1001">
      <formula>"If(b13=""Yes"",1,0)"</formula>
    </cfRule>
    <cfRule type="expression" dxfId="910" priority="1002">
      <formula>"if(b13='Yes')"</formula>
    </cfRule>
    <cfRule type="expression" dxfId="909" priority="1003">
      <formula>"if(B13='Yes'"</formula>
    </cfRule>
  </conditionalFormatting>
  <conditionalFormatting sqref="AE58">
    <cfRule type="expression" dxfId="908" priority="998">
      <formula>"If(b13=""Yes"",1,0)"</formula>
    </cfRule>
    <cfRule type="expression" dxfId="907" priority="999">
      <formula>"if(b13='Yes')"</formula>
    </cfRule>
    <cfRule type="expression" dxfId="906" priority="1000">
      <formula>"if(B13='Yes'"</formula>
    </cfRule>
  </conditionalFormatting>
  <conditionalFormatting sqref="AH61">
    <cfRule type="expression" dxfId="905" priority="995">
      <formula>"If(b13=""Yes"",1,0)"</formula>
    </cfRule>
    <cfRule type="expression" dxfId="904" priority="996">
      <formula>"if(b13='Yes')"</formula>
    </cfRule>
    <cfRule type="expression" dxfId="903" priority="997">
      <formula>"if(B13='Yes'"</formula>
    </cfRule>
  </conditionalFormatting>
  <conditionalFormatting sqref="AH62:AH65 AH59:AH60">
    <cfRule type="expression" dxfId="902" priority="992">
      <formula>"If(b13=""Yes"",1,0)"</formula>
    </cfRule>
    <cfRule type="expression" dxfId="901" priority="993">
      <formula>"if(b13='Yes')"</formula>
    </cfRule>
    <cfRule type="expression" dxfId="900" priority="994">
      <formula>"if(B13='Yes'"</formula>
    </cfRule>
  </conditionalFormatting>
  <conditionalFormatting sqref="AH58">
    <cfRule type="expression" dxfId="899" priority="989">
      <formula>"If(b13=""Yes"",1,0)"</formula>
    </cfRule>
    <cfRule type="expression" dxfId="898" priority="990">
      <formula>"if(b13='Yes')"</formula>
    </cfRule>
    <cfRule type="expression" dxfId="897" priority="991">
      <formula>"if(B13='Yes'"</formula>
    </cfRule>
  </conditionalFormatting>
  <conditionalFormatting sqref="AK61">
    <cfRule type="expression" dxfId="896" priority="986">
      <formula>"If(b13=""Yes"",1,0)"</formula>
    </cfRule>
    <cfRule type="expression" dxfId="895" priority="987">
      <formula>"if(b13='Yes')"</formula>
    </cfRule>
    <cfRule type="expression" dxfId="894" priority="988">
      <formula>"if(B13='Yes'"</formula>
    </cfRule>
  </conditionalFormatting>
  <conditionalFormatting sqref="AK62:AK65 AK59:AK60">
    <cfRule type="expression" dxfId="893" priority="983">
      <formula>"If(b13=""Yes"",1,0)"</formula>
    </cfRule>
    <cfRule type="expression" dxfId="892" priority="984">
      <formula>"if(b13='Yes')"</formula>
    </cfRule>
    <cfRule type="expression" dxfId="891" priority="985">
      <formula>"if(B13='Yes'"</formula>
    </cfRule>
  </conditionalFormatting>
  <conditionalFormatting sqref="AK58">
    <cfRule type="expression" dxfId="890" priority="980">
      <formula>"If(b13=""Yes"",1,0)"</formula>
    </cfRule>
    <cfRule type="expression" dxfId="889" priority="981">
      <formula>"if(b13='Yes')"</formula>
    </cfRule>
    <cfRule type="expression" dxfId="888" priority="982">
      <formula>"if(B13='Yes'"</formula>
    </cfRule>
  </conditionalFormatting>
  <conditionalFormatting sqref="AN61">
    <cfRule type="expression" dxfId="887" priority="977">
      <formula>"If(b13=""Yes"",1,0)"</formula>
    </cfRule>
    <cfRule type="expression" dxfId="886" priority="978">
      <formula>"if(b13='Yes')"</formula>
    </cfRule>
    <cfRule type="expression" dxfId="885" priority="979">
      <formula>"if(B13='Yes'"</formula>
    </cfRule>
  </conditionalFormatting>
  <conditionalFormatting sqref="AN62:AN65 AN59:AN60">
    <cfRule type="expression" dxfId="884" priority="974">
      <formula>"If(b13=""Yes"",1,0)"</formula>
    </cfRule>
    <cfRule type="expression" dxfId="883" priority="975">
      <formula>"if(b13='Yes')"</formula>
    </cfRule>
    <cfRule type="expression" dxfId="882" priority="976">
      <formula>"if(B13='Yes'"</formula>
    </cfRule>
  </conditionalFormatting>
  <conditionalFormatting sqref="AN58">
    <cfRule type="expression" dxfId="881" priority="971">
      <formula>"If(b13=""Yes"",1,0)"</formula>
    </cfRule>
    <cfRule type="expression" dxfId="880" priority="972">
      <formula>"if(b13='Yes')"</formula>
    </cfRule>
    <cfRule type="expression" dxfId="879" priority="973">
      <formula>"if(B13='Yes'"</formula>
    </cfRule>
  </conditionalFormatting>
  <conditionalFormatting sqref="AQ61">
    <cfRule type="expression" dxfId="878" priority="968">
      <formula>"If(b13=""Yes"",1,0)"</formula>
    </cfRule>
    <cfRule type="expression" dxfId="877" priority="969">
      <formula>"if(b13='Yes')"</formula>
    </cfRule>
    <cfRule type="expression" dxfId="876" priority="970">
      <formula>"if(B13='Yes'"</formula>
    </cfRule>
  </conditionalFormatting>
  <conditionalFormatting sqref="AQ62:AQ65 AQ59:AQ60">
    <cfRule type="expression" dxfId="875" priority="965">
      <formula>"If(b13=""Yes"",1,0)"</formula>
    </cfRule>
    <cfRule type="expression" dxfId="874" priority="966">
      <formula>"if(b13='Yes')"</formula>
    </cfRule>
    <cfRule type="expression" dxfId="873" priority="967">
      <formula>"if(B13='Yes'"</formula>
    </cfRule>
  </conditionalFormatting>
  <conditionalFormatting sqref="AQ58">
    <cfRule type="expression" dxfId="872" priority="962">
      <formula>"If(b13=""Yes"",1,0)"</formula>
    </cfRule>
    <cfRule type="expression" dxfId="871" priority="963">
      <formula>"if(b13='Yes')"</formula>
    </cfRule>
    <cfRule type="expression" dxfId="870" priority="964">
      <formula>"if(B13='Yes'"</formula>
    </cfRule>
  </conditionalFormatting>
  <conditionalFormatting sqref="AT61">
    <cfRule type="expression" dxfId="869" priority="959">
      <formula>"If(b13=""Yes"",1,0)"</formula>
    </cfRule>
    <cfRule type="expression" dxfId="868" priority="960">
      <formula>"if(b13='Yes')"</formula>
    </cfRule>
    <cfRule type="expression" dxfId="867" priority="961">
      <formula>"if(B13='Yes'"</formula>
    </cfRule>
  </conditionalFormatting>
  <conditionalFormatting sqref="AT62:AT65 AT59:AT60">
    <cfRule type="expression" dxfId="866" priority="956">
      <formula>"If(b13=""Yes"",1,0)"</formula>
    </cfRule>
    <cfRule type="expression" dxfId="865" priority="957">
      <formula>"if(b13='Yes')"</formula>
    </cfRule>
    <cfRule type="expression" dxfId="864" priority="958">
      <formula>"if(B13='Yes'"</formula>
    </cfRule>
  </conditionalFormatting>
  <conditionalFormatting sqref="AT58">
    <cfRule type="expression" dxfId="863" priority="953">
      <formula>"If(b13=""Yes"",1,0)"</formula>
    </cfRule>
    <cfRule type="expression" dxfId="862" priority="954">
      <formula>"if(b13='Yes')"</formula>
    </cfRule>
    <cfRule type="expression" dxfId="861" priority="955">
      <formula>"if(B13='Yes'"</formula>
    </cfRule>
  </conditionalFormatting>
  <conditionalFormatting sqref="AW61">
    <cfRule type="expression" dxfId="860" priority="950">
      <formula>"If(b13=""Yes"",1,0)"</formula>
    </cfRule>
    <cfRule type="expression" dxfId="859" priority="951">
      <formula>"if(b13='Yes')"</formula>
    </cfRule>
    <cfRule type="expression" dxfId="858" priority="952">
      <formula>"if(B13='Yes'"</formula>
    </cfRule>
  </conditionalFormatting>
  <conditionalFormatting sqref="AW62:AW65 AW59:AW60">
    <cfRule type="expression" dxfId="857" priority="947">
      <formula>"If(b13=""Yes"",1,0)"</formula>
    </cfRule>
    <cfRule type="expression" dxfId="856" priority="948">
      <formula>"if(b13='Yes')"</formula>
    </cfRule>
    <cfRule type="expression" dxfId="855" priority="949">
      <formula>"if(B13='Yes'"</formula>
    </cfRule>
  </conditionalFormatting>
  <conditionalFormatting sqref="AW58">
    <cfRule type="expression" dxfId="854" priority="944">
      <formula>"If(b13=""Yes"",1,0)"</formula>
    </cfRule>
    <cfRule type="expression" dxfId="853" priority="945">
      <formula>"if(b13='Yes')"</formula>
    </cfRule>
    <cfRule type="expression" dxfId="852" priority="946">
      <formula>"if(B13='Yes'"</formula>
    </cfRule>
  </conditionalFormatting>
  <conditionalFormatting sqref="AZ61">
    <cfRule type="expression" dxfId="851" priority="941">
      <formula>"If(b13=""Yes"",1,0)"</formula>
    </cfRule>
    <cfRule type="expression" dxfId="850" priority="942">
      <formula>"if(b13='Yes')"</formula>
    </cfRule>
    <cfRule type="expression" dxfId="849" priority="943">
      <formula>"if(B13='Yes'"</formula>
    </cfRule>
  </conditionalFormatting>
  <conditionalFormatting sqref="AZ62:AZ65 AZ59:AZ60">
    <cfRule type="expression" dxfId="848" priority="938">
      <formula>"If(b13=""Yes"",1,0)"</formula>
    </cfRule>
    <cfRule type="expression" dxfId="847" priority="939">
      <formula>"if(b13='Yes')"</formula>
    </cfRule>
    <cfRule type="expression" dxfId="846" priority="940">
      <formula>"if(B13='Yes'"</formula>
    </cfRule>
  </conditionalFormatting>
  <conditionalFormatting sqref="AZ58">
    <cfRule type="expression" dxfId="845" priority="935">
      <formula>"If(b13=""Yes"",1,0)"</formula>
    </cfRule>
    <cfRule type="expression" dxfId="844" priority="936">
      <formula>"if(b13='Yes')"</formula>
    </cfRule>
    <cfRule type="expression" dxfId="843" priority="937">
      <formula>"if(B13='Yes'"</formula>
    </cfRule>
  </conditionalFormatting>
  <conditionalFormatting sqref="BC61">
    <cfRule type="expression" dxfId="842" priority="932">
      <formula>"If(b13=""Yes"",1,0)"</formula>
    </cfRule>
    <cfRule type="expression" dxfId="841" priority="933">
      <formula>"if(b13='Yes')"</formula>
    </cfRule>
    <cfRule type="expression" dxfId="840" priority="934">
      <formula>"if(B13='Yes'"</formula>
    </cfRule>
  </conditionalFormatting>
  <conditionalFormatting sqref="BC62:BC65 BC59:BC60">
    <cfRule type="expression" dxfId="839" priority="929">
      <formula>"If(b13=""Yes"",1,0)"</formula>
    </cfRule>
    <cfRule type="expression" dxfId="838" priority="930">
      <formula>"if(b13='Yes')"</formula>
    </cfRule>
    <cfRule type="expression" dxfId="837" priority="931">
      <formula>"if(B13='Yes'"</formula>
    </cfRule>
  </conditionalFormatting>
  <conditionalFormatting sqref="BC58">
    <cfRule type="expression" dxfId="836" priority="926">
      <formula>"If(b13=""Yes"",1,0)"</formula>
    </cfRule>
    <cfRule type="expression" dxfId="835" priority="927">
      <formula>"if(b13='Yes')"</formula>
    </cfRule>
    <cfRule type="expression" dxfId="834" priority="928">
      <formula>"if(B13='Yes'"</formula>
    </cfRule>
  </conditionalFormatting>
  <conditionalFormatting sqref="BF61">
    <cfRule type="expression" dxfId="833" priority="923">
      <formula>"If(b13=""Yes"",1,0)"</formula>
    </cfRule>
    <cfRule type="expression" dxfId="832" priority="924">
      <formula>"if(b13='Yes')"</formula>
    </cfRule>
    <cfRule type="expression" dxfId="831" priority="925">
      <formula>"if(B13='Yes'"</formula>
    </cfRule>
  </conditionalFormatting>
  <conditionalFormatting sqref="BF62:BF65 BF59:BF60">
    <cfRule type="expression" dxfId="830" priority="920">
      <formula>"If(b13=""Yes"",1,0)"</formula>
    </cfRule>
    <cfRule type="expression" dxfId="829" priority="921">
      <formula>"if(b13='Yes')"</formula>
    </cfRule>
    <cfRule type="expression" dxfId="828" priority="922">
      <formula>"if(B13='Yes'"</formula>
    </cfRule>
  </conditionalFormatting>
  <conditionalFormatting sqref="BF58">
    <cfRule type="expression" dxfId="827" priority="917">
      <formula>"If(b13=""Yes"",1,0)"</formula>
    </cfRule>
    <cfRule type="expression" dxfId="826" priority="918">
      <formula>"if(b13='Yes')"</formula>
    </cfRule>
    <cfRule type="expression" dxfId="825" priority="919">
      <formula>"if(B13='Yes'"</formula>
    </cfRule>
  </conditionalFormatting>
  <conditionalFormatting sqref="BI61">
    <cfRule type="expression" dxfId="824" priority="914">
      <formula>"If(b13=""Yes"",1,0)"</formula>
    </cfRule>
    <cfRule type="expression" dxfId="823" priority="915">
      <formula>"if(b13='Yes')"</formula>
    </cfRule>
    <cfRule type="expression" dxfId="822" priority="916">
      <formula>"if(B13='Yes'"</formula>
    </cfRule>
  </conditionalFormatting>
  <conditionalFormatting sqref="BI62:BI65 BI59:BI60">
    <cfRule type="expression" dxfId="821" priority="911">
      <formula>"If(b13=""Yes"",1,0)"</formula>
    </cfRule>
    <cfRule type="expression" dxfId="820" priority="912">
      <formula>"if(b13='Yes')"</formula>
    </cfRule>
    <cfRule type="expression" dxfId="819" priority="913">
      <formula>"if(B13='Yes'"</formula>
    </cfRule>
  </conditionalFormatting>
  <conditionalFormatting sqref="BI58">
    <cfRule type="expression" dxfId="818" priority="908">
      <formula>"If(b13=""Yes"",1,0)"</formula>
    </cfRule>
    <cfRule type="expression" dxfId="817" priority="909">
      <formula>"if(b13='Yes')"</formula>
    </cfRule>
    <cfRule type="expression" dxfId="816" priority="910">
      <formula>"if(B13='Yes'"</formula>
    </cfRule>
  </conditionalFormatting>
  <conditionalFormatting sqref="BL61">
    <cfRule type="expression" dxfId="815" priority="905">
      <formula>"If(b13=""Yes"",1,0)"</formula>
    </cfRule>
    <cfRule type="expression" dxfId="814" priority="906">
      <formula>"if(b13='Yes')"</formula>
    </cfRule>
    <cfRule type="expression" dxfId="813" priority="907">
      <formula>"if(B13='Yes'"</formula>
    </cfRule>
  </conditionalFormatting>
  <conditionalFormatting sqref="BL62:BL65 BL59:BL60">
    <cfRule type="expression" dxfId="812" priority="902">
      <formula>"If(b13=""Yes"",1,0)"</formula>
    </cfRule>
    <cfRule type="expression" dxfId="811" priority="903">
      <formula>"if(b13='Yes')"</formula>
    </cfRule>
    <cfRule type="expression" dxfId="810" priority="904">
      <formula>"if(B13='Yes'"</formula>
    </cfRule>
  </conditionalFormatting>
  <conditionalFormatting sqref="BL58">
    <cfRule type="expression" dxfId="809" priority="899">
      <formula>"If(b13=""Yes"",1,0)"</formula>
    </cfRule>
    <cfRule type="expression" dxfId="808" priority="900">
      <formula>"if(b13='Yes')"</formula>
    </cfRule>
    <cfRule type="expression" dxfId="807" priority="901">
      <formula>"if(B13='Yes'"</formula>
    </cfRule>
  </conditionalFormatting>
  <conditionalFormatting sqref="BO61">
    <cfRule type="expression" dxfId="806" priority="896">
      <formula>"If(b13=""Yes"",1,0)"</formula>
    </cfRule>
    <cfRule type="expression" dxfId="805" priority="897">
      <formula>"if(b13='Yes')"</formula>
    </cfRule>
    <cfRule type="expression" dxfId="804" priority="898">
      <formula>"if(B13='Yes'"</formula>
    </cfRule>
  </conditionalFormatting>
  <conditionalFormatting sqref="BO62:BO65 BO59:BO60">
    <cfRule type="expression" dxfId="803" priority="893">
      <formula>"If(b13=""Yes"",1,0)"</formula>
    </cfRule>
    <cfRule type="expression" dxfId="802" priority="894">
      <formula>"if(b13='Yes')"</formula>
    </cfRule>
    <cfRule type="expression" dxfId="801" priority="895">
      <formula>"if(B13='Yes'"</formula>
    </cfRule>
  </conditionalFormatting>
  <conditionalFormatting sqref="BO58">
    <cfRule type="expression" dxfId="800" priority="890">
      <formula>"If(b13=""Yes"",1,0)"</formula>
    </cfRule>
    <cfRule type="expression" dxfId="799" priority="891">
      <formula>"if(b13='Yes')"</formula>
    </cfRule>
    <cfRule type="expression" dxfId="798" priority="892">
      <formula>"if(B13='Yes'"</formula>
    </cfRule>
  </conditionalFormatting>
  <conditionalFormatting sqref="BR61">
    <cfRule type="expression" dxfId="797" priority="887">
      <formula>"If(b13=""Yes"",1,0)"</formula>
    </cfRule>
    <cfRule type="expression" dxfId="796" priority="888">
      <formula>"if(b13='Yes')"</formula>
    </cfRule>
    <cfRule type="expression" dxfId="795" priority="889">
      <formula>"if(B13='Yes'"</formula>
    </cfRule>
  </conditionalFormatting>
  <conditionalFormatting sqref="BR62:BR65 BR59:BR60">
    <cfRule type="expression" dxfId="794" priority="884">
      <formula>"If(b13=""Yes"",1,0)"</formula>
    </cfRule>
    <cfRule type="expression" dxfId="793" priority="885">
      <formula>"if(b13='Yes')"</formula>
    </cfRule>
    <cfRule type="expression" dxfId="792" priority="886">
      <formula>"if(B13='Yes'"</formula>
    </cfRule>
  </conditionalFormatting>
  <conditionalFormatting sqref="BR58">
    <cfRule type="expression" dxfId="791" priority="881">
      <formula>"If(b13=""Yes"",1,0)"</formula>
    </cfRule>
    <cfRule type="expression" dxfId="790" priority="882">
      <formula>"if(b13='Yes')"</formula>
    </cfRule>
    <cfRule type="expression" dxfId="789" priority="883">
      <formula>"if(B13='Yes'"</formula>
    </cfRule>
  </conditionalFormatting>
  <conditionalFormatting sqref="BU61">
    <cfRule type="expression" dxfId="788" priority="878">
      <formula>"If(b13=""Yes"",1,0)"</formula>
    </cfRule>
    <cfRule type="expression" dxfId="787" priority="879">
      <formula>"if(b13='Yes')"</formula>
    </cfRule>
    <cfRule type="expression" dxfId="786" priority="880">
      <formula>"if(B13='Yes'"</formula>
    </cfRule>
  </conditionalFormatting>
  <conditionalFormatting sqref="BU62:BU65 BU59:BU60">
    <cfRule type="expression" dxfId="785" priority="875">
      <formula>"If(b13=""Yes"",1,0)"</formula>
    </cfRule>
    <cfRule type="expression" dxfId="784" priority="876">
      <formula>"if(b13='Yes')"</formula>
    </cfRule>
    <cfRule type="expression" dxfId="783" priority="877">
      <formula>"if(B13='Yes'"</formula>
    </cfRule>
  </conditionalFormatting>
  <conditionalFormatting sqref="BU58">
    <cfRule type="expression" dxfId="782" priority="872">
      <formula>"If(b13=""Yes"",1,0)"</formula>
    </cfRule>
    <cfRule type="expression" dxfId="781" priority="873">
      <formula>"if(b13='Yes')"</formula>
    </cfRule>
    <cfRule type="expression" dxfId="780" priority="874">
      <formula>"if(B13='Yes'"</formula>
    </cfRule>
  </conditionalFormatting>
  <conditionalFormatting sqref="BX61">
    <cfRule type="expression" dxfId="779" priority="869">
      <formula>"If(b13=""Yes"",1,0)"</formula>
    </cfRule>
    <cfRule type="expression" dxfId="778" priority="870">
      <formula>"if(b13='Yes')"</formula>
    </cfRule>
    <cfRule type="expression" dxfId="777" priority="871">
      <formula>"if(B13='Yes'"</formula>
    </cfRule>
  </conditionalFormatting>
  <conditionalFormatting sqref="BX62:BX65 BX59:BX60">
    <cfRule type="expression" dxfId="776" priority="866">
      <formula>"If(b13=""Yes"",1,0)"</formula>
    </cfRule>
    <cfRule type="expression" dxfId="775" priority="867">
      <formula>"if(b13='Yes')"</formula>
    </cfRule>
    <cfRule type="expression" dxfId="774" priority="868">
      <formula>"if(B13='Yes'"</formula>
    </cfRule>
  </conditionalFormatting>
  <conditionalFormatting sqref="BX58">
    <cfRule type="expression" dxfId="773" priority="863">
      <formula>"If(b13=""Yes"",1,0)"</formula>
    </cfRule>
    <cfRule type="expression" dxfId="772" priority="864">
      <formula>"if(b13='Yes')"</formula>
    </cfRule>
    <cfRule type="expression" dxfId="771" priority="865">
      <formula>"if(B13='Yes'"</formula>
    </cfRule>
  </conditionalFormatting>
  <conditionalFormatting sqref="CA61">
    <cfRule type="expression" dxfId="770" priority="860">
      <formula>"If(b13=""Yes"",1,0)"</formula>
    </cfRule>
    <cfRule type="expression" dxfId="769" priority="861">
      <formula>"if(b13='Yes')"</formula>
    </cfRule>
    <cfRule type="expression" dxfId="768" priority="862">
      <formula>"if(B13='Yes'"</formula>
    </cfRule>
  </conditionalFormatting>
  <conditionalFormatting sqref="CA62:CA65 CA59:CA60">
    <cfRule type="expression" dxfId="767" priority="857">
      <formula>"If(b13=""Yes"",1,0)"</formula>
    </cfRule>
    <cfRule type="expression" dxfId="766" priority="858">
      <formula>"if(b13='Yes')"</formula>
    </cfRule>
    <cfRule type="expression" dxfId="765" priority="859">
      <formula>"if(B13='Yes'"</formula>
    </cfRule>
  </conditionalFormatting>
  <conditionalFormatting sqref="CA58">
    <cfRule type="expression" dxfId="764" priority="854">
      <formula>"If(b13=""Yes"",1,0)"</formula>
    </cfRule>
    <cfRule type="expression" dxfId="763" priority="855">
      <formula>"if(b13='Yes')"</formula>
    </cfRule>
    <cfRule type="expression" dxfId="762" priority="856">
      <formula>"if(B13='Yes'"</formula>
    </cfRule>
  </conditionalFormatting>
  <conditionalFormatting sqref="CD61">
    <cfRule type="expression" dxfId="761" priority="851">
      <formula>"If(b13=""Yes"",1,0)"</formula>
    </cfRule>
    <cfRule type="expression" dxfId="760" priority="852">
      <formula>"if(b13='Yes')"</formula>
    </cfRule>
    <cfRule type="expression" dxfId="759" priority="853">
      <formula>"if(B13='Yes'"</formula>
    </cfRule>
  </conditionalFormatting>
  <conditionalFormatting sqref="CD62:CD65 CD59:CD60">
    <cfRule type="expression" dxfId="758" priority="848">
      <formula>"If(b13=""Yes"",1,0)"</formula>
    </cfRule>
    <cfRule type="expression" dxfId="757" priority="849">
      <formula>"if(b13='Yes')"</formula>
    </cfRule>
    <cfRule type="expression" dxfId="756" priority="850">
      <formula>"if(B13='Yes'"</formula>
    </cfRule>
  </conditionalFormatting>
  <conditionalFormatting sqref="CD58">
    <cfRule type="expression" dxfId="755" priority="845">
      <formula>"If(b13=""Yes"",1,0)"</formula>
    </cfRule>
    <cfRule type="expression" dxfId="754" priority="846">
      <formula>"if(b13='Yes')"</formula>
    </cfRule>
    <cfRule type="expression" dxfId="753" priority="847">
      <formula>"if(B13='Yes'"</formula>
    </cfRule>
  </conditionalFormatting>
  <conditionalFormatting sqref="CG61">
    <cfRule type="expression" dxfId="752" priority="842">
      <formula>"If(b13=""Yes"",1,0)"</formula>
    </cfRule>
    <cfRule type="expression" dxfId="751" priority="843">
      <formula>"if(b13='Yes')"</formula>
    </cfRule>
    <cfRule type="expression" dxfId="750" priority="844">
      <formula>"if(B13='Yes'"</formula>
    </cfRule>
  </conditionalFormatting>
  <conditionalFormatting sqref="CG62:CG65 CG59:CG60">
    <cfRule type="expression" dxfId="749" priority="839">
      <formula>"If(b13=""Yes"",1,0)"</formula>
    </cfRule>
    <cfRule type="expression" dxfId="748" priority="840">
      <formula>"if(b13='Yes')"</formula>
    </cfRule>
    <cfRule type="expression" dxfId="747" priority="841">
      <formula>"if(B13='Yes'"</formula>
    </cfRule>
  </conditionalFormatting>
  <conditionalFormatting sqref="CG58">
    <cfRule type="expression" dxfId="746" priority="836">
      <formula>"If(b13=""Yes"",1,0)"</formula>
    </cfRule>
    <cfRule type="expression" dxfId="745" priority="837">
      <formula>"if(b13='Yes')"</formula>
    </cfRule>
    <cfRule type="expression" dxfId="744" priority="838">
      <formula>"if(B13='Yes'"</formula>
    </cfRule>
  </conditionalFormatting>
  <conditionalFormatting sqref="CJ61">
    <cfRule type="expression" dxfId="743" priority="833">
      <formula>"If(b13=""Yes"",1,0)"</formula>
    </cfRule>
    <cfRule type="expression" dxfId="742" priority="834">
      <formula>"if(b13='Yes')"</formula>
    </cfRule>
    <cfRule type="expression" dxfId="741" priority="835">
      <formula>"if(B13='Yes'"</formula>
    </cfRule>
  </conditionalFormatting>
  <conditionalFormatting sqref="CJ62:CJ65 CJ59:CJ60">
    <cfRule type="expression" dxfId="740" priority="830">
      <formula>"If(b13=""Yes"",1,0)"</formula>
    </cfRule>
    <cfRule type="expression" dxfId="739" priority="831">
      <formula>"if(b13='Yes')"</formula>
    </cfRule>
    <cfRule type="expression" dxfId="738" priority="832">
      <formula>"if(B13='Yes'"</formula>
    </cfRule>
  </conditionalFormatting>
  <conditionalFormatting sqref="CJ58">
    <cfRule type="expression" dxfId="737" priority="827">
      <formula>"If(b13=""Yes"",1,0)"</formula>
    </cfRule>
    <cfRule type="expression" dxfId="736" priority="828">
      <formula>"if(b13='Yes')"</formula>
    </cfRule>
    <cfRule type="expression" dxfId="735" priority="829">
      <formula>"if(B13='Yes'"</formula>
    </cfRule>
  </conditionalFormatting>
  <conditionalFormatting sqref="CM61">
    <cfRule type="expression" dxfId="734" priority="824">
      <formula>"If(b13=""Yes"",1,0)"</formula>
    </cfRule>
    <cfRule type="expression" dxfId="733" priority="825">
      <formula>"if(b13='Yes')"</formula>
    </cfRule>
    <cfRule type="expression" dxfId="732" priority="826">
      <formula>"if(B13='Yes'"</formula>
    </cfRule>
  </conditionalFormatting>
  <conditionalFormatting sqref="CM62:CM65 CM59:CM60">
    <cfRule type="expression" dxfId="731" priority="821">
      <formula>"If(b13=""Yes"",1,0)"</formula>
    </cfRule>
    <cfRule type="expression" dxfId="730" priority="822">
      <formula>"if(b13='Yes')"</formula>
    </cfRule>
    <cfRule type="expression" dxfId="729" priority="823">
      <formula>"if(B13='Yes'"</formula>
    </cfRule>
  </conditionalFormatting>
  <conditionalFormatting sqref="CM58">
    <cfRule type="expression" dxfId="728" priority="818">
      <formula>"If(b13=""Yes"",1,0)"</formula>
    </cfRule>
    <cfRule type="expression" dxfId="727" priority="819">
      <formula>"if(b13='Yes')"</formula>
    </cfRule>
    <cfRule type="expression" dxfId="726" priority="820">
      <formula>"if(B13='Yes'"</formula>
    </cfRule>
  </conditionalFormatting>
  <conditionalFormatting sqref="CP61">
    <cfRule type="expression" dxfId="725" priority="815">
      <formula>"If(b13=""Yes"",1,0)"</formula>
    </cfRule>
    <cfRule type="expression" dxfId="724" priority="816">
      <formula>"if(b13='Yes')"</formula>
    </cfRule>
    <cfRule type="expression" dxfId="723" priority="817">
      <formula>"if(B13='Yes'"</formula>
    </cfRule>
  </conditionalFormatting>
  <conditionalFormatting sqref="CP62:CP65 CP59:CP60">
    <cfRule type="expression" dxfId="722" priority="812">
      <formula>"If(b13=""Yes"",1,0)"</formula>
    </cfRule>
    <cfRule type="expression" dxfId="721" priority="813">
      <formula>"if(b13='Yes')"</formula>
    </cfRule>
    <cfRule type="expression" dxfId="720" priority="814">
      <formula>"if(B13='Yes'"</formula>
    </cfRule>
  </conditionalFormatting>
  <conditionalFormatting sqref="CP58">
    <cfRule type="expression" dxfId="719" priority="809">
      <formula>"If(b13=""Yes"",1,0)"</formula>
    </cfRule>
    <cfRule type="expression" dxfId="718" priority="810">
      <formula>"if(b13='Yes')"</formula>
    </cfRule>
    <cfRule type="expression" dxfId="717" priority="811">
      <formula>"if(B13='Yes'"</formula>
    </cfRule>
  </conditionalFormatting>
  <conditionalFormatting sqref="V46">
    <cfRule type="expression" dxfId="716" priority="791">
      <formula>"If(b13=""Yes"",1,0)"</formula>
    </cfRule>
    <cfRule type="expression" dxfId="715" priority="792">
      <formula>"if(b13='Yes')"</formula>
    </cfRule>
    <cfRule type="expression" dxfId="714" priority="793">
      <formula>"if(B13='Yes'"</formula>
    </cfRule>
  </conditionalFormatting>
  <conditionalFormatting sqref="G46">
    <cfRule type="expression" dxfId="713" priority="806">
      <formula>"If(b13=""Yes"",1,0)"</formula>
    </cfRule>
    <cfRule type="expression" dxfId="712" priority="807">
      <formula>"if(b13='Yes')"</formula>
    </cfRule>
    <cfRule type="expression" dxfId="711" priority="808">
      <formula>"if(B13='Yes'"</formula>
    </cfRule>
  </conditionalFormatting>
  <conditionalFormatting sqref="J46">
    <cfRule type="expression" dxfId="710" priority="803">
      <formula>"If(b13=""Yes"",1,0)"</formula>
    </cfRule>
    <cfRule type="expression" dxfId="709" priority="804">
      <formula>"if(b13='Yes')"</formula>
    </cfRule>
    <cfRule type="expression" dxfId="708" priority="805">
      <formula>"if(B13='Yes'"</formula>
    </cfRule>
  </conditionalFormatting>
  <conditionalFormatting sqref="M46">
    <cfRule type="expression" dxfId="707" priority="800">
      <formula>"If(b13=""Yes"",1,0)"</formula>
    </cfRule>
    <cfRule type="expression" dxfId="706" priority="801">
      <formula>"if(b13='Yes')"</formula>
    </cfRule>
    <cfRule type="expression" dxfId="705" priority="802">
      <formula>"if(B13='Yes'"</formula>
    </cfRule>
  </conditionalFormatting>
  <conditionalFormatting sqref="P46">
    <cfRule type="expression" dxfId="704" priority="797">
      <formula>"If(b13=""Yes"",1,0)"</formula>
    </cfRule>
    <cfRule type="expression" dxfId="703" priority="798">
      <formula>"if(b13='Yes')"</formula>
    </cfRule>
    <cfRule type="expression" dxfId="702" priority="799">
      <formula>"if(B13='Yes'"</formula>
    </cfRule>
  </conditionalFormatting>
  <conditionalFormatting sqref="S46">
    <cfRule type="expression" dxfId="701" priority="794">
      <formula>"If(b13=""Yes"",1,0)"</formula>
    </cfRule>
    <cfRule type="expression" dxfId="700" priority="795">
      <formula>"if(b13='Yes')"</formula>
    </cfRule>
    <cfRule type="expression" dxfId="699" priority="796">
      <formula>"if(B13='Yes'"</formula>
    </cfRule>
  </conditionalFormatting>
  <conditionalFormatting sqref="Y46">
    <cfRule type="expression" dxfId="698" priority="788">
      <formula>"If(b13=""Yes"",1,0)"</formula>
    </cfRule>
    <cfRule type="expression" dxfId="697" priority="789">
      <formula>"if(b13='Yes')"</formula>
    </cfRule>
    <cfRule type="expression" dxfId="696" priority="790">
      <formula>"if(B13='Yes'"</formula>
    </cfRule>
  </conditionalFormatting>
  <conditionalFormatting sqref="AB46">
    <cfRule type="expression" dxfId="695" priority="785">
      <formula>"If(b13=""Yes"",1,0)"</formula>
    </cfRule>
    <cfRule type="expression" dxfId="694" priority="786">
      <formula>"if(b13='Yes')"</formula>
    </cfRule>
    <cfRule type="expression" dxfId="693" priority="787">
      <formula>"if(B13='Yes'"</formula>
    </cfRule>
  </conditionalFormatting>
  <conditionalFormatting sqref="AE46">
    <cfRule type="expression" dxfId="692" priority="782">
      <formula>"If(b13=""Yes"",1,0)"</formula>
    </cfRule>
    <cfRule type="expression" dxfId="691" priority="783">
      <formula>"if(b13='Yes')"</formula>
    </cfRule>
    <cfRule type="expression" dxfId="690" priority="784">
      <formula>"if(B13='Yes'"</formula>
    </cfRule>
  </conditionalFormatting>
  <conditionalFormatting sqref="AH46">
    <cfRule type="expression" dxfId="689" priority="779">
      <formula>"If(b13=""Yes"",1,0)"</formula>
    </cfRule>
    <cfRule type="expression" dxfId="688" priority="780">
      <formula>"if(b13='Yes')"</formula>
    </cfRule>
    <cfRule type="expression" dxfId="687" priority="781">
      <formula>"if(B13='Yes'"</formula>
    </cfRule>
  </conditionalFormatting>
  <conditionalFormatting sqref="AK46">
    <cfRule type="expression" dxfId="686" priority="776">
      <formula>"If(b13=""Yes"",1,0)"</formula>
    </cfRule>
    <cfRule type="expression" dxfId="685" priority="777">
      <formula>"if(b13='Yes')"</formula>
    </cfRule>
    <cfRule type="expression" dxfId="684" priority="778">
      <formula>"if(B13='Yes'"</formula>
    </cfRule>
  </conditionalFormatting>
  <conditionalFormatting sqref="AN46">
    <cfRule type="expression" dxfId="683" priority="773">
      <formula>"If(b13=""Yes"",1,0)"</formula>
    </cfRule>
    <cfRule type="expression" dxfId="682" priority="774">
      <formula>"if(b13='Yes')"</formula>
    </cfRule>
    <cfRule type="expression" dxfId="681" priority="775">
      <formula>"if(B13='Yes'"</formula>
    </cfRule>
  </conditionalFormatting>
  <conditionalFormatting sqref="AQ46">
    <cfRule type="expression" dxfId="680" priority="770">
      <formula>"If(b13=""Yes"",1,0)"</formula>
    </cfRule>
    <cfRule type="expression" dxfId="679" priority="771">
      <formula>"if(b13='Yes')"</formula>
    </cfRule>
    <cfRule type="expression" dxfId="678" priority="772">
      <formula>"if(B13='Yes'"</formula>
    </cfRule>
  </conditionalFormatting>
  <conditionalFormatting sqref="AT46">
    <cfRule type="expression" dxfId="677" priority="767">
      <formula>"If(b13=""Yes"",1,0)"</formula>
    </cfRule>
    <cfRule type="expression" dxfId="676" priority="768">
      <formula>"if(b13='Yes')"</formula>
    </cfRule>
    <cfRule type="expression" dxfId="675" priority="769">
      <formula>"if(B13='Yes'"</formula>
    </cfRule>
  </conditionalFormatting>
  <conditionalFormatting sqref="AW46">
    <cfRule type="expression" dxfId="674" priority="764">
      <formula>"If(b13=""Yes"",1,0)"</formula>
    </cfRule>
    <cfRule type="expression" dxfId="673" priority="765">
      <formula>"if(b13='Yes')"</formula>
    </cfRule>
    <cfRule type="expression" dxfId="672" priority="766">
      <formula>"if(B13='Yes'"</formula>
    </cfRule>
  </conditionalFormatting>
  <conditionalFormatting sqref="AZ46">
    <cfRule type="expression" dxfId="671" priority="761">
      <formula>"If(b13=""Yes"",1,0)"</formula>
    </cfRule>
    <cfRule type="expression" dxfId="670" priority="762">
      <formula>"if(b13='Yes')"</formula>
    </cfRule>
    <cfRule type="expression" dxfId="669" priority="763">
      <formula>"if(B13='Yes'"</formula>
    </cfRule>
  </conditionalFormatting>
  <conditionalFormatting sqref="BC46">
    <cfRule type="expression" dxfId="668" priority="758">
      <formula>"If(b13=""Yes"",1,0)"</formula>
    </cfRule>
    <cfRule type="expression" dxfId="667" priority="759">
      <formula>"if(b13='Yes')"</formula>
    </cfRule>
    <cfRule type="expression" dxfId="666" priority="760">
      <formula>"if(B13='Yes'"</formula>
    </cfRule>
  </conditionalFormatting>
  <conditionalFormatting sqref="BF46">
    <cfRule type="expression" dxfId="665" priority="755">
      <formula>"If(b13=""Yes"",1,0)"</formula>
    </cfRule>
    <cfRule type="expression" dxfId="664" priority="756">
      <formula>"if(b13='Yes')"</formula>
    </cfRule>
    <cfRule type="expression" dxfId="663" priority="757">
      <formula>"if(B13='Yes'"</formula>
    </cfRule>
  </conditionalFormatting>
  <conditionalFormatting sqref="BI46">
    <cfRule type="expression" dxfId="662" priority="752">
      <formula>"If(b13=""Yes"",1,0)"</formula>
    </cfRule>
    <cfRule type="expression" dxfId="661" priority="753">
      <formula>"if(b13='Yes')"</formula>
    </cfRule>
    <cfRule type="expression" dxfId="660" priority="754">
      <formula>"if(B13='Yes'"</formula>
    </cfRule>
  </conditionalFormatting>
  <conditionalFormatting sqref="BL46">
    <cfRule type="expression" dxfId="659" priority="749">
      <formula>"If(b13=""Yes"",1,0)"</formula>
    </cfRule>
    <cfRule type="expression" dxfId="658" priority="750">
      <formula>"if(b13='Yes')"</formula>
    </cfRule>
    <cfRule type="expression" dxfId="657" priority="751">
      <formula>"if(B13='Yes'"</formula>
    </cfRule>
  </conditionalFormatting>
  <conditionalFormatting sqref="BO46">
    <cfRule type="expression" dxfId="656" priority="746">
      <formula>"If(b13=""Yes"",1,0)"</formula>
    </cfRule>
    <cfRule type="expression" dxfId="655" priority="747">
      <formula>"if(b13='Yes')"</formula>
    </cfRule>
    <cfRule type="expression" dxfId="654" priority="748">
      <formula>"if(B13='Yes'"</formula>
    </cfRule>
  </conditionalFormatting>
  <conditionalFormatting sqref="BR46">
    <cfRule type="expression" dxfId="653" priority="743">
      <formula>"If(b13=""Yes"",1,0)"</formula>
    </cfRule>
    <cfRule type="expression" dxfId="652" priority="744">
      <formula>"if(b13='Yes')"</formula>
    </cfRule>
    <cfRule type="expression" dxfId="651" priority="745">
      <formula>"if(B13='Yes'"</formula>
    </cfRule>
  </conditionalFormatting>
  <conditionalFormatting sqref="BU46">
    <cfRule type="expression" dxfId="650" priority="740">
      <formula>"If(b13=""Yes"",1,0)"</formula>
    </cfRule>
    <cfRule type="expression" dxfId="649" priority="741">
      <formula>"if(b13='Yes')"</formula>
    </cfRule>
    <cfRule type="expression" dxfId="648" priority="742">
      <formula>"if(B13='Yes'"</formula>
    </cfRule>
  </conditionalFormatting>
  <conditionalFormatting sqref="BX46">
    <cfRule type="expression" dxfId="647" priority="737">
      <formula>"If(b13=""Yes"",1,0)"</formula>
    </cfRule>
    <cfRule type="expression" dxfId="646" priority="738">
      <formula>"if(b13='Yes')"</formula>
    </cfRule>
    <cfRule type="expression" dxfId="645" priority="739">
      <formula>"if(B13='Yes'"</formula>
    </cfRule>
  </conditionalFormatting>
  <conditionalFormatting sqref="CA46">
    <cfRule type="expression" dxfId="644" priority="734">
      <formula>"If(b13=""Yes"",1,0)"</formula>
    </cfRule>
    <cfRule type="expression" dxfId="643" priority="735">
      <formula>"if(b13='Yes')"</formula>
    </cfRule>
    <cfRule type="expression" dxfId="642" priority="736">
      <formula>"if(B13='Yes'"</formula>
    </cfRule>
  </conditionalFormatting>
  <conditionalFormatting sqref="CD46">
    <cfRule type="expression" dxfId="641" priority="731">
      <formula>"If(b13=""Yes"",1,0)"</formula>
    </cfRule>
    <cfRule type="expression" dxfId="640" priority="732">
      <formula>"if(b13='Yes')"</formula>
    </cfRule>
    <cfRule type="expression" dxfId="639" priority="733">
      <formula>"if(B13='Yes'"</formula>
    </cfRule>
  </conditionalFormatting>
  <conditionalFormatting sqref="CG46">
    <cfRule type="expression" dxfId="638" priority="728">
      <formula>"If(b13=""Yes"",1,0)"</formula>
    </cfRule>
    <cfRule type="expression" dxfId="637" priority="729">
      <formula>"if(b13='Yes')"</formula>
    </cfRule>
    <cfRule type="expression" dxfId="636" priority="730">
      <formula>"if(B13='Yes'"</formula>
    </cfRule>
  </conditionalFormatting>
  <conditionalFormatting sqref="CJ46">
    <cfRule type="expression" dxfId="635" priority="725">
      <formula>"If(b13=""Yes"",1,0)"</formula>
    </cfRule>
    <cfRule type="expression" dxfId="634" priority="726">
      <formula>"if(b13='Yes')"</formula>
    </cfRule>
    <cfRule type="expression" dxfId="633" priority="727">
      <formula>"if(B13='Yes'"</formula>
    </cfRule>
  </conditionalFormatting>
  <conditionalFormatting sqref="CM46">
    <cfRule type="expression" dxfId="632" priority="722">
      <formula>"If(b13=""Yes"",1,0)"</formula>
    </cfRule>
    <cfRule type="expression" dxfId="631" priority="723">
      <formula>"if(b13='Yes')"</formula>
    </cfRule>
    <cfRule type="expression" dxfId="630" priority="724">
      <formula>"if(B13='Yes'"</formula>
    </cfRule>
  </conditionalFormatting>
  <conditionalFormatting sqref="CP46">
    <cfRule type="expression" dxfId="629" priority="719">
      <formula>"If(b13=""Yes"",1,0)"</formula>
    </cfRule>
    <cfRule type="expression" dxfId="628" priority="720">
      <formula>"if(b13='Yes')"</formula>
    </cfRule>
    <cfRule type="expression" dxfId="627" priority="721">
      <formula>"if(B13='Yes'"</formula>
    </cfRule>
  </conditionalFormatting>
  <conditionalFormatting sqref="V47:V57">
    <cfRule type="expression" dxfId="626" priority="701">
      <formula>"If(b13=""Yes"",1,0)"</formula>
    </cfRule>
    <cfRule type="expression" dxfId="625" priority="702">
      <formula>"if(b13='Yes')"</formula>
    </cfRule>
    <cfRule type="expression" dxfId="624" priority="703">
      <formula>"if(B13='Yes'"</formula>
    </cfRule>
  </conditionalFormatting>
  <conditionalFormatting sqref="G47:G57">
    <cfRule type="expression" dxfId="623" priority="716">
      <formula>"If(b13=""Yes"",1,0)"</formula>
    </cfRule>
    <cfRule type="expression" dxfId="622" priority="717">
      <formula>"if(b13='Yes')"</formula>
    </cfRule>
    <cfRule type="expression" dxfId="621" priority="718">
      <formula>"if(B13='Yes'"</formula>
    </cfRule>
  </conditionalFormatting>
  <conditionalFormatting sqref="J47:J57">
    <cfRule type="expression" dxfId="620" priority="713">
      <formula>"If(b13=""Yes"",1,0)"</formula>
    </cfRule>
    <cfRule type="expression" dxfId="619" priority="714">
      <formula>"if(b13='Yes')"</formula>
    </cfRule>
    <cfRule type="expression" dxfId="618" priority="715">
      <formula>"if(B13='Yes'"</formula>
    </cfRule>
  </conditionalFormatting>
  <conditionalFormatting sqref="M47:M57">
    <cfRule type="expression" dxfId="617" priority="710">
      <formula>"If(b13=""Yes"",1,0)"</formula>
    </cfRule>
    <cfRule type="expression" dxfId="616" priority="711">
      <formula>"if(b13='Yes')"</formula>
    </cfRule>
    <cfRule type="expression" dxfId="615" priority="712">
      <formula>"if(B13='Yes'"</formula>
    </cfRule>
  </conditionalFormatting>
  <conditionalFormatting sqref="P47:P57">
    <cfRule type="expression" dxfId="614" priority="707">
      <formula>"If(b13=""Yes"",1,0)"</formula>
    </cfRule>
    <cfRule type="expression" dxfId="613" priority="708">
      <formula>"if(b13='Yes')"</formula>
    </cfRule>
    <cfRule type="expression" dxfId="612" priority="709">
      <formula>"if(B13='Yes'"</formula>
    </cfRule>
  </conditionalFormatting>
  <conditionalFormatting sqref="S47:S57">
    <cfRule type="expression" dxfId="611" priority="704">
      <formula>"If(b13=""Yes"",1,0)"</formula>
    </cfRule>
    <cfRule type="expression" dxfId="610" priority="705">
      <formula>"if(b13='Yes')"</formula>
    </cfRule>
    <cfRule type="expression" dxfId="609" priority="706">
      <formula>"if(B13='Yes'"</formula>
    </cfRule>
  </conditionalFormatting>
  <conditionalFormatting sqref="Y47:Y57">
    <cfRule type="expression" dxfId="608" priority="698">
      <formula>"If(b13=""Yes"",1,0)"</formula>
    </cfRule>
    <cfRule type="expression" dxfId="607" priority="699">
      <formula>"if(b13='Yes')"</formula>
    </cfRule>
    <cfRule type="expression" dxfId="606" priority="700">
      <formula>"if(B13='Yes'"</formula>
    </cfRule>
  </conditionalFormatting>
  <conditionalFormatting sqref="AB47:AB57">
    <cfRule type="expression" dxfId="605" priority="695">
      <formula>"If(b13=""Yes"",1,0)"</formula>
    </cfRule>
    <cfRule type="expression" dxfId="604" priority="696">
      <formula>"if(b13='Yes')"</formula>
    </cfRule>
    <cfRule type="expression" dxfId="603" priority="697">
      <formula>"if(B13='Yes'"</formula>
    </cfRule>
  </conditionalFormatting>
  <conditionalFormatting sqref="AE47:AE57">
    <cfRule type="expression" dxfId="602" priority="692">
      <formula>"If(b13=""Yes"",1,0)"</formula>
    </cfRule>
    <cfRule type="expression" dxfId="601" priority="693">
      <formula>"if(b13='Yes')"</formula>
    </cfRule>
    <cfRule type="expression" dxfId="600" priority="694">
      <formula>"if(B13='Yes'"</formula>
    </cfRule>
  </conditionalFormatting>
  <conditionalFormatting sqref="AH47:AH57">
    <cfRule type="expression" dxfId="599" priority="689">
      <formula>"If(b13=""Yes"",1,0)"</formula>
    </cfRule>
    <cfRule type="expression" dxfId="598" priority="690">
      <formula>"if(b13='Yes')"</formula>
    </cfRule>
    <cfRule type="expression" dxfId="597" priority="691">
      <formula>"if(B13='Yes'"</formula>
    </cfRule>
  </conditionalFormatting>
  <conditionalFormatting sqref="AK47:AK57">
    <cfRule type="expression" dxfId="596" priority="686">
      <formula>"If(b13=""Yes"",1,0)"</formula>
    </cfRule>
    <cfRule type="expression" dxfId="595" priority="687">
      <formula>"if(b13='Yes')"</formula>
    </cfRule>
    <cfRule type="expression" dxfId="594" priority="688">
      <formula>"if(B13='Yes'"</formula>
    </cfRule>
  </conditionalFormatting>
  <conditionalFormatting sqref="AN47:AN57">
    <cfRule type="expression" dxfId="593" priority="683">
      <formula>"If(b13=""Yes"",1,0)"</formula>
    </cfRule>
    <cfRule type="expression" dxfId="592" priority="684">
      <formula>"if(b13='Yes')"</formula>
    </cfRule>
    <cfRule type="expression" dxfId="591" priority="685">
      <formula>"if(B13='Yes'"</formula>
    </cfRule>
  </conditionalFormatting>
  <conditionalFormatting sqref="AQ47:AQ57">
    <cfRule type="expression" dxfId="590" priority="680">
      <formula>"If(b13=""Yes"",1,0)"</formula>
    </cfRule>
    <cfRule type="expression" dxfId="589" priority="681">
      <formula>"if(b13='Yes')"</formula>
    </cfRule>
    <cfRule type="expression" dxfId="588" priority="682">
      <formula>"if(B13='Yes'"</formula>
    </cfRule>
  </conditionalFormatting>
  <conditionalFormatting sqref="AT47:AT57">
    <cfRule type="expression" dxfId="587" priority="677">
      <formula>"If(b13=""Yes"",1,0)"</formula>
    </cfRule>
    <cfRule type="expression" dxfId="586" priority="678">
      <formula>"if(b13='Yes')"</formula>
    </cfRule>
    <cfRule type="expression" dxfId="585" priority="679">
      <formula>"if(B13='Yes'"</formula>
    </cfRule>
  </conditionalFormatting>
  <conditionalFormatting sqref="AW47:AW57">
    <cfRule type="expression" dxfId="584" priority="674">
      <formula>"If(b13=""Yes"",1,0)"</formula>
    </cfRule>
    <cfRule type="expression" dxfId="583" priority="675">
      <formula>"if(b13='Yes')"</formula>
    </cfRule>
    <cfRule type="expression" dxfId="582" priority="676">
      <formula>"if(B13='Yes'"</formula>
    </cfRule>
  </conditionalFormatting>
  <conditionalFormatting sqref="AZ47:AZ57">
    <cfRule type="expression" dxfId="581" priority="671">
      <formula>"If(b13=""Yes"",1,0)"</formula>
    </cfRule>
    <cfRule type="expression" dxfId="580" priority="672">
      <formula>"if(b13='Yes')"</formula>
    </cfRule>
    <cfRule type="expression" dxfId="579" priority="673">
      <formula>"if(B13='Yes'"</formula>
    </cfRule>
  </conditionalFormatting>
  <conditionalFormatting sqref="BC47:BC57">
    <cfRule type="expression" dxfId="578" priority="668">
      <formula>"If(b13=""Yes"",1,0)"</formula>
    </cfRule>
    <cfRule type="expression" dxfId="577" priority="669">
      <formula>"if(b13='Yes')"</formula>
    </cfRule>
    <cfRule type="expression" dxfId="576" priority="670">
      <formula>"if(B13='Yes'"</formula>
    </cfRule>
  </conditionalFormatting>
  <conditionalFormatting sqref="BF47:BF57">
    <cfRule type="expression" dxfId="575" priority="665">
      <formula>"If(b13=""Yes"",1,0)"</formula>
    </cfRule>
    <cfRule type="expression" dxfId="574" priority="666">
      <formula>"if(b13='Yes')"</formula>
    </cfRule>
    <cfRule type="expression" dxfId="573" priority="667">
      <formula>"if(B13='Yes'"</formula>
    </cfRule>
  </conditionalFormatting>
  <conditionalFormatting sqref="BI47:BI57">
    <cfRule type="expression" dxfId="572" priority="662">
      <formula>"If(b13=""Yes"",1,0)"</formula>
    </cfRule>
    <cfRule type="expression" dxfId="571" priority="663">
      <formula>"if(b13='Yes')"</formula>
    </cfRule>
    <cfRule type="expression" dxfId="570" priority="664">
      <formula>"if(B13='Yes'"</formula>
    </cfRule>
  </conditionalFormatting>
  <conditionalFormatting sqref="BL47:BL57">
    <cfRule type="expression" dxfId="569" priority="659">
      <formula>"If(b13=""Yes"",1,0)"</formula>
    </cfRule>
    <cfRule type="expression" dxfId="568" priority="660">
      <formula>"if(b13='Yes')"</formula>
    </cfRule>
    <cfRule type="expression" dxfId="567" priority="661">
      <formula>"if(B13='Yes'"</formula>
    </cfRule>
  </conditionalFormatting>
  <conditionalFormatting sqref="BO47:BO57">
    <cfRule type="expression" dxfId="566" priority="656">
      <formula>"If(b13=""Yes"",1,0)"</formula>
    </cfRule>
    <cfRule type="expression" dxfId="565" priority="657">
      <formula>"if(b13='Yes')"</formula>
    </cfRule>
    <cfRule type="expression" dxfId="564" priority="658">
      <formula>"if(B13='Yes'"</formula>
    </cfRule>
  </conditionalFormatting>
  <conditionalFormatting sqref="BR47:BR57">
    <cfRule type="expression" dxfId="563" priority="653">
      <formula>"If(b13=""Yes"",1,0)"</formula>
    </cfRule>
    <cfRule type="expression" dxfId="562" priority="654">
      <formula>"if(b13='Yes')"</formula>
    </cfRule>
    <cfRule type="expression" dxfId="561" priority="655">
      <formula>"if(B13='Yes'"</formula>
    </cfRule>
  </conditionalFormatting>
  <conditionalFormatting sqref="BU47:BU57">
    <cfRule type="expression" dxfId="560" priority="650">
      <formula>"If(b13=""Yes"",1,0)"</formula>
    </cfRule>
    <cfRule type="expression" dxfId="559" priority="651">
      <formula>"if(b13='Yes')"</formula>
    </cfRule>
    <cfRule type="expression" dxfId="558" priority="652">
      <formula>"if(B13='Yes'"</formula>
    </cfRule>
  </conditionalFormatting>
  <conditionalFormatting sqref="BX47:BX57">
    <cfRule type="expression" dxfId="557" priority="647">
      <formula>"If(b13=""Yes"",1,0)"</formula>
    </cfRule>
    <cfRule type="expression" dxfId="556" priority="648">
      <formula>"if(b13='Yes')"</formula>
    </cfRule>
    <cfRule type="expression" dxfId="555" priority="649">
      <formula>"if(B13='Yes'"</formula>
    </cfRule>
  </conditionalFormatting>
  <conditionalFormatting sqref="CA47:CA57">
    <cfRule type="expression" dxfId="554" priority="644">
      <formula>"If(b13=""Yes"",1,0)"</formula>
    </cfRule>
    <cfRule type="expression" dxfId="553" priority="645">
      <formula>"if(b13='Yes')"</formula>
    </cfRule>
    <cfRule type="expression" dxfId="552" priority="646">
      <formula>"if(B13='Yes'"</formula>
    </cfRule>
  </conditionalFormatting>
  <conditionalFormatting sqref="CD47:CD57">
    <cfRule type="expression" dxfId="551" priority="641">
      <formula>"If(b13=""Yes"",1,0)"</formula>
    </cfRule>
    <cfRule type="expression" dxfId="550" priority="642">
      <formula>"if(b13='Yes')"</formula>
    </cfRule>
    <cfRule type="expression" dxfId="549" priority="643">
      <formula>"if(B13='Yes'"</formula>
    </cfRule>
  </conditionalFormatting>
  <conditionalFormatting sqref="CG47:CG57">
    <cfRule type="expression" dxfId="548" priority="638">
      <formula>"If(b13=""Yes"",1,0)"</formula>
    </cfRule>
    <cfRule type="expression" dxfId="547" priority="639">
      <formula>"if(b13='Yes')"</formula>
    </cfRule>
    <cfRule type="expression" dxfId="546" priority="640">
      <formula>"if(B13='Yes'"</formula>
    </cfRule>
  </conditionalFormatting>
  <conditionalFormatting sqref="CJ47:CJ57">
    <cfRule type="expression" dxfId="545" priority="635">
      <formula>"If(b13=""Yes"",1,0)"</formula>
    </cfRule>
    <cfRule type="expression" dxfId="544" priority="636">
      <formula>"if(b13='Yes')"</formula>
    </cfRule>
    <cfRule type="expression" dxfId="543" priority="637">
      <formula>"if(B13='Yes'"</formula>
    </cfRule>
  </conditionalFormatting>
  <conditionalFormatting sqref="CM47:CM57">
    <cfRule type="expression" dxfId="542" priority="632">
      <formula>"If(b13=""Yes"",1,0)"</formula>
    </cfRule>
    <cfRule type="expression" dxfId="541" priority="633">
      <formula>"if(b13='Yes')"</formula>
    </cfRule>
    <cfRule type="expression" dxfId="540" priority="634">
      <formula>"if(B13='Yes'"</formula>
    </cfRule>
  </conditionalFormatting>
  <conditionalFormatting sqref="CP47:CP57">
    <cfRule type="expression" dxfId="539" priority="629">
      <formula>"If(b13=""Yes"",1,0)"</formula>
    </cfRule>
    <cfRule type="expression" dxfId="538" priority="630">
      <formula>"if(b13='Yes')"</formula>
    </cfRule>
    <cfRule type="expression" dxfId="537" priority="631">
      <formula>"if(B13='Yes'"</formula>
    </cfRule>
  </conditionalFormatting>
  <conditionalFormatting sqref="A9">
    <cfRule type="cellIs" dxfId="536" priority="628" stopIfTrue="1" operator="equal">
      <formula>"Yes"</formula>
    </cfRule>
  </conditionalFormatting>
  <conditionalFormatting sqref="G68:G70">
    <cfRule type="expression" dxfId="535" priority="493">
      <formula>"If(b13=""Yes"",1,0)"</formula>
    </cfRule>
    <cfRule type="expression" dxfId="534" priority="494">
      <formula>"if(b13='Yes')"</formula>
    </cfRule>
    <cfRule type="expression" dxfId="533" priority="495">
      <formula>"if(B13='Yes'"</formula>
    </cfRule>
  </conditionalFormatting>
  <conditionalFormatting sqref="G66:G67">
    <cfRule type="expression" dxfId="532" priority="490">
      <formula>"If(b13=""Yes"",1,0)"</formula>
    </cfRule>
    <cfRule type="expression" dxfId="531" priority="491">
      <formula>"if(b13='Yes')"</formula>
    </cfRule>
    <cfRule type="expression" dxfId="530" priority="492">
      <formula>"if(B13='Yes'"</formula>
    </cfRule>
  </conditionalFormatting>
  <conditionalFormatting sqref="J68:J70">
    <cfRule type="expression" dxfId="529" priority="361">
      <formula>"If(b13=""Yes"",1,0)"</formula>
    </cfRule>
    <cfRule type="expression" dxfId="528" priority="362">
      <formula>"if(b13='Yes')"</formula>
    </cfRule>
    <cfRule type="expression" dxfId="527" priority="363">
      <formula>"if(B13='Yes'"</formula>
    </cfRule>
  </conditionalFormatting>
  <conditionalFormatting sqref="J66:J67">
    <cfRule type="expression" dxfId="526" priority="358">
      <formula>"If(b13=""Yes"",1,0)"</formula>
    </cfRule>
    <cfRule type="expression" dxfId="525" priority="359">
      <formula>"if(b13='Yes')"</formula>
    </cfRule>
    <cfRule type="expression" dxfId="524" priority="360">
      <formula>"if(B13='Yes'"</formula>
    </cfRule>
  </conditionalFormatting>
  <conditionalFormatting sqref="M68:M70">
    <cfRule type="expression" dxfId="523" priority="355">
      <formula>"If(b13=""Yes"",1,0)"</formula>
    </cfRule>
    <cfRule type="expression" dxfId="522" priority="356">
      <formula>"if(b13='Yes')"</formula>
    </cfRule>
    <cfRule type="expression" dxfId="521" priority="357">
      <formula>"if(B13='Yes'"</formula>
    </cfRule>
  </conditionalFormatting>
  <conditionalFormatting sqref="M66:M67">
    <cfRule type="expression" dxfId="520" priority="352">
      <formula>"If(b13=""Yes"",1,0)"</formula>
    </cfRule>
    <cfRule type="expression" dxfId="519" priority="353">
      <formula>"if(b13='Yes')"</formula>
    </cfRule>
    <cfRule type="expression" dxfId="518" priority="354">
      <formula>"if(B13='Yes'"</formula>
    </cfRule>
  </conditionalFormatting>
  <conditionalFormatting sqref="P68:P70">
    <cfRule type="expression" dxfId="517" priority="349">
      <formula>"If(b13=""Yes"",1,0)"</formula>
    </cfRule>
    <cfRule type="expression" dxfId="516" priority="350">
      <formula>"if(b13='Yes')"</formula>
    </cfRule>
    <cfRule type="expression" dxfId="515" priority="351">
      <formula>"if(B13='Yes'"</formula>
    </cfRule>
  </conditionalFormatting>
  <conditionalFormatting sqref="P66:P67">
    <cfRule type="expression" dxfId="514" priority="346">
      <formula>"If(b13=""Yes"",1,0)"</formula>
    </cfRule>
    <cfRule type="expression" dxfId="513" priority="347">
      <formula>"if(b13='Yes')"</formula>
    </cfRule>
    <cfRule type="expression" dxfId="512" priority="348">
      <formula>"if(B13='Yes'"</formula>
    </cfRule>
  </conditionalFormatting>
  <conditionalFormatting sqref="S68:S70">
    <cfRule type="expression" dxfId="511" priority="343">
      <formula>"If(b13=""Yes"",1,0)"</formula>
    </cfRule>
    <cfRule type="expression" dxfId="510" priority="344">
      <formula>"if(b13='Yes')"</formula>
    </cfRule>
    <cfRule type="expression" dxfId="509" priority="345">
      <formula>"if(B13='Yes'"</formula>
    </cfRule>
  </conditionalFormatting>
  <conditionalFormatting sqref="S66:S67">
    <cfRule type="expression" dxfId="508" priority="340">
      <formula>"If(b13=""Yes"",1,0)"</formula>
    </cfRule>
    <cfRule type="expression" dxfId="507" priority="341">
      <formula>"if(b13='Yes')"</formula>
    </cfRule>
    <cfRule type="expression" dxfId="506" priority="342">
      <formula>"if(B13='Yes'"</formula>
    </cfRule>
  </conditionalFormatting>
  <conditionalFormatting sqref="V68:V70">
    <cfRule type="expression" dxfId="505" priority="337">
      <formula>"If(b13=""Yes"",1,0)"</formula>
    </cfRule>
    <cfRule type="expression" dxfId="504" priority="338">
      <formula>"if(b13='Yes')"</formula>
    </cfRule>
    <cfRule type="expression" dxfId="503" priority="339">
      <formula>"if(B13='Yes'"</formula>
    </cfRule>
  </conditionalFormatting>
  <conditionalFormatting sqref="V66:V67">
    <cfRule type="expression" dxfId="502" priority="334">
      <formula>"If(b13=""Yes"",1,0)"</formula>
    </cfRule>
    <cfRule type="expression" dxfId="501" priority="335">
      <formula>"if(b13='Yes')"</formula>
    </cfRule>
    <cfRule type="expression" dxfId="500" priority="336">
      <formula>"if(B13='Yes'"</formula>
    </cfRule>
  </conditionalFormatting>
  <conditionalFormatting sqref="Y68:Y70">
    <cfRule type="expression" dxfId="499" priority="331">
      <formula>"If(b13=""Yes"",1,0)"</formula>
    </cfRule>
    <cfRule type="expression" dxfId="498" priority="332">
      <formula>"if(b13='Yes')"</formula>
    </cfRule>
    <cfRule type="expression" dxfId="497" priority="333">
      <formula>"if(B13='Yes'"</formula>
    </cfRule>
  </conditionalFormatting>
  <conditionalFormatting sqref="Y66:Y67">
    <cfRule type="expression" dxfId="496" priority="328">
      <formula>"If(b13=""Yes"",1,0)"</formula>
    </cfRule>
    <cfRule type="expression" dxfId="495" priority="329">
      <formula>"if(b13='Yes')"</formula>
    </cfRule>
    <cfRule type="expression" dxfId="494" priority="330">
      <formula>"if(B13='Yes'"</formula>
    </cfRule>
  </conditionalFormatting>
  <conditionalFormatting sqref="AB68:AB70">
    <cfRule type="expression" dxfId="493" priority="325">
      <formula>"If(b13=""Yes"",1,0)"</formula>
    </cfRule>
    <cfRule type="expression" dxfId="492" priority="326">
      <formula>"if(b13='Yes')"</formula>
    </cfRule>
    <cfRule type="expression" dxfId="491" priority="327">
      <formula>"if(B13='Yes'"</formula>
    </cfRule>
  </conditionalFormatting>
  <conditionalFormatting sqref="AB66:AB67">
    <cfRule type="expression" dxfId="490" priority="322">
      <formula>"If(b13=""Yes"",1,0)"</formula>
    </cfRule>
    <cfRule type="expression" dxfId="489" priority="323">
      <formula>"if(b13='Yes')"</formula>
    </cfRule>
    <cfRule type="expression" dxfId="488" priority="324">
      <formula>"if(B13='Yes'"</formula>
    </cfRule>
  </conditionalFormatting>
  <conditionalFormatting sqref="AE68:AE70">
    <cfRule type="expression" dxfId="487" priority="319">
      <formula>"If(b13=""Yes"",1,0)"</formula>
    </cfRule>
    <cfRule type="expression" dxfId="486" priority="320">
      <formula>"if(b13='Yes')"</formula>
    </cfRule>
    <cfRule type="expression" dxfId="485" priority="321">
      <formula>"if(B13='Yes'"</formula>
    </cfRule>
  </conditionalFormatting>
  <conditionalFormatting sqref="AE66:AE67">
    <cfRule type="expression" dxfId="484" priority="316">
      <formula>"If(b13=""Yes"",1,0)"</formula>
    </cfRule>
    <cfRule type="expression" dxfId="483" priority="317">
      <formula>"if(b13='Yes')"</formula>
    </cfRule>
    <cfRule type="expression" dxfId="482" priority="318">
      <formula>"if(B13='Yes'"</formula>
    </cfRule>
  </conditionalFormatting>
  <conditionalFormatting sqref="AH68:AH70">
    <cfRule type="expression" dxfId="481" priority="313">
      <formula>"If(b13=""Yes"",1,0)"</formula>
    </cfRule>
    <cfRule type="expression" dxfId="480" priority="314">
      <formula>"if(b13='Yes')"</formula>
    </cfRule>
    <cfRule type="expression" dxfId="479" priority="315">
      <formula>"if(B13='Yes'"</formula>
    </cfRule>
  </conditionalFormatting>
  <conditionalFormatting sqref="AH66:AH67">
    <cfRule type="expression" dxfId="478" priority="310">
      <formula>"If(b13=""Yes"",1,0)"</formula>
    </cfRule>
    <cfRule type="expression" dxfId="477" priority="311">
      <formula>"if(b13='Yes')"</formula>
    </cfRule>
    <cfRule type="expression" dxfId="476" priority="312">
      <formula>"if(B13='Yes'"</formula>
    </cfRule>
  </conditionalFormatting>
  <conditionalFormatting sqref="AK68:AK70">
    <cfRule type="expression" dxfId="475" priority="307">
      <formula>"If(b13=""Yes"",1,0)"</formula>
    </cfRule>
    <cfRule type="expression" dxfId="474" priority="308">
      <formula>"if(b13='Yes')"</formula>
    </cfRule>
    <cfRule type="expression" dxfId="473" priority="309">
      <formula>"if(B13='Yes'"</formula>
    </cfRule>
  </conditionalFormatting>
  <conditionalFormatting sqref="AK66:AK67">
    <cfRule type="expression" dxfId="472" priority="304">
      <formula>"If(b13=""Yes"",1,0)"</formula>
    </cfRule>
    <cfRule type="expression" dxfId="471" priority="305">
      <formula>"if(b13='Yes')"</formula>
    </cfRule>
    <cfRule type="expression" dxfId="470" priority="306">
      <formula>"if(B13='Yes'"</formula>
    </cfRule>
  </conditionalFormatting>
  <conditionalFormatting sqref="AN68:AN70">
    <cfRule type="expression" dxfId="469" priority="301">
      <formula>"If(b13=""Yes"",1,0)"</formula>
    </cfRule>
    <cfRule type="expression" dxfId="468" priority="302">
      <formula>"if(b13='Yes')"</formula>
    </cfRule>
    <cfRule type="expression" dxfId="467" priority="303">
      <formula>"if(B13='Yes'"</formula>
    </cfRule>
  </conditionalFormatting>
  <conditionalFormatting sqref="AN66:AN67">
    <cfRule type="expression" dxfId="466" priority="298">
      <formula>"If(b13=""Yes"",1,0)"</formula>
    </cfRule>
    <cfRule type="expression" dxfId="465" priority="299">
      <formula>"if(b13='Yes')"</formula>
    </cfRule>
    <cfRule type="expression" dxfId="464" priority="300">
      <formula>"if(B13='Yes'"</formula>
    </cfRule>
  </conditionalFormatting>
  <conditionalFormatting sqref="AQ68:AQ70">
    <cfRule type="expression" dxfId="463" priority="295">
      <formula>"If(b13=""Yes"",1,0)"</formula>
    </cfRule>
    <cfRule type="expression" dxfId="462" priority="296">
      <formula>"if(b13='Yes')"</formula>
    </cfRule>
    <cfRule type="expression" dxfId="461" priority="297">
      <formula>"if(B13='Yes'"</formula>
    </cfRule>
  </conditionalFormatting>
  <conditionalFormatting sqref="AQ66:AQ67">
    <cfRule type="expression" dxfId="460" priority="292">
      <formula>"If(b13=""Yes"",1,0)"</formula>
    </cfRule>
    <cfRule type="expression" dxfId="459" priority="293">
      <formula>"if(b13='Yes')"</formula>
    </cfRule>
    <cfRule type="expression" dxfId="458" priority="294">
      <formula>"if(B13='Yes'"</formula>
    </cfRule>
  </conditionalFormatting>
  <conditionalFormatting sqref="AT68:AT70">
    <cfRule type="expression" dxfId="457" priority="289">
      <formula>"If(b13=""Yes"",1,0)"</formula>
    </cfRule>
    <cfRule type="expression" dxfId="456" priority="290">
      <formula>"if(b13='Yes')"</formula>
    </cfRule>
    <cfRule type="expression" dxfId="455" priority="291">
      <formula>"if(B13='Yes'"</formula>
    </cfRule>
  </conditionalFormatting>
  <conditionalFormatting sqref="AT66:AT67">
    <cfRule type="expression" dxfId="454" priority="286">
      <formula>"If(b13=""Yes"",1,0)"</formula>
    </cfRule>
    <cfRule type="expression" dxfId="453" priority="287">
      <formula>"if(b13='Yes')"</formula>
    </cfRule>
    <cfRule type="expression" dxfId="452" priority="288">
      <formula>"if(B13='Yes'"</formula>
    </cfRule>
  </conditionalFormatting>
  <conditionalFormatting sqref="AW68:AW70">
    <cfRule type="expression" dxfId="451" priority="283">
      <formula>"If(b13=""Yes"",1,0)"</formula>
    </cfRule>
    <cfRule type="expression" dxfId="450" priority="284">
      <formula>"if(b13='Yes')"</formula>
    </cfRule>
    <cfRule type="expression" dxfId="449" priority="285">
      <formula>"if(B13='Yes'"</formula>
    </cfRule>
  </conditionalFormatting>
  <conditionalFormatting sqref="AW66:AW67">
    <cfRule type="expression" dxfId="448" priority="280">
      <formula>"If(b13=""Yes"",1,0)"</formula>
    </cfRule>
    <cfRule type="expression" dxfId="447" priority="281">
      <formula>"if(b13='Yes')"</formula>
    </cfRule>
    <cfRule type="expression" dxfId="446" priority="282">
      <formula>"if(B13='Yes'"</formula>
    </cfRule>
  </conditionalFormatting>
  <conditionalFormatting sqref="AZ68:AZ70">
    <cfRule type="expression" dxfId="445" priority="277">
      <formula>"If(b13=""Yes"",1,0)"</formula>
    </cfRule>
    <cfRule type="expression" dxfId="444" priority="278">
      <formula>"if(b13='Yes')"</formula>
    </cfRule>
    <cfRule type="expression" dxfId="443" priority="279">
      <formula>"if(B13='Yes'"</formula>
    </cfRule>
  </conditionalFormatting>
  <conditionalFormatting sqref="AZ66:AZ67">
    <cfRule type="expression" dxfId="442" priority="274">
      <formula>"If(b13=""Yes"",1,0)"</formula>
    </cfRule>
    <cfRule type="expression" dxfId="441" priority="275">
      <formula>"if(b13='Yes')"</formula>
    </cfRule>
    <cfRule type="expression" dxfId="440" priority="276">
      <formula>"if(B13='Yes'"</formula>
    </cfRule>
  </conditionalFormatting>
  <conditionalFormatting sqref="BC68:BC70">
    <cfRule type="expression" dxfId="439" priority="271">
      <formula>"If(b13=""Yes"",1,0)"</formula>
    </cfRule>
    <cfRule type="expression" dxfId="438" priority="272">
      <formula>"if(b13='Yes')"</formula>
    </cfRule>
    <cfRule type="expression" dxfId="437" priority="273">
      <formula>"if(B13='Yes'"</formula>
    </cfRule>
  </conditionalFormatting>
  <conditionalFormatting sqref="BC66:BC67">
    <cfRule type="expression" dxfId="436" priority="268">
      <formula>"If(b13=""Yes"",1,0)"</formula>
    </cfRule>
    <cfRule type="expression" dxfId="435" priority="269">
      <formula>"if(b13='Yes')"</formula>
    </cfRule>
    <cfRule type="expression" dxfId="434" priority="270">
      <formula>"if(B13='Yes'"</formula>
    </cfRule>
  </conditionalFormatting>
  <conditionalFormatting sqref="BF68:BF70">
    <cfRule type="expression" dxfId="433" priority="265">
      <formula>"If(b13=""Yes"",1,0)"</formula>
    </cfRule>
    <cfRule type="expression" dxfId="432" priority="266">
      <formula>"if(b13='Yes')"</formula>
    </cfRule>
    <cfRule type="expression" dxfId="431" priority="267">
      <formula>"if(B13='Yes'"</formula>
    </cfRule>
  </conditionalFormatting>
  <conditionalFormatting sqref="BF66:BF67">
    <cfRule type="expression" dxfId="430" priority="262">
      <formula>"If(b13=""Yes"",1,0)"</formula>
    </cfRule>
    <cfRule type="expression" dxfId="429" priority="263">
      <formula>"if(b13='Yes')"</formula>
    </cfRule>
    <cfRule type="expression" dxfId="428" priority="264">
      <formula>"if(B13='Yes'"</formula>
    </cfRule>
  </conditionalFormatting>
  <conditionalFormatting sqref="BI68:BI70">
    <cfRule type="expression" dxfId="427" priority="259">
      <formula>"If(b13=""Yes"",1,0)"</formula>
    </cfRule>
    <cfRule type="expression" dxfId="426" priority="260">
      <formula>"if(b13='Yes')"</formula>
    </cfRule>
    <cfRule type="expression" dxfId="425" priority="261">
      <formula>"if(B13='Yes'"</formula>
    </cfRule>
  </conditionalFormatting>
  <conditionalFormatting sqref="BI66:BI67">
    <cfRule type="expression" dxfId="424" priority="256">
      <formula>"If(b13=""Yes"",1,0)"</formula>
    </cfRule>
    <cfRule type="expression" dxfId="423" priority="257">
      <formula>"if(b13='Yes')"</formula>
    </cfRule>
    <cfRule type="expression" dxfId="422" priority="258">
      <formula>"if(B13='Yes'"</formula>
    </cfRule>
  </conditionalFormatting>
  <conditionalFormatting sqref="BL68:BL70">
    <cfRule type="expression" dxfId="421" priority="253">
      <formula>"If(b13=""Yes"",1,0)"</formula>
    </cfRule>
    <cfRule type="expression" dxfId="420" priority="254">
      <formula>"if(b13='Yes')"</formula>
    </cfRule>
    <cfRule type="expression" dxfId="419" priority="255">
      <formula>"if(B13='Yes'"</formula>
    </cfRule>
  </conditionalFormatting>
  <conditionalFormatting sqref="BL66:BL67">
    <cfRule type="expression" dxfId="418" priority="250">
      <formula>"If(b13=""Yes"",1,0)"</formula>
    </cfRule>
    <cfRule type="expression" dxfId="417" priority="251">
      <formula>"if(b13='Yes')"</formula>
    </cfRule>
    <cfRule type="expression" dxfId="416" priority="252">
      <formula>"if(B13='Yes'"</formula>
    </cfRule>
  </conditionalFormatting>
  <conditionalFormatting sqref="BO68:BO70">
    <cfRule type="expression" dxfId="415" priority="247">
      <formula>"If(b13=""Yes"",1,0)"</formula>
    </cfRule>
    <cfRule type="expression" dxfId="414" priority="248">
      <formula>"if(b13='Yes')"</formula>
    </cfRule>
    <cfRule type="expression" dxfId="413" priority="249">
      <formula>"if(B13='Yes'"</formula>
    </cfRule>
  </conditionalFormatting>
  <conditionalFormatting sqref="BO66:BO67">
    <cfRule type="expression" dxfId="412" priority="244">
      <formula>"If(b13=""Yes"",1,0)"</formula>
    </cfRule>
    <cfRule type="expression" dxfId="411" priority="245">
      <formula>"if(b13='Yes')"</formula>
    </cfRule>
    <cfRule type="expression" dxfId="410" priority="246">
      <formula>"if(B13='Yes'"</formula>
    </cfRule>
  </conditionalFormatting>
  <conditionalFormatting sqref="BR68:BR70">
    <cfRule type="expression" dxfId="409" priority="241">
      <formula>"If(b13=""Yes"",1,0)"</formula>
    </cfRule>
    <cfRule type="expression" dxfId="408" priority="242">
      <formula>"if(b13='Yes')"</formula>
    </cfRule>
    <cfRule type="expression" dxfId="407" priority="243">
      <formula>"if(B13='Yes'"</formula>
    </cfRule>
  </conditionalFormatting>
  <conditionalFormatting sqref="BR66:BR67">
    <cfRule type="expression" dxfId="406" priority="238">
      <formula>"If(b13=""Yes"",1,0)"</formula>
    </cfRule>
    <cfRule type="expression" dxfId="405" priority="239">
      <formula>"if(b13='Yes')"</formula>
    </cfRule>
    <cfRule type="expression" dxfId="404" priority="240">
      <formula>"if(B13='Yes'"</formula>
    </cfRule>
  </conditionalFormatting>
  <conditionalFormatting sqref="BU68:BU70">
    <cfRule type="expression" dxfId="403" priority="235">
      <formula>"If(b13=""Yes"",1,0)"</formula>
    </cfRule>
    <cfRule type="expression" dxfId="402" priority="236">
      <formula>"if(b13='Yes')"</formula>
    </cfRule>
    <cfRule type="expression" dxfId="401" priority="237">
      <formula>"if(B13='Yes'"</formula>
    </cfRule>
  </conditionalFormatting>
  <conditionalFormatting sqref="BU66:BU67">
    <cfRule type="expression" dxfId="400" priority="232">
      <formula>"If(b13=""Yes"",1,0)"</formula>
    </cfRule>
    <cfRule type="expression" dxfId="399" priority="233">
      <formula>"if(b13='Yes')"</formula>
    </cfRule>
    <cfRule type="expression" dxfId="398" priority="234">
      <formula>"if(B13='Yes'"</formula>
    </cfRule>
  </conditionalFormatting>
  <conditionalFormatting sqref="BX68:BX70">
    <cfRule type="expression" dxfId="397" priority="229">
      <formula>"If(b13=""Yes"",1,0)"</formula>
    </cfRule>
    <cfRule type="expression" dxfId="396" priority="230">
      <formula>"if(b13='Yes')"</formula>
    </cfRule>
    <cfRule type="expression" dxfId="395" priority="231">
      <formula>"if(B13='Yes'"</formula>
    </cfRule>
  </conditionalFormatting>
  <conditionalFormatting sqref="BX66:BX67">
    <cfRule type="expression" dxfId="394" priority="226">
      <formula>"If(b13=""Yes"",1,0)"</formula>
    </cfRule>
    <cfRule type="expression" dxfId="393" priority="227">
      <formula>"if(b13='Yes')"</formula>
    </cfRule>
    <cfRule type="expression" dxfId="392" priority="228">
      <formula>"if(B13='Yes'"</formula>
    </cfRule>
  </conditionalFormatting>
  <conditionalFormatting sqref="CA68:CA70">
    <cfRule type="expression" dxfId="391" priority="223">
      <formula>"If(b13=""Yes"",1,0)"</formula>
    </cfRule>
    <cfRule type="expression" dxfId="390" priority="224">
      <formula>"if(b13='Yes')"</formula>
    </cfRule>
    <cfRule type="expression" dxfId="389" priority="225">
      <formula>"if(B13='Yes'"</formula>
    </cfRule>
  </conditionalFormatting>
  <conditionalFormatting sqref="CA66:CA67">
    <cfRule type="expression" dxfId="388" priority="220">
      <formula>"If(b13=""Yes"",1,0)"</formula>
    </cfRule>
    <cfRule type="expression" dxfId="387" priority="221">
      <formula>"if(b13='Yes')"</formula>
    </cfRule>
    <cfRule type="expression" dxfId="386" priority="222">
      <formula>"if(B13='Yes'"</formula>
    </cfRule>
  </conditionalFormatting>
  <conditionalFormatting sqref="CD68:CD70">
    <cfRule type="expression" dxfId="385" priority="217">
      <formula>"If(b13=""Yes"",1,0)"</formula>
    </cfRule>
    <cfRule type="expression" dxfId="384" priority="218">
      <formula>"if(b13='Yes')"</formula>
    </cfRule>
    <cfRule type="expression" dxfId="383" priority="219">
      <formula>"if(B13='Yes'"</formula>
    </cfRule>
  </conditionalFormatting>
  <conditionalFormatting sqref="CD66:CD67">
    <cfRule type="expression" dxfId="382" priority="214">
      <formula>"If(b13=""Yes"",1,0)"</formula>
    </cfRule>
    <cfRule type="expression" dxfId="381" priority="215">
      <formula>"if(b13='Yes')"</formula>
    </cfRule>
    <cfRule type="expression" dxfId="380" priority="216">
      <formula>"if(B13='Yes'"</formula>
    </cfRule>
  </conditionalFormatting>
  <conditionalFormatting sqref="CG68:CG70">
    <cfRule type="expression" dxfId="379" priority="211">
      <formula>"If(b13=""Yes"",1,0)"</formula>
    </cfRule>
    <cfRule type="expression" dxfId="378" priority="212">
      <formula>"if(b13='Yes')"</formula>
    </cfRule>
    <cfRule type="expression" dxfId="377" priority="213">
      <formula>"if(B13='Yes'"</formula>
    </cfRule>
  </conditionalFormatting>
  <conditionalFormatting sqref="CG66:CG67">
    <cfRule type="expression" dxfId="376" priority="208">
      <formula>"If(b13=""Yes"",1,0)"</formula>
    </cfRule>
    <cfRule type="expression" dxfId="375" priority="209">
      <formula>"if(b13='Yes')"</formula>
    </cfRule>
    <cfRule type="expression" dxfId="374" priority="210">
      <formula>"if(B13='Yes'"</formula>
    </cfRule>
  </conditionalFormatting>
  <conditionalFormatting sqref="CJ68:CJ70">
    <cfRule type="expression" dxfId="373" priority="205">
      <formula>"If(b13=""Yes"",1,0)"</formula>
    </cfRule>
    <cfRule type="expression" dxfId="372" priority="206">
      <formula>"if(b13='Yes')"</formula>
    </cfRule>
    <cfRule type="expression" dxfId="371" priority="207">
      <formula>"if(B13='Yes'"</formula>
    </cfRule>
  </conditionalFormatting>
  <conditionalFormatting sqref="CJ66:CJ67">
    <cfRule type="expression" dxfId="370" priority="202">
      <formula>"If(b13=""Yes"",1,0)"</formula>
    </cfRule>
    <cfRule type="expression" dxfId="369" priority="203">
      <formula>"if(b13='Yes')"</formula>
    </cfRule>
    <cfRule type="expression" dxfId="368" priority="204">
      <formula>"if(B13='Yes'"</formula>
    </cfRule>
  </conditionalFormatting>
  <conditionalFormatting sqref="CM68:CM70">
    <cfRule type="expression" dxfId="367" priority="199">
      <formula>"If(b13=""Yes"",1,0)"</formula>
    </cfRule>
    <cfRule type="expression" dxfId="366" priority="200">
      <formula>"if(b13='Yes')"</formula>
    </cfRule>
    <cfRule type="expression" dxfId="365" priority="201">
      <formula>"if(B13='Yes'"</formula>
    </cfRule>
  </conditionalFormatting>
  <conditionalFormatting sqref="CM66:CM67">
    <cfRule type="expression" dxfId="364" priority="196">
      <formula>"If(b13=""Yes"",1,0)"</formula>
    </cfRule>
    <cfRule type="expression" dxfId="363" priority="197">
      <formula>"if(b13='Yes')"</formula>
    </cfRule>
    <cfRule type="expression" dxfId="362" priority="198">
      <formula>"if(B13='Yes'"</formula>
    </cfRule>
  </conditionalFormatting>
  <conditionalFormatting sqref="CP68:CP70">
    <cfRule type="expression" dxfId="361" priority="193">
      <formula>"If(b13=""Yes"",1,0)"</formula>
    </cfRule>
    <cfRule type="expression" dxfId="360" priority="194">
      <formula>"if(b13='Yes')"</formula>
    </cfRule>
    <cfRule type="expression" dxfId="359" priority="195">
      <formula>"if(B13='Yes'"</formula>
    </cfRule>
  </conditionalFormatting>
  <conditionalFormatting sqref="CP66:CP67">
    <cfRule type="expression" dxfId="358" priority="190">
      <formula>"If(b13=""Yes"",1,0)"</formula>
    </cfRule>
    <cfRule type="expression" dxfId="357" priority="191">
      <formula>"if(b13='Yes')"</formula>
    </cfRule>
    <cfRule type="expression" dxfId="356" priority="192">
      <formula>"if(B13='Yes'"</formula>
    </cfRule>
  </conditionalFormatting>
  <conditionalFormatting sqref="G72:G74">
    <cfRule type="expression" dxfId="355" priority="184">
      <formula>"If(b13=""Yes"",1,0)"</formula>
    </cfRule>
    <cfRule type="expression" dxfId="354" priority="185">
      <formula>"if(b13='Yes')"</formula>
    </cfRule>
    <cfRule type="expression" dxfId="353" priority="186">
      <formula>"if(B13='Yes'"</formula>
    </cfRule>
  </conditionalFormatting>
  <conditionalFormatting sqref="CP71">
    <cfRule type="expression" dxfId="352" priority="1">
      <formula>"If(b13=""Yes"",1,0)"</formula>
    </cfRule>
    <cfRule type="expression" dxfId="351" priority="2">
      <formula>"if(b13='Yes')"</formula>
    </cfRule>
    <cfRule type="expression" dxfId="350" priority="3">
      <formula>"if(B13='Yes'"</formula>
    </cfRule>
  </conditionalFormatting>
  <conditionalFormatting sqref="G71">
    <cfRule type="expression" dxfId="349" priority="181">
      <formula>"If(b13=""Yes"",1,0)"</formula>
    </cfRule>
    <cfRule type="expression" dxfId="348" priority="182">
      <formula>"if(b13='Yes')"</formula>
    </cfRule>
    <cfRule type="expression" dxfId="347" priority="183">
      <formula>"if(B13='Yes'"</formula>
    </cfRule>
  </conditionalFormatting>
  <conditionalFormatting sqref="CP72:CP74">
    <cfRule type="expression" dxfId="346" priority="4">
      <formula>"If(b13=""Yes"",1,0)"</formula>
    </cfRule>
    <cfRule type="expression" dxfId="345" priority="5">
      <formula>"if(b13='Yes')"</formula>
    </cfRule>
    <cfRule type="expression" dxfId="344" priority="6">
      <formula>"if(B13='Yes'"</formula>
    </cfRule>
  </conditionalFormatting>
  <conditionalFormatting sqref="J72:J74">
    <cfRule type="expression" dxfId="343" priority="172">
      <formula>"If(b13=""Yes"",1,0)"</formula>
    </cfRule>
    <cfRule type="expression" dxfId="342" priority="173">
      <formula>"if(b13='Yes')"</formula>
    </cfRule>
    <cfRule type="expression" dxfId="341" priority="174">
      <formula>"if(B13='Yes'"</formula>
    </cfRule>
  </conditionalFormatting>
  <conditionalFormatting sqref="J71">
    <cfRule type="expression" dxfId="340" priority="169">
      <formula>"If(b13=""Yes"",1,0)"</formula>
    </cfRule>
    <cfRule type="expression" dxfId="339" priority="170">
      <formula>"if(b13='Yes')"</formula>
    </cfRule>
    <cfRule type="expression" dxfId="338" priority="171">
      <formula>"if(B13='Yes'"</formula>
    </cfRule>
  </conditionalFormatting>
  <conditionalFormatting sqref="M72:M74">
    <cfRule type="expression" dxfId="337" priority="166">
      <formula>"If(b13=""Yes"",1,0)"</formula>
    </cfRule>
    <cfRule type="expression" dxfId="336" priority="167">
      <formula>"if(b13='Yes')"</formula>
    </cfRule>
    <cfRule type="expression" dxfId="335" priority="168">
      <formula>"if(B13='Yes'"</formula>
    </cfRule>
  </conditionalFormatting>
  <conditionalFormatting sqref="M71">
    <cfRule type="expression" dxfId="334" priority="163">
      <formula>"If(b13=""Yes"",1,0)"</formula>
    </cfRule>
    <cfRule type="expression" dxfId="333" priority="164">
      <formula>"if(b13='Yes')"</formula>
    </cfRule>
    <cfRule type="expression" dxfId="332" priority="165">
      <formula>"if(B13='Yes'"</formula>
    </cfRule>
  </conditionalFormatting>
  <conditionalFormatting sqref="P72:P74">
    <cfRule type="expression" dxfId="331" priority="160">
      <formula>"If(b13=""Yes"",1,0)"</formula>
    </cfRule>
    <cfRule type="expression" dxfId="330" priority="161">
      <formula>"if(b13='Yes')"</formula>
    </cfRule>
    <cfRule type="expression" dxfId="329" priority="162">
      <formula>"if(B13='Yes'"</formula>
    </cfRule>
  </conditionalFormatting>
  <conditionalFormatting sqref="P71">
    <cfRule type="expression" dxfId="328" priority="157">
      <formula>"If(b13=""Yes"",1,0)"</formula>
    </cfRule>
    <cfRule type="expression" dxfId="327" priority="158">
      <formula>"if(b13='Yes')"</formula>
    </cfRule>
    <cfRule type="expression" dxfId="326" priority="159">
      <formula>"if(B13='Yes'"</formula>
    </cfRule>
  </conditionalFormatting>
  <conditionalFormatting sqref="S72:S74">
    <cfRule type="expression" dxfId="325" priority="154">
      <formula>"If(b13=""Yes"",1,0)"</formula>
    </cfRule>
    <cfRule type="expression" dxfId="324" priority="155">
      <formula>"if(b13='Yes')"</formula>
    </cfRule>
    <cfRule type="expression" dxfId="323" priority="156">
      <formula>"if(B13='Yes'"</formula>
    </cfRule>
  </conditionalFormatting>
  <conditionalFormatting sqref="S71">
    <cfRule type="expression" dxfId="322" priority="151">
      <formula>"If(b13=""Yes"",1,0)"</formula>
    </cfRule>
    <cfRule type="expression" dxfId="321" priority="152">
      <formula>"if(b13='Yes')"</formula>
    </cfRule>
    <cfRule type="expression" dxfId="320" priority="153">
      <formula>"if(B13='Yes'"</formula>
    </cfRule>
  </conditionalFormatting>
  <conditionalFormatting sqref="V72:V74">
    <cfRule type="expression" dxfId="319" priority="148">
      <formula>"If(b13=""Yes"",1,0)"</formula>
    </cfRule>
    <cfRule type="expression" dxfId="318" priority="149">
      <formula>"if(b13='Yes')"</formula>
    </cfRule>
    <cfRule type="expression" dxfId="317" priority="150">
      <formula>"if(B13='Yes'"</formula>
    </cfRule>
  </conditionalFormatting>
  <conditionalFormatting sqref="V71">
    <cfRule type="expression" dxfId="316" priority="145">
      <formula>"If(b13=""Yes"",1,0)"</formula>
    </cfRule>
    <cfRule type="expression" dxfId="315" priority="146">
      <formula>"if(b13='Yes')"</formula>
    </cfRule>
    <cfRule type="expression" dxfId="314" priority="147">
      <formula>"if(B13='Yes'"</formula>
    </cfRule>
  </conditionalFormatting>
  <conditionalFormatting sqref="Y72:Y74">
    <cfRule type="expression" dxfId="313" priority="142">
      <formula>"If(b13=""Yes"",1,0)"</formula>
    </cfRule>
    <cfRule type="expression" dxfId="312" priority="143">
      <formula>"if(b13='Yes')"</formula>
    </cfRule>
    <cfRule type="expression" dxfId="311" priority="144">
      <formula>"if(B13='Yes'"</formula>
    </cfRule>
  </conditionalFormatting>
  <conditionalFormatting sqref="Y71">
    <cfRule type="expression" dxfId="310" priority="139">
      <formula>"If(b13=""Yes"",1,0)"</formula>
    </cfRule>
    <cfRule type="expression" dxfId="309" priority="140">
      <formula>"if(b13='Yes')"</formula>
    </cfRule>
    <cfRule type="expression" dxfId="308" priority="141">
      <formula>"if(B13='Yes'"</formula>
    </cfRule>
  </conditionalFormatting>
  <conditionalFormatting sqref="AB72:AB74">
    <cfRule type="expression" dxfId="307" priority="136">
      <formula>"If(b13=""Yes"",1,0)"</formula>
    </cfRule>
    <cfRule type="expression" dxfId="306" priority="137">
      <formula>"if(b13='Yes')"</formula>
    </cfRule>
    <cfRule type="expression" dxfId="305" priority="138">
      <formula>"if(B13='Yes'"</formula>
    </cfRule>
  </conditionalFormatting>
  <conditionalFormatting sqref="AB71">
    <cfRule type="expression" dxfId="304" priority="133">
      <formula>"If(b13=""Yes"",1,0)"</formula>
    </cfRule>
    <cfRule type="expression" dxfId="303" priority="134">
      <formula>"if(b13='Yes')"</formula>
    </cfRule>
    <cfRule type="expression" dxfId="302" priority="135">
      <formula>"if(B13='Yes'"</formula>
    </cfRule>
  </conditionalFormatting>
  <conditionalFormatting sqref="AE72:AE74">
    <cfRule type="expression" dxfId="301" priority="130">
      <formula>"If(b13=""Yes"",1,0)"</formula>
    </cfRule>
    <cfRule type="expression" dxfId="300" priority="131">
      <formula>"if(b13='Yes')"</formula>
    </cfRule>
    <cfRule type="expression" dxfId="299" priority="132">
      <formula>"if(B13='Yes'"</formula>
    </cfRule>
  </conditionalFormatting>
  <conditionalFormatting sqref="AE71">
    <cfRule type="expression" dxfId="298" priority="127">
      <formula>"If(b13=""Yes"",1,0)"</formula>
    </cfRule>
    <cfRule type="expression" dxfId="297" priority="128">
      <formula>"if(b13='Yes')"</formula>
    </cfRule>
    <cfRule type="expression" dxfId="296" priority="129">
      <formula>"if(B13='Yes'"</formula>
    </cfRule>
  </conditionalFormatting>
  <conditionalFormatting sqref="AH72:AH74">
    <cfRule type="expression" dxfId="295" priority="124">
      <formula>"If(b13=""Yes"",1,0)"</formula>
    </cfRule>
    <cfRule type="expression" dxfId="294" priority="125">
      <formula>"if(b13='Yes')"</formula>
    </cfRule>
    <cfRule type="expression" dxfId="293" priority="126">
      <formula>"if(B13='Yes'"</formula>
    </cfRule>
  </conditionalFormatting>
  <conditionalFormatting sqref="AH71">
    <cfRule type="expression" dxfId="292" priority="121">
      <formula>"If(b13=""Yes"",1,0)"</formula>
    </cfRule>
    <cfRule type="expression" dxfId="291" priority="122">
      <formula>"if(b13='Yes')"</formula>
    </cfRule>
    <cfRule type="expression" dxfId="290" priority="123">
      <formula>"if(B13='Yes'"</formula>
    </cfRule>
  </conditionalFormatting>
  <conditionalFormatting sqref="AK72:AK74">
    <cfRule type="expression" dxfId="289" priority="118">
      <formula>"If(b13=""Yes"",1,0)"</formula>
    </cfRule>
    <cfRule type="expression" dxfId="288" priority="119">
      <formula>"if(b13='Yes')"</formula>
    </cfRule>
    <cfRule type="expression" dxfId="287" priority="120">
      <formula>"if(B13='Yes'"</formula>
    </cfRule>
  </conditionalFormatting>
  <conditionalFormatting sqref="AK71">
    <cfRule type="expression" dxfId="286" priority="115">
      <formula>"If(b13=""Yes"",1,0)"</formula>
    </cfRule>
    <cfRule type="expression" dxfId="285" priority="116">
      <formula>"if(b13='Yes')"</formula>
    </cfRule>
    <cfRule type="expression" dxfId="284" priority="117">
      <formula>"if(B13='Yes'"</formula>
    </cfRule>
  </conditionalFormatting>
  <conditionalFormatting sqref="AN72:AN74">
    <cfRule type="expression" dxfId="283" priority="112">
      <formula>"If(b13=""Yes"",1,0)"</formula>
    </cfRule>
    <cfRule type="expression" dxfId="282" priority="113">
      <formula>"if(b13='Yes')"</formula>
    </cfRule>
    <cfRule type="expression" dxfId="281" priority="114">
      <formula>"if(B13='Yes'"</formula>
    </cfRule>
  </conditionalFormatting>
  <conditionalFormatting sqref="AN71">
    <cfRule type="expression" dxfId="280" priority="109">
      <formula>"If(b13=""Yes"",1,0)"</formula>
    </cfRule>
    <cfRule type="expression" dxfId="279" priority="110">
      <formula>"if(b13='Yes')"</formula>
    </cfRule>
    <cfRule type="expression" dxfId="278" priority="111">
      <formula>"if(B13='Yes'"</formula>
    </cfRule>
  </conditionalFormatting>
  <conditionalFormatting sqref="AQ72:AQ74">
    <cfRule type="expression" dxfId="277" priority="106">
      <formula>"If(b13=""Yes"",1,0)"</formula>
    </cfRule>
    <cfRule type="expression" dxfId="276" priority="107">
      <formula>"if(b13='Yes')"</formula>
    </cfRule>
    <cfRule type="expression" dxfId="275" priority="108">
      <formula>"if(B13='Yes'"</formula>
    </cfRule>
  </conditionalFormatting>
  <conditionalFormatting sqref="AQ71">
    <cfRule type="expression" dxfId="274" priority="103">
      <formula>"If(b13=""Yes"",1,0)"</formula>
    </cfRule>
    <cfRule type="expression" dxfId="273" priority="104">
      <formula>"if(b13='Yes')"</formula>
    </cfRule>
    <cfRule type="expression" dxfId="272" priority="105">
      <formula>"if(B13='Yes'"</formula>
    </cfRule>
  </conditionalFormatting>
  <conditionalFormatting sqref="AT72:AT74">
    <cfRule type="expression" dxfId="271" priority="100">
      <formula>"If(b13=""Yes"",1,0)"</formula>
    </cfRule>
    <cfRule type="expression" dxfId="270" priority="101">
      <formula>"if(b13='Yes')"</formula>
    </cfRule>
    <cfRule type="expression" dxfId="269" priority="102">
      <formula>"if(B13='Yes'"</formula>
    </cfRule>
  </conditionalFormatting>
  <conditionalFormatting sqref="AT71">
    <cfRule type="expression" dxfId="268" priority="97">
      <formula>"If(b13=""Yes"",1,0)"</formula>
    </cfRule>
    <cfRule type="expression" dxfId="267" priority="98">
      <formula>"if(b13='Yes')"</formula>
    </cfRule>
    <cfRule type="expression" dxfId="266" priority="99">
      <formula>"if(B13='Yes'"</formula>
    </cfRule>
  </conditionalFormatting>
  <conditionalFormatting sqref="AW72:AW74">
    <cfRule type="expression" dxfId="265" priority="94">
      <formula>"If(b13=""Yes"",1,0)"</formula>
    </cfRule>
    <cfRule type="expression" dxfId="264" priority="95">
      <formula>"if(b13='Yes')"</formula>
    </cfRule>
    <cfRule type="expression" dxfId="263" priority="96">
      <formula>"if(B13='Yes'"</formula>
    </cfRule>
  </conditionalFormatting>
  <conditionalFormatting sqref="AW71">
    <cfRule type="expression" dxfId="262" priority="91">
      <formula>"If(b13=""Yes"",1,0)"</formula>
    </cfRule>
    <cfRule type="expression" dxfId="261" priority="92">
      <formula>"if(b13='Yes')"</formula>
    </cfRule>
    <cfRule type="expression" dxfId="260" priority="93">
      <formula>"if(B13='Yes'"</formula>
    </cfRule>
  </conditionalFormatting>
  <conditionalFormatting sqref="AZ72:AZ74">
    <cfRule type="expression" dxfId="259" priority="88">
      <formula>"If(b13=""Yes"",1,0)"</formula>
    </cfRule>
    <cfRule type="expression" dxfId="258" priority="89">
      <formula>"if(b13='Yes')"</formula>
    </cfRule>
    <cfRule type="expression" dxfId="257" priority="90">
      <formula>"if(B13='Yes'"</formula>
    </cfRule>
  </conditionalFormatting>
  <conditionalFormatting sqref="AZ71">
    <cfRule type="expression" dxfId="256" priority="85">
      <formula>"If(b13=""Yes"",1,0)"</formula>
    </cfRule>
    <cfRule type="expression" dxfId="255" priority="86">
      <formula>"if(b13='Yes')"</formula>
    </cfRule>
    <cfRule type="expression" dxfId="254" priority="87">
      <formula>"if(B13='Yes'"</formula>
    </cfRule>
  </conditionalFormatting>
  <conditionalFormatting sqref="BC72:BC74">
    <cfRule type="expression" dxfId="253" priority="82">
      <formula>"If(b13=""Yes"",1,0)"</formula>
    </cfRule>
    <cfRule type="expression" dxfId="252" priority="83">
      <formula>"if(b13='Yes')"</formula>
    </cfRule>
    <cfRule type="expression" dxfId="251" priority="84">
      <formula>"if(B13='Yes'"</formula>
    </cfRule>
  </conditionalFormatting>
  <conditionalFormatting sqref="BC71">
    <cfRule type="expression" dxfId="250" priority="79">
      <formula>"If(b13=""Yes"",1,0)"</formula>
    </cfRule>
    <cfRule type="expression" dxfId="249" priority="80">
      <formula>"if(b13='Yes')"</formula>
    </cfRule>
    <cfRule type="expression" dxfId="248" priority="81">
      <formula>"if(B13='Yes'"</formula>
    </cfRule>
  </conditionalFormatting>
  <conditionalFormatting sqref="BF72:BF74">
    <cfRule type="expression" dxfId="247" priority="76">
      <formula>"If(b13=""Yes"",1,0)"</formula>
    </cfRule>
    <cfRule type="expression" dxfId="246" priority="77">
      <formula>"if(b13='Yes')"</formula>
    </cfRule>
    <cfRule type="expression" dxfId="245" priority="78">
      <formula>"if(B13='Yes'"</formula>
    </cfRule>
  </conditionalFormatting>
  <conditionalFormatting sqref="BF71">
    <cfRule type="expression" dxfId="244" priority="73">
      <formula>"If(b13=""Yes"",1,0)"</formula>
    </cfRule>
    <cfRule type="expression" dxfId="243" priority="74">
      <formula>"if(b13='Yes')"</formula>
    </cfRule>
    <cfRule type="expression" dxfId="242" priority="75">
      <formula>"if(B13='Yes'"</formula>
    </cfRule>
  </conditionalFormatting>
  <conditionalFormatting sqref="BI72:BI74">
    <cfRule type="expression" dxfId="241" priority="70">
      <formula>"If(b13=""Yes"",1,0)"</formula>
    </cfRule>
    <cfRule type="expression" dxfId="240" priority="71">
      <formula>"if(b13='Yes')"</formula>
    </cfRule>
    <cfRule type="expression" dxfId="239" priority="72">
      <formula>"if(B13='Yes'"</formula>
    </cfRule>
  </conditionalFormatting>
  <conditionalFormatting sqref="BI71">
    <cfRule type="expression" dxfId="238" priority="67">
      <formula>"If(b13=""Yes"",1,0)"</formula>
    </cfRule>
    <cfRule type="expression" dxfId="237" priority="68">
      <formula>"if(b13='Yes')"</formula>
    </cfRule>
    <cfRule type="expression" dxfId="236" priority="69">
      <formula>"if(B13='Yes'"</formula>
    </cfRule>
  </conditionalFormatting>
  <conditionalFormatting sqref="BL72:BL74">
    <cfRule type="expression" dxfId="235" priority="64">
      <formula>"If(b13=""Yes"",1,0)"</formula>
    </cfRule>
    <cfRule type="expression" dxfId="234" priority="65">
      <formula>"if(b13='Yes')"</formula>
    </cfRule>
    <cfRule type="expression" dxfId="233" priority="66">
      <formula>"if(B13='Yes'"</formula>
    </cfRule>
  </conditionalFormatting>
  <conditionalFormatting sqref="BL71">
    <cfRule type="expression" dxfId="232" priority="61">
      <formula>"If(b13=""Yes"",1,0)"</formula>
    </cfRule>
    <cfRule type="expression" dxfId="231" priority="62">
      <formula>"if(b13='Yes')"</formula>
    </cfRule>
    <cfRule type="expression" dxfId="230" priority="63">
      <formula>"if(B13='Yes'"</formula>
    </cfRule>
  </conditionalFormatting>
  <conditionalFormatting sqref="BO72:BO74">
    <cfRule type="expression" dxfId="229" priority="58">
      <formula>"If(b13=""Yes"",1,0)"</formula>
    </cfRule>
    <cfRule type="expression" dxfId="228" priority="59">
      <formula>"if(b13='Yes')"</formula>
    </cfRule>
    <cfRule type="expression" dxfId="227" priority="60">
      <formula>"if(B13='Yes'"</formula>
    </cfRule>
  </conditionalFormatting>
  <conditionalFormatting sqref="BO71">
    <cfRule type="expression" dxfId="226" priority="55">
      <formula>"If(b13=""Yes"",1,0)"</formula>
    </cfRule>
    <cfRule type="expression" dxfId="225" priority="56">
      <formula>"if(b13='Yes')"</formula>
    </cfRule>
    <cfRule type="expression" dxfId="224" priority="57">
      <formula>"if(B13='Yes'"</formula>
    </cfRule>
  </conditionalFormatting>
  <conditionalFormatting sqref="BR72:BR74">
    <cfRule type="expression" dxfId="223" priority="52">
      <formula>"If(b13=""Yes"",1,0)"</formula>
    </cfRule>
    <cfRule type="expression" dxfId="222" priority="53">
      <formula>"if(b13='Yes')"</formula>
    </cfRule>
    <cfRule type="expression" dxfId="221" priority="54">
      <formula>"if(B13='Yes'"</formula>
    </cfRule>
  </conditionalFormatting>
  <conditionalFormatting sqref="BR71">
    <cfRule type="expression" dxfId="220" priority="49">
      <formula>"If(b13=""Yes"",1,0)"</formula>
    </cfRule>
    <cfRule type="expression" dxfId="219" priority="50">
      <formula>"if(b13='Yes')"</formula>
    </cfRule>
    <cfRule type="expression" dxfId="218" priority="51">
      <formula>"if(B13='Yes'"</formula>
    </cfRule>
  </conditionalFormatting>
  <conditionalFormatting sqref="BU72:BU74">
    <cfRule type="expression" dxfId="217" priority="46">
      <formula>"If(b13=""Yes"",1,0)"</formula>
    </cfRule>
    <cfRule type="expression" dxfId="216" priority="47">
      <formula>"if(b13='Yes')"</formula>
    </cfRule>
    <cfRule type="expression" dxfId="215" priority="48">
      <formula>"if(B13='Yes'"</formula>
    </cfRule>
  </conditionalFormatting>
  <conditionalFormatting sqref="BU71">
    <cfRule type="expression" dxfId="214" priority="43">
      <formula>"If(b13=""Yes"",1,0)"</formula>
    </cfRule>
    <cfRule type="expression" dxfId="213" priority="44">
      <formula>"if(b13='Yes')"</formula>
    </cfRule>
    <cfRule type="expression" dxfId="212" priority="45">
      <formula>"if(B13='Yes'"</formula>
    </cfRule>
  </conditionalFormatting>
  <conditionalFormatting sqref="BX72:BX74">
    <cfRule type="expression" dxfId="211" priority="40">
      <formula>"If(b13=""Yes"",1,0)"</formula>
    </cfRule>
    <cfRule type="expression" dxfId="210" priority="41">
      <formula>"if(b13='Yes')"</formula>
    </cfRule>
    <cfRule type="expression" dxfId="209" priority="42">
      <formula>"if(B13='Yes'"</formula>
    </cfRule>
  </conditionalFormatting>
  <conditionalFormatting sqref="BX71">
    <cfRule type="expression" dxfId="208" priority="37">
      <formula>"If(b13=""Yes"",1,0)"</formula>
    </cfRule>
    <cfRule type="expression" dxfId="207" priority="38">
      <formula>"if(b13='Yes')"</formula>
    </cfRule>
    <cfRule type="expression" dxfId="206" priority="39">
      <formula>"if(B13='Yes'"</formula>
    </cfRule>
  </conditionalFormatting>
  <conditionalFormatting sqref="CA72:CA74">
    <cfRule type="expression" dxfId="205" priority="34">
      <formula>"If(b13=""Yes"",1,0)"</formula>
    </cfRule>
    <cfRule type="expression" dxfId="204" priority="35">
      <formula>"if(b13='Yes')"</formula>
    </cfRule>
    <cfRule type="expression" dxfId="203" priority="36">
      <formula>"if(B13='Yes'"</formula>
    </cfRule>
  </conditionalFormatting>
  <conditionalFormatting sqref="CA71">
    <cfRule type="expression" dxfId="202" priority="31">
      <formula>"If(b13=""Yes"",1,0)"</formula>
    </cfRule>
    <cfRule type="expression" dxfId="201" priority="32">
      <formula>"if(b13='Yes')"</formula>
    </cfRule>
    <cfRule type="expression" dxfId="200" priority="33">
      <formula>"if(B13='Yes'"</formula>
    </cfRule>
  </conditionalFormatting>
  <conditionalFormatting sqref="CD72:CD74">
    <cfRule type="expression" dxfId="199" priority="28">
      <formula>"If(b13=""Yes"",1,0)"</formula>
    </cfRule>
    <cfRule type="expression" dxfId="198" priority="29">
      <formula>"if(b13='Yes')"</formula>
    </cfRule>
    <cfRule type="expression" dxfId="197" priority="30">
      <formula>"if(B13='Yes'"</formula>
    </cfRule>
  </conditionalFormatting>
  <conditionalFormatting sqref="CD71">
    <cfRule type="expression" dxfId="196" priority="25">
      <formula>"If(b13=""Yes"",1,0)"</formula>
    </cfRule>
    <cfRule type="expression" dxfId="195" priority="26">
      <formula>"if(b13='Yes')"</formula>
    </cfRule>
    <cfRule type="expression" dxfId="194" priority="27">
      <formula>"if(B13='Yes'"</formula>
    </cfRule>
  </conditionalFormatting>
  <conditionalFormatting sqref="CG72:CG74">
    <cfRule type="expression" dxfId="193" priority="22">
      <formula>"If(b13=""Yes"",1,0)"</formula>
    </cfRule>
    <cfRule type="expression" dxfId="192" priority="23">
      <formula>"if(b13='Yes')"</formula>
    </cfRule>
    <cfRule type="expression" dxfId="191" priority="24">
      <formula>"if(B13='Yes'"</formula>
    </cfRule>
  </conditionalFormatting>
  <conditionalFormatting sqref="CG71">
    <cfRule type="expression" dxfId="190" priority="19">
      <formula>"If(b13=""Yes"",1,0)"</formula>
    </cfRule>
    <cfRule type="expression" dxfId="189" priority="20">
      <formula>"if(b13='Yes')"</formula>
    </cfRule>
    <cfRule type="expression" dxfId="188" priority="21">
      <formula>"if(B13='Yes'"</formula>
    </cfRule>
  </conditionalFormatting>
  <conditionalFormatting sqref="CJ72:CJ74">
    <cfRule type="expression" dxfId="187" priority="16">
      <formula>"If(b13=""Yes"",1,0)"</formula>
    </cfRule>
    <cfRule type="expression" dxfId="186" priority="17">
      <formula>"if(b13='Yes')"</formula>
    </cfRule>
    <cfRule type="expression" dxfId="185" priority="18">
      <formula>"if(B13='Yes'"</formula>
    </cfRule>
  </conditionalFormatting>
  <conditionalFormatting sqref="CJ71">
    <cfRule type="expression" dxfId="184" priority="13">
      <formula>"If(b13=""Yes"",1,0)"</formula>
    </cfRule>
    <cfRule type="expression" dxfId="183" priority="14">
      <formula>"if(b13='Yes')"</formula>
    </cfRule>
    <cfRule type="expression" dxfId="182" priority="15">
      <formula>"if(B13='Yes'"</formula>
    </cfRule>
  </conditionalFormatting>
  <conditionalFormatting sqref="CM72:CM74">
    <cfRule type="expression" dxfId="181" priority="10">
      <formula>"If(b13=""Yes"",1,0)"</formula>
    </cfRule>
    <cfRule type="expression" dxfId="180" priority="11">
      <formula>"if(b13='Yes')"</formula>
    </cfRule>
    <cfRule type="expression" dxfId="179" priority="12">
      <formula>"if(B13='Yes'"</formula>
    </cfRule>
  </conditionalFormatting>
  <conditionalFormatting sqref="CM71">
    <cfRule type="expression" dxfId="178" priority="7">
      <formula>"If(b13=""Yes"",1,0)"</formula>
    </cfRule>
    <cfRule type="expression" dxfId="177" priority="8">
      <formula>"if(b13='Yes')"</formula>
    </cfRule>
    <cfRule type="expression" dxfId="176" priority="9">
      <formula>"if(B13='Yes'"</formula>
    </cfRule>
  </conditionalFormatting>
  <dataValidations count="2">
    <dataValidation type="list" allowBlank="1" showInputMessage="1" showErrorMessage="1" sqref="H59:H60 CQ59:CQ60 W59:W60 T59:T60 K59:K60 N59:N60 Q59:Q60 AC59:AC60 AF59:AF60 AI59:AI60 AL59:AL60 AO59:AO60 AR59:AR60 AU59:AU60 AX59:AX60 BA59:BA60 BD59:BD60 BG59:BG60 BJ59:BJ60 BM59:BM60 BP59:BP60 BS59:BS60 BV59:BV60 BY59:BY60 CB59:CB60 CE59:CE60 CH59:CH60 CK59:CK60 CN59:CN60 Z59:Z60">
      <formula1>"N/A, 0, 1, 2, 3"</formula1>
    </dataValidation>
    <dataValidation type="list" allowBlank="1" showInputMessage="1" showErrorMessage="1" sqref="H67 K67 N67 Q67 T67 W67 Z67 AC67 AF67 AI67 AL67 AO67 AR67 AU67 AX67 BA67 BD67 BG67 BJ67 BM67 BP67 BS67 BV67 BY67 CB67 CE67 CH67 CK67 CN67 CQ67">
      <formula1>"Please Select, 2011, 2012, 2013, 2014, 2015, 2016, 2017, 2018, 2019, 2020"</formula1>
    </dataValidation>
  </dataValidations>
  <pageMargins left="0.70866141732283472" right="0.70866141732283472" top="0.74803149606299213" bottom="0.74803149606299213" header="0.31496062992125984" footer="0.31496062992125984"/>
  <pageSetup paperSize="9" scale="18"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tint="0.39997558519241921"/>
    <pageSetUpPr fitToPage="1"/>
  </sheetPr>
  <dimension ref="A1:K53"/>
  <sheetViews>
    <sheetView zoomScale="80" zoomScaleNormal="80" workbookViewId="0">
      <pane ySplit="6" topLeftCell="A7" activePane="bottomLeft" state="frozen"/>
      <selection pane="bottomLeft"/>
    </sheetView>
  </sheetViews>
  <sheetFormatPr defaultRowHeight="15" x14ac:dyDescent="0.25"/>
  <cols>
    <col min="1" max="1" width="69.28515625" customWidth="1"/>
    <col min="2" max="4" width="30.7109375" customWidth="1"/>
    <col min="5" max="5" width="17.140625" customWidth="1"/>
    <col min="6" max="6" width="22.85546875" customWidth="1"/>
    <col min="7" max="7" width="18.28515625" customWidth="1"/>
    <col min="8" max="8" width="21.7109375" hidden="1" customWidth="1"/>
    <col min="9" max="9" width="27.85546875" hidden="1" customWidth="1"/>
    <col min="10" max="10" width="18.85546875" customWidth="1"/>
    <col min="11" max="11" width="20.7109375" customWidth="1"/>
    <col min="12" max="19" width="15.140625" customWidth="1"/>
    <col min="20" max="20" width="19.42578125" customWidth="1"/>
    <col min="21" max="21" width="11.28515625" bestFit="1" customWidth="1"/>
  </cols>
  <sheetData>
    <row r="1" spans="1:11" ht="47.25" customHeight="1" thickBot="1" x14ac:dyDescent="0.3">
      <c r="A1" s="81" t="s">
        <v>149</v>
      </c>
      <c r="B1" s="50" t="s">
        <v>60</v>
      </c>
      <c r="C1" s="103"/>
      <c r="D1" s="104"/>
      <c r="E1" s="112"/>
      <c r="F1" s="113"/>
      <c r="G1" s="57"/>
    </row>
    <row r="2" spans="1:11" ht="21" thickBot="1" x14ac:dyDescent="0.35">
      <c r="A2" s="72" t="s">
        <v>98</v>
      </c>
      <c r="B2" s="58" t="s">
        <v>61</v>
      </c>
      <c r="C2" s="105"/>
      <c r="D2" s="160" t="str">
        <f>'Instructions '!A58</f>
        <v>Workbook Version: OM Issue 6.1 Data Centres</v>
      </c>
      <c r="E2" s="105"/>
      <c r="F2" s="106"/>
    </row>
    <row r="3" spans="1:11" ht="21" thickBot="1" x14ac:dyDescent="0.35">
      <c r="A3" s="451" t="s">
        <v>99</v>
      </c>
      <c r="B3" s="59" t="s">
        <v>62</v>
      </c>
      <c r="C3" s="95"/>
      <c r="D3" s="161" t="str">
        <f>'Instructions '!$A$59</f>
        <v>Workbook date: 4/5/17 (includes stringency test)</v>
      </c>
      <c r="E3" s="97"/>
      <c r="F3" s="114"/>
      <c r="G3" s="54"/>
      <c r="H3" s="55"/>
      <c r="I3" s="53"/>
      <c r="J3" s="53"/>
      <c r="K3" s="56"/>
    </row>
    <row r="4" spans="1:11" ht="15.75" thickBot="1" x14ac:dyDescent="0.3">
      <c r="A4" s="451"/>
      <c r="B4" s="79" t="s">
        <v>63</v>
      </c>
      <c r="C4" s="95"/>
      <c r="D4" s="96"/>
      <c r="E4" s="97"/>
      <c r="F4" s="114"/>
      <c r="G4" s="54"/>
      <c r="H4" s="55"/>
      <c r="I4" s="53"/>
      <c r="J4" s="53"/>
      <c r="K4" s="56"/>
    </row>
    <row r="5" spans="1:11" ht="21" customHeight="1" thickBot="1" x14ac:dyDescent="0.3">
      <c r="A5" s="451"/>
      <c r="B5" s="60" t="s">
        <v>64</v>
      </c>
      <c r="C5" s="95"/>
      <c r="D5" s="96"/>
      <c r="E5" s="97"/>
      <c r="F5" s="114"/>
      <c r="G5" s="54"/>
      <c r="H5" s="55"/>
      <c r="I5" s="53"/>
      <c r="J5" s="53"/>
      <c r="K5" s="56"/>
    </row>
    <row r="6" spans="1:11" ht="17.25" customHeight="1" thickBot="1" x14ac:dyDescent="0.3">
      <c r="A6" s="452"/>
      <c r="B6" s="80" t="s">
        <v>106</v>
      </c>
      <c r="C6" s="95"/>
      <c r="D6" s="96"/>
      <c r="E6" s="97"/>
      <c r="F6" s="114"/>
      <c r="G6" s="54"/>
      <c r="H6" s="55"/>
      <c r="I6" s="53"/>
      <c r="J6" s="53"/>
      <c r="K6" s="56"/>
    </row>
    <row r="7" spans="1:11" ht="17.25" customHeight="1" thickBot="1" x14ac:dyDescent="0.3">
      <c r="A7" s="107"/>
      <c r="B7" s="108"/>
      <c r="C7" s="105"/>
      <c r="D7" s="105"/>
      <c r="E7" s="105"/>
      <c r="F7" s="106"/>
    </row>
    <row r="8" spans="1:11" ht="15.75" thickBot="1" x14ac:dyDescent="0.3">
      <c r="A8" s="58" t="s">
        <v>31</v>
      </c>
      <c r="B8" s="77"/>
      <c r="C8" s="105"/>
      <c r="D8" s="105"/>
      <c r="E8" s="105"/>
      <c r="F8" s="106"/>
    </row>
    <row r="9" spans="1:11" ht="15.75" thickBot="1" x14ac:dyDescent="0.3">
      <c r="A9" s="58" t="s">
        <v>32</v>
      </c>
      <c r="B9" s="377" t="s">
        <v>337</v>
      </c>
      <c r="C9" s="105"/>
      <c r="D9" s="105"/>
      <c r="E9" s="105"/>
      <c r="F9" s="106"/>
    </row>
    <row r="10" spans="1:11" ht="15.75" thickBot="1" x14ac:dyDescent="0.3">
      <c r="A10" s="58" t="s">
        <v>107</v>
      </c>
      <c r="B10" s="123" t="s">
        <v>370</v>
      </c>
      <c r="C10" s="105"/>
      <c r="D10" s="105"/>
      <c r="E10" s="105"/>
      <c r="F10" s="106"/>
    </row>
    <row r="11" spans="1:11" ht="15.75" thickBot="1" x14ac:dyDescent="0.3">
      <c r="A11" s="58" t="s">
        <v>33</v>
      </c>
      <c r="B11" s="377" t="s">
        <v>338</v>
      </c>
      <c r="C11" s="105"/>
      <c r="D11" s="105"/>
      <c r="E11" s="105"/>
      <c r="F11" s="106"/>
    </row>
    <row r="12" spans="1:11" ht="15.75" thickBot="1" x14ac:dyDescent="0.3">
      <c r="A12" s="58" t="s">
        <v>34</v>
      </c>
      <c r="B12" s="378" t="s">
        <v>344</v>
      </c>
      <c r="C12" s="105"/>
      <c r="D12" s="105"/>
      <c r="E12" s="105"/>
      <c r="F12" s="106"/>
    </row>
    <row r="13" spans="1:11" ht="15.75" thickBot="1" x14ac:dyDescent="0.3">
      <c r="A13" s="58" t="s">
        <v>100</v>
      </c>
      <c r="B13" s="64">
        <f>'Facility Data'!$E$62</f>
        <v>0</v>
      </c>
      <c r="C13" s="105"/>
      <c r="D13" s="105"/>
      <c r="E13" s="105"/>
      <c r="F13" s="106"/>
    </row>
    <row r="14" spans="1:11" ht="15.75" thickBot="1" x14ac:dyDescent="0.3">
      <c r="A14" s="58" t="s">
        <v>133</v>
      </c>
      <c r="B14" s="64">
        <f>IF('Facility Data'!E63=0,'Facility Data'!$E$62,'Facility Data'!$E$65)</f>
        <v>0</v>
      </c>
      <c r="C14" s="105"/>
      <c r="D14" s="105"/>
      <c r="E14" s="105"/>
      <c r="F14" s="106"/>
    </row>
    <row r="15" spans="1:11" ht="15.75" thickBot="1" x14ac:dyDescent="0.3">
      <c r="A15" s="105"/>
      <c r="B15" s="105"/>
      <c r="C15" s="105"/>
      <c r="D15" s="105"/>
      <c r="E15" s="105"/>
      <c r="F15" s="106"/>
    </row>
    <row r="16" spans="1:11" ht="30.75" thickBot="1" x14ac:dyDescent="0.3">
      <c r="A16" s="58" t="s">
        <v>96</v>
      </c>
      <c r="B16" s="64">
        <f>SUM(B25:B48)</f>
        <v>0</v>
      </c>
      <c r="C16" s="105"/>
      <c r="D16" s="105"/>
      <c r="E16" s="105"/>
      <c r="F16" s="106"/>
    </row>
    <row r="17" spans="1:8" ht="30.75" thickBot="1" x14ac:dyDescent="0.3">
      <c r="A17" s="58" t="s">
        <v>95</v>
      </c>
      <c r="B17" s="87" t="s">
        <v>93</v>
      </c>
      <c r="C17" s="105"/>
      <c r="D17" s="105"/>
      <c r="E17" s="105"/>
      <c r="F17" s="106"/>
    </row>
    <row r="18" spans="1:8" ht="45.75" thickBot="1" x14ac:dyDescent="0.3">
      <c r="A18" s="58" t="s">
        <v>58</v>
      </c>
      <c r="B18" s="64">
        <f>SUM(C26:C48)</f>
        <v>0</v>
      </c>
      <c r="C18" s="364" t="str">
        <f>IF(AND(B18=0,B17="Yes"),"Check EUETS Data",IF(AND(B18&lt;&gt;0,B17="No"),"Check EUETS Data",IF(B17="Please Select","Check selection in B17","")))</f>
        <v/>
      </c>
      <c r="D18" s="105"/>
      <c r="E18" s="105"/>
      <c r="F18" s="106"/>
    </row>
    <row r="19" spans="1:8" ht="15.75" thickBot="1" x14ac:dyDescent="0.3">
      <c r="A19" s="58" t="s">
        <v>59</v>
      </c>
      <c r="B19" s="64">
        <f>IF(B17="Yes",B16-B18,B16)</f>
        <v>0</v>
      </c>
      <c r="C19" s="105"/>
      <c r="D19" s="105"/>
      <c r="E19" s="105"/>
      <c r="F19" s="106"/>
    </row>
    <row r="20" spans="1:8" ht="15.75" thickBot="1" x14ac:dyDescent="0.3">
      <c r="A20" s="58" t="s">
        <v>145</v>
      </c>
      <c r="B20" s="184">
        <f>ROUND(IF(B19=0,0,(D25*'Facility Data'!B21+D26*'Facility Data'!B22+D27*'Facility Data'!B23+D28*'Facility Data'!B24+D29*'Facility Data'!B25+D30*'Facility Data'!B26+D31*'Facility Data'!B27+D32*'Facility Data'!B28+D33*'Facility Data'!B29+D34*'Facility Data'!B30+D35*'Facility Data'!B31+D36*'Facility Data'!B32+D37*'Facility Data'!B33+D38*'Facility Data'!B34+D39*'Facility Data'!B35+D40*'Facility Data'!B36+D41*'Facility Data'!B37+D42*'Facility Data'!B38+D43*'Facility Data'!B39+D44*'Facility Data'!B40+D45*'Facility Data'!B41+D46*'Facility Data'!B42+D47*'Facility Data'!B43+D48*'Facility Data'!B44)/(SUM(D25:D48))),4)</f>
        <v>0</v>
      </c>
      <c r="C20" s="105"/>
      <c r="D20" s="105"/>
      <c r="E20" s="105"/>
      <c r="F20" s="106"/>
    </row>
    <row r="21" spans="1:8" ht="30.75" thickBot="1" x14ac:dyDescent="0.3">
      <c r="A21" s="156" t="s">
        <v>124</v>
      </c>
      <c r="B21" s="183">
        <f>'Facility Data'!E59</f>
        <v>0</v>
      </c>
      <c r="C21" s="159">
        <f>IF(B21=0,1,IF(B21=1,10,IF(B21=2,100,IF(B21=3,1000,10000))))</f>
        <v>1</v>
      </c>
      <c r="D21" s="105"/>
      <c r="E21" s="105"/>
      <c r="F21" s="106"/>
    </row>
    <row r="22" spans="1:8" ht="30.75" thickBot="1" x14ac:dyDescent="0.3">
      <c r="A22" s="156" t="s">
        <v>125</v>
      </c>
      <c r="B22" s="183">
        <f>'Facility Data'!E60</f>
        <v>0</v>
      </c>
      <c r="C22" s="159">
        <f>IF(B22=0,1,IF(B22=1,10,IF(B22=2,100,IF(B22=3,1000,10000))))</f>
        <v>1</v>
      </c>
      <c r="D22" s="105"/>
      <c r="E22" s="105"/>
      <c r="F22" s="106"/>
    </row>
    <row r="23" spans="1:8" ht="59.25" customHeight="1" x14ac:dyDescent="0.25">
      <c r="A23" s="94"/>
      <c r="B23" s="98"/>
      <c r="C23" s="105"/>
      <c r="D23" s="105"/>
      <c r="E23" s="105"/>
      <c r="F23" s="106"/>
    </row>
    <row r="24" spans="1:8" ht="45.75" hidden="1" customHeight="1" thickBot="1" x14ac:dyDescent="0.3">
      <c r="A24" s="62" t="s">
        <v>105</v>
      </c>
      <c r="B24" s="61" t="s">
        <v>65</v>
      </c>
      <c r="C24" s="63" t="s">
        <v>66</v>
      </c>
      <c r="D24" s="61" t="s">
        <v>67</v>
      </c>
      <c r="E24" s="100"/>
      <c r="F24" s="115"/>
      <c r="G24" s="73"/>
      <c r="H24" s="61" t="s">
        <v>120</v>
      </c>
    </row>
    <row r="25" spans="1:8" ht="15.75" hidden="1" customHeight="1" thickBot="1" x14ac:dyDescent="0.3">
      <c r="A25" s="61" t="str">
        <f>'Facility Data'!A21</f>
        <v>Primary Electricity (Grid + Renewable Electricity) (Primary kWh)</v>
      </c>
      <c r="B25" s="176">
        <f>'Facility Data'!C21</f>
        <v>0</v>
      </c>
      <c r="C25" s="82">
        <f>'Facility Data'!D21</f>
        <v>0</v>
      </c>
      <c r="D25" s="176">
        <f>'Facility Data'!E21</f>
        <v>0</v>
      </c>
      <c r="E25" s="101"/>
      <c r="F25" s="114"/>
      <c r="G25" s="78"/>
      <c r="H25" s="76">
        <f>D25*'Facility Data'!B21</f>
        <v>0</v>
      </c>
    </row>
    <row r="26" spans="1:8" ht="15.75" hidden="1" customHeight="1" thickBot="1" x14ac:dyDescent="0.3">
      <c r="A26" s="61" t="str">
        <f>'Facility Data'!A22</f>
        <v>Natural Gas (kWh)</v>
      </c>
      <c r="B26" s="176">
        <f>'Facility Data'!C22</f>
        <v>0</v>
      </c>
      <c r="C26" s="176">
        <f>'Facility Data'!D22</f>
        <v>0</v>
      </c>
      <c r="D26" s="176">
        <f>'Facility Data'!E22</f>
        <v>0</v>
      </c>
      <c r="E26" s="102"/>
      <c r="F26" s="116"/>
      <c r="G26" s="78"/>
      <c r="H26" s="76">
        <f>D26*'Facility Data'!B22</f>
        <v>0</v>
      </c>
    </row>
    <row r="27" spans="1:8" ht="15.75" hidden="1" customHeight="1" thickBot="1" x14ac:dyDescent="0.3">
      <c r="A27" s="61" t="str">
        <f>'Facility Data'!A23</f>
        <v>Fuel Oil (kWh)</v>
      </c>
      <c r="B27" s="176">
        <f>'Facility Data'!C23</f>
        <v>0</v>
      </c>
      <c r="C27" s="176">
        <f>'Facility Data'!D23</f>
        <v>0</v>
      </c>
      <c r="D27" s="176">
        <f>'Facility Data'!E23</f>
        <v>0</v>
      </c>
      <c r="E27" s="102"/>
      <c r="F27" s="116"/>
      <c r="G27" s="78"/>
      <c r="H27" s="76">
        <f>D27*'Facility Data'!B23</f>
        <v>0</v>
      </c>
    </row>
    <row r="28" spans="1:8" ht="15.75" hidden="1" customHeight="1" thickBot="1" x14ac:dyDescent="0.3">
      <c r="A28" s="61" t="str">
        <f>'Facility Data'!A24</f>
        <v>Coal (kWh)</v>
      </c>
      <c r="B28" s="176">
        <f>'Facility Data'!C24</f>
        <v>0</v>
      </c>
      <c r="C28" s="176">
        <f>'Facility Data'!D24</f>
        <v>0</v>
      </c>
      <c r="D28" s="176">
        <f>'Facility Data'!E24</f>
        <v>0</v>
      </c>
      <c r="E28" s="102"/>
      <c r="F28" s="116"/>
      <c r="G28" s="78"/>
      <c r="H28" s="76">
        <f>D28*'Facility Data'!B24</f>
        <v>0</v>
      </c>
    </row>
    <row r="29" spans="1:8" ht="15.75" hidden="1" customHeight="1" thickBot="1" x14ac:dyDescent="0.3">
      <c r="A29" s="61" t="str">
        <f>'Facility Data'!A25</f>
        <v>Coke (kWh)</v>
      </c>
      <c r="B29" s="176">
        <f>'Facility Data'!C25</f>
        <v>0</v>
      </c>
      <c r="C29" s="176">
        <f>'Facility Data'!D25</f>
        <v>0</v>
      </c>
      <c r="D29" s="176">
        <f>'Facility Data'!E25</f>
        <v>0</v>
      </c>
      <c r="E29" s="102"/>
      <c r="F29" s="116"/>
      <c r="G29" s="78"/>
      <c r="H29" s="76">
        <f>D29*'Facility Data'!B25</f>
        <v>0</v>
      </c>
    </row>
    <row r="30" spans="1:8" ht="15.75" hidden="1" customHeight="1" thickBot="1" x14ac:dyDescent="0.3">
      <c r="A30" s="61" t="str">
        <f>'Facility Data'!A26</f>
        <v>LPG (kWh)</v>
      </c>
      <c r="B30" s="176">
        <f>'Facility Data'!C26</f>
        <v>0</v>
      </c>
      <c r="C30" s="176">
        <f>'Facility Data'!D26</f>
        <v>0</v>
      </c>
      <c r="D30" s="176">
        <f>'Facility Data'!E26</f>
        <v>0</v>
      </c>
      <c r="E30" s="102"/>
      <c r="F30" s="116"/>
      <c r="G30" s="78"/>
      <c r="H30" s="76">
        <f>D30*'Facility Data'!B26</f>
        <v>0</v>
      </c>
    </row>
    <row r="31" spans="1:8" ht="15.75" hidden="1" customHeight="1" thickBot="1" x14ac:dyDescent="0.3">
      <c r="A31" s="61" t="str">
        <f>'Facility Data'!A27</f>
        <v>Ethane (kWh)</v>
      </c>
      <c r="B31" s="176">
        <f>'Facility Data'!C27</f>
        <v>0</v>
      </c>
      <c r="C31" s="176">
        <f>'Facility Data'!D27</f>
        <v>0</v>
      </c>
      <c r="D31" s="176">
        <f>'Facility Data'!E27</f>
        <v>0</v>
      </c>
      <c r="E31" s="102"/>
      <c r="F31" s="116"/>
      <c r="G31" s="78"/>
      <c r="H31" s="76">
        <f>D31*'Facility Data'!B27</f>
        <v>0</v>
      </c>
    </row>
    <row r="32" spans="1:8" ht="15.75" hidden="1" customHeight="1" thickBot="1" x14ac:dyDescent="0.3">
      <c r="A32" s="61" t="str">
        <f>'Facility Data'!A28</f>
        <v>Kerosene (kWh)</v>
      </c>
      <c r="B32" s="176">
        <f>'Facility Data'!C28</f>
        <v>0</v>
      </c>
      <c r="C32" s="176">
        <f>'Facility Data'!D28</f>
        <v>0</v>
      </c>
      <c r="D32" s="176">
        <f>'Facility Data'!E28</f>
        <v>0</v>
      </c>
      <c r="E32" s="102"/>
      <c r="F32" s="116"/>
      <c r="G32" s="78"/>
      <c r="H32" s="76">
        <f>D32*'Facility Data'!B28</f>
        <v>0</v>
      </c>
    </row>
    <row r="33" spans="1:8" ht="15.75" hidden="1" customHeight="1" thickBot="1" x14ac:dyDescent="0.3">
      <c r="A33" s="61" t="str">
        <f>'Facility Data'!A29</f>
        <v>Petrol (kWh)</v>
      </c>
      <c r="B33" s="176">
        <f>'Facility Data'!C29</f>
        <v>0</v>
      </c>
      <c r="C33" s="176">
        <f>'Facility Data'!D29</f>
        <v>0</v>
      </c>
      <c r="D33" s="176">
        <f>'Facility Data'!E29</f>
        <v>0</v>
      </c>
      <c r="E33" s="102"/>
      <c r="F33" s="116"/>
      <c r="G33" s="78"/>
      <c r="H33" s="76">
        <f>D33*'Facility Data'!B29</f>
        <v>0</v>
      </c>
    </row>
    <row r="34" spans="1:8" ht="15.75" hidden="1" customHeight="1" thickBot="1" x14ac:dyDescent="0.3">
      <c r="A34" s="61" t="str">
        <f>'Facility Data'!A30</f>
        <v>Gas oil/Diesel oil (kWh)</v>
      </c>
      <c r="B34" s="176">
        <f>'Facility Data'!C30</f>
        <v>0</v>
      </c>
      <c r="C34" s="176">
        <f>'Facility Data'!D30</f>
        <v>0</v>
      </c>
      <c r="D34" s="176">
        <f>'Facility Data'!E30</f>
        <v>0</v>
      </c>
      <c r="E34" s="102"/>
      <c r="F34" s="116"/>
      <c r="G34" s="78"/>
      <c r="H34" s="76">
        <f>D34*'Facility Data'!B30</f>
        <v>0</v>
      </c>
    </row>
    <row r="35" spans="1:8" ht="15.75" hidden="1" customHeight="1" thickBot="1" x14ac:dyDescent="0.3">
      <c r="A35" s="61" t="str">
        <f>'Facility Data'!A31</f>
        <v>Naptha (kWh)</v>
      </c>
      <c r="B35" s="176">
        <f>'Facility Data'!C31</f>
        <v>0</v>
      </c>
      <c r="C35" s="176">
        <f>'Facility Data'!D31</f>
        <v>0</v>
      </c>
      <c r="D35" s="176">
        <f>'Facility Data'!E31</f>
        <v>0</v>
      </c>
      <c r="E35" s="102"/>
      <c r="F35" s="116"/>
      <c r="G35" s="78"/>
      <c r="H35" s="76">
        <f>D35*'Facility Data'!B31</f>
        <v>0</v>
      </c>
    </row>
    <row r="36" spans="1:8" ht="15.75" hidden="1" customHeight="1" thickBot="1" x14ac:dyDescent="0.3">
      <c r="A36" s="61" t="str">
        <f>'Facility Data'!A32</f>
        <v>Petroleum coke  (kWh)</v>
      </c>
      <c r="B36" s="176">
        <f>'Facility Data'!C32</f>
        <v>0</v>
      </c>
      <c r="C36" s="176">
        <f>'Facility Data'!D32</f>
        <v>0</v>
      </c>
      <c r="D36" s="176">
        <f>'Facility Data'!E32</f>
        <v>0</v>
      </c>
      <c r="E36" s="102"/>
      <c r="F36" s="116"/>
      <c r="G36" s="78"/>
      <c r="H36" s="76">
        <f>D36*'Facility Data'!B32</f>
        <v>0</v>
      </c>
    </row>
    <row r="37" spans="1:8" ht="15.75" hidden="1" customHeight="1" thickBot="1" x14ac:dyDescent="0.3">
      <c r="A37" s="61" t="str">
        <f>'Facility Data'!A33</f>
        <v>Refinery gas (kWh)</v>
      </c>
      <c r="B37" s="176">
        <f>'Facility Data'!C33</f>
        <v>0</v>
      </c>
      <c r="C37" s="176">
        <f>'Facility Data'!D33</f>
        <v>0</v>
      </c>
      <c r="D37" s="176">
        <f>'Facility Data'!E33</f>
        <v>0</v>
      </c>
      <c r="E37" s="102"/>
      <c r="F37" s="116"/>
      <c r="G37" s="78"/>
      <c r="H37" s="76">
        <f>D37*'Facility Data'!B33</f>
        <v>0</v>
      </c>
    </row>
    <row r="38" spans="1:8" ht="15.75" hidden="1" customHeight="1" thickBot="1" x14ac:dyDescent="0.3">
      <c r="A38" s="167" t="str">
        <f>'Facility Data'!A34</f>
        <v>Other fuel 01  (kWh)</v>
      </c>
      <c r="B38" s="176">
        <f>'Facility Data'!C34</f>
        <v>0</v>
      </c>
      <c r="C38" s="176">
        <f>'Facility Data'!D34</f>
        <v>0</v>
      </c>
      <c r="D38" s="176">
        <f>'Facility Data'!E34</f>
        <v>0</v>
      </c>
      <c r="E38" s="102"/>
      <c r="F38" s="116"/>
      <c r="G38" s="78"/>
      <c r="H38" s="76">
        <f>D38*'Facility Data'!B34</f>
        <v>0</v>
      </c>
    </row>
    <row r="39" spans="1:8" ht="15.75" hidden="1" customHeight="1" thickBot="1" x14ac:dyDescent="0.3">
      <c r="A39" s="167" t="str">
        <f>'Facility Data'!A35</f>
        <v>Other fuel 02  (kWh)</v>
      </c>
      <c r="B39" s="176">
        <f>'Facility Data'!C35</f>
        <v>0</v>
      </c>
      <c r="C39" s="176">
        <f>'Facility Data'!D35</f>
        <v>0</v>
      </c>
      <c r="D39" s="176">
        <f>'Facility Data'!E35</f>
        <v>0</v>
      </c>
      <c r="E39" s="102"/>
      <c r="F39" s="116"/>
      <c r="G39" s="78"/>
      <c r="H39" s="76">
        <f>D39*'Facility Data'!B35</f>
        <v>0</v>
      </c>
    </row>
    <row r="40" spans="1:8" ht="15.75" hidden="1" customHeight="1" thickBot="1" x14ac:dyDescent="0.3">
      <c r="A40" s="167" t="str">
        <f>'Facility Data'!A36</f>
        <v>Other fuel 03  (kWh)</v>
      </c>
      <c r="B40" s="176">
        <f>'Facility Data'!C36</f>
        <v>0</v>
      </c>
      <c r="C40" s="176">
        <f>'Facility Data'!D36</f>
        <v>0</v>
      </c>
      <c r="D40" s="176">
        <f>'Facility Data'!E36</f>
        <v>0</v>
      </c>
      <c r="E40" s="102"/>
      <c r="F40" s="116"/>
      <c r="G40" s="78"/>
      <c r="H40" s="76">
        <f>D40*'Facility Data'!B36</f>
        <v>0</v>
      </c>
    </row>
    <row r="41" spans="1:8" ht="15.75" hidden="1" customHeight="1" thickBot="1" x14ac:dyDescent="0.3">
      <c r="A41" s="167" t="str">
        <f>'Facility Data'!A37</f>
        <v>Other fuel 04  (kWh)</v>
      </c>
      <c r="B41" s="176">
        <f>'Facility Data'!C37</f>
        <v>0</v>
      </c>
      <c r="C41" s="176">
        <f>'Facility Data'!D37</f>
        <v>0</v>
      </c>
      <c r="D41" s="176">
        <f>'Facility Data'!E37</f>
        <v>0</v>
      </c>
      <c r="E41" s="102"/>
      <c r="F41" s="116"/>
      <c r="G41" s="78"/>
      <c r="H41" s="76">
        <f>D41*'Facility Data'!B37</f>
        <v>0</v>
      </c>
    </row>
    <row r="42" spans="1:8" ht="15.75" hidden="1" customHeight="1" thickBot="1" x14ac:dyDescent="0.3">
      <c r="A42" s="167" t="str">
        <f>'Facility Data'!A38</f>
        <v>Other fuel 05  (kWh)</v>
      </c>
      <c r="B42" s="176">
        <f>'Facility Data'!C38</f>
        <v>0</v>
      </c>
      <c r="C42" s="176">
        <f>'Facility Data'!D38</f>
        <v>0</v>
      </c>
      <c r="D42" s="176">
        <f>'Facility Data'!E38</f>
        <v>0</v>
      </c>
      <c r="E42" s="102"/>
      <c r="F42" s="116"/>
      <c r="G42" s="78"/>
      <c r="H42" s="76">
        <f>D42*'Facility Data'!B38</f>
        <v>0</v>
      </c>
    </row>
    <row r="43" spans="1:8" ht="15.75" hidden="1" customHeight="1" thickBot="1" x14ac:dyDescent="0.3">
      <c r="A43" s="167" t="str">
        <f>'Facility Data'!A39</f>
        <v>Other fuel 06  (kWh)</v>
      </c>
      <c r="B43" s="176">
        <f>'Facility Data'!C39</f>
        <v>0</v>
      </c>
      <c r="C43" s="176">
        <f>'Facility Data'!D39</f>
        <v>0</v>
      </c>
      <c r="D43" s="176">
        <f>'Facility Data'!E39</f>
        <v>0</v>
      </c>
      <c r="E43" s="102"/>
      <c r="F43" s="116"/>
      <c r="G43" s="78"/>
      <c r="H43" s="76">
        <f>D43*'Facility Data'!B39</f>
        <v>0</v>
      </c>
    </row>
    <row r="44" spans="1:8" ht="15.75" hidden="1" customHeight="1" thickBot="1" x14ac:dyDescent="0.3">
      <c r="A44" s="167" t="str">
        <f>'Facility Data'!A40</f>
        <v>Other fuel 07  (kWh)</v>
      </c>
      <c r="B44" s="176">
        <f>'Facility Data'!C40</f>
        <v>0</v>
      </c>
      <c r="C44" s="176">
        <f>'Facility Data'!D40</f>
        <v>0</v>
      </c>
      <c r="D44" s="176">
        <f>'Facility Data'!E40</f>
        <v>0</v>
      </c>
      <c r="E44" s="102"/>
      <c r="F44" s="116"/>
      <c r="G44" s="78"/>
      <c r="H44" s="76">
        <f>D44*'Facility Data'!B40</f>
        <v>0</v>
      </c>
    </row>
    <row r="45" spans="1:8" ht="15.75" hidden="1" customHeight="1" thickBot="1" x14ac:dyDescent="0.3">
      <c r="A45" s="167" t="str">
        <f>'Facility Data'!A41</f>
        <v>Other fuel 08  (kWh)</v>
      </c>
      <c r="B45" s="176">
        <f>'Facility Data'!C41</f>
        <v>0</v>
      </c>
      <c r="C45" s="176">
        <f>'Facility Data'!D41</f>
        <v>0</v>
      </c>
      <c r="D45" s="176">
        <f>'Facility Data'!E41</f>
        <v>0</v>
      </c>
      <c r="E45" s="102"/>
      <c r="F45" s="116"/>
      <c r="G45" s="78"/>
      <c r="H45" s="76">
        <f>D45*'Facility Data'!B41</f>
        <v>0</v>
      </c>
    </row>
    <row r="46" spans="1:8" ht="15.75" hidden="1" customHeight="1" thickBot="1" x14ac:dyDescent="0.3">
      <c r="A46" s="167" t="str">
        <f>'Facility Data'!A42</f>
        <v>Other fuel 09  (kWh)</v>
      </c>
      <c r="B46" s="176">
        <f>'Facility Data'!C42</f>
        <v>0</v>
      </c>
      <c r="C46" s="176">
        <f>'Facility Data'!D42</f>
        <v>0</v>
      </c>
      <c r="D46" s="176">
        <f>'Facility Data'!E42</f>
        <v>0</v>
      </c>
      <c r="E46" s="102"/>
      <c r="F46" s="116"/>
      <c r="G46" s="78"/>
      <c r="H46" s="76">
        <f>D46*'Facility Data'!B42</f>
        <v>0</v>
      </c>
    </row>
    <row r="47" spans="1:8" ht="15.75" hidden="1" customHeight="1" thickBot="1" x14ac:dyDescent="0.3">
      <c r="A47" s="167" t="str">
        <f>'Facility Data'!A43</f>
        <v>Other fuel 10  (kWh)</v>
      </c>
      <c r="B47" s="176">
        <f>'Facility Data'!C43</f>
        <v>0</v>
      </c>
      <c r="C47" s="176">
        <f>'Facility Data'!D43</f>
        <v>0</v>
      </c>
      <c r="D47" s="176">
        <f>'Facility Data'!E43</f>
        <v>0</v>
      </c>
      <c r="E47" s="102"/>
      <c r="F47" s="116"/>
      <c r="G47" s="78"/>
      <c r="H47" s="76">
        <f>D47*'Facility Data'!B43</f>
        <v>0</v>
      </c>
    </row>
    <row r="48" spans="1:8" ht="15.75" hidden="1" customHeight="1" thickBot="1" x14ac:dyDescent="0.3">
      <c r="A48" s="167" t="str">
        <f>'Facility Data'!A44</f>
        <v>Other fuel 11  (kWh)</v>
      </c>
      <c r="B48" s="176">
        <f>'Facility Data'!C44</f>
        <v>0</v>
      </c>
      <c r="C48" s="176">
        <f>'Facility Data'!D44</f>
        <v>0</v>
      </c>
      <c r="D48" s="176">
        <f>'Facility Data'!E44</f>
        <v>0</v>
      </c>
      <c r="E48" s="102"/>
      <c r="F48" s="116"/>
      <c r="G48" s="78"/>
      <c r="H48" s="76">
        <f>D48*'Facility Data'!B44</f>
        <v>0</v>
      </c>
    </row>
    <row r="49" spans="1:9" ht="15.75" hidden="1" customHeight="1" thickBot="1" x14ac:dyDescent="0.3">
      <c r="A49" s="109"/>
      <c r="B49" s="105"/>
      <c r="C49" s="105"/>
      <c r="D49" s="105"/>
      <c r="E49" s="105"/>
      <c r="F49" s="106"/>
      <c r="H49" s="76">
        <f>SUM(H25:H48)</f>
        <v>0</v>
      </c>
      <c r="I49" t="s">
        <v>119</v>
      </c>
    </row>
    <row r="50" spans="1:9" ht="15" hidden="1" customHeight="1" x14ac:dyDescent="0.25">
      <c r="A50" s="109"/>
      <c r="B50" s="105"/>
      <c r="C50" s="105"/>
      <c r="D50" s="105"/>
      <c r="E50" s="105"/>
      <c r="F50" s="106"/>
    </row>
    <row r="51" spans="1:9" hidden="1" x14ac:dyDescent="0.25">
      <c r="A51" s="109"/>
      <c r="B51" s="105"/>
      <c r="C51" s="105"/>
      <c r="D51" s="105"/>
      <c r="E51" s="105"/>
      <c r="F51" s="106"/>
    </row>
    <row r="52" spans="1:9" hidden="1" x14ac:dyDescent="0.25">
      <c r="A52" s="109"/>
      <c r="B52" s="105"/>
      <c r="C52" s="105"/>
      <c r="D52" s="105"/>
      <c r="E52" s="105"/>
      <c r="F52" s="106"/>
    </row>
    <row r="53" spans="1:9" ht="15.75" thickBot="1" x14ac:dyDescent="0.3">
      <c r="A53" s="110"/>
      <c r="B53" s="99"/>
      <c r="C53" s="99"/>
      <c r="D53" s="99"/>
      <c r="E53" s="99"/>
      <c r="F53" s="111"/>
    </row>
  </sheetData>
  <sheetProtection password="CF99" sheet="1" objects="1" scenarios="1"/>
  <mergeCells count="2">
    <mergeCell ref="A3:A4"/>
    <mergeCell ref="A5:A6"/>
  </mergeCells>
  <conditionalFormatting sqref="D1">
    <cfRule type="cellIs" dxfId="175" priority="11" stopIfTrue="1" operator="equal">
      <formula>"Yes"</formula>
    </cfRule>
  </conditionalFormatting>
  <conditionalFormatting sqref="E1">
    <cfRule type="cellIs" dxfId="174" priority="10" stopIfTrue="1" operator="equal">
      <formula>"Yes"</formula>
    </cfRule>
  </conditionalFormatting>
  <conditionalFormatting sqref="B3">
    <cfRule type="cellIs" dxfId="173" priority="5" stopIfTrue="1" operator="equal">
      <formula>"Yes"</formula>
    </cfRule>
  </conditionalFormatting>
  <conditionalFormatting sqref="B4">
    <cfRule type="cellIs" dxfId="172" priority="4" stopIfTrue="1" operator="equal">
      <formula>"Yes"</formula>
    </cfRule>
  </conditionalFormatting>
  <conditionalFormatting sqref="F26:F48">
    <cfRule type="expression" dxfId="171" priority="1">
      <formula>"If(b13=""Yes"",1,0)"</formula>
    </cfRule>
    <cfRule type="expression" dxfId="170" priority="2">
      <formula>"if(b13='Yes')"</formula>
    </cfRule>
    <cfRule type="expression" dxfId="169" priority="3">
      <formula>"if(B13='Yes'"</formula>
    </cfRule>
  </conditionalFormatting>
  <dataValidations count="3">
    <dataValidation allowBlank="1" showInputMessage="1" showErrorMessage="1" prompt="This cell sums the values in section C but can be overwritten if necessary." sqref="I3:I6"/>
    <dataValidation type="list" allowBlank="1" showInputMessage="1" showErrorMessage="1" sqref="B17 H3:H6">
      <formula1>"Please select, Yes,No"</formula1>
    </dataValidation>
    <dataValidation type="list" allowBlank="1" showInputMessage="1" showErrorMessage="1" sqref="B10">
      <formula1>"Please select, 2011, 2012, 2013, 2014, 2015, 2016, 2017, 2018, 2019, 2020"</formula1>
    </dataValidation>
  </dataValidations>
  <pageMargins left="0.70866141732283472" right="0.70866141732283472" top="0.74803149606299213" bottom="0.74803149606299213" header="0.31496062992125984" footer="0.31496062992125984"/>
  <pageSetup paperSize="9" scale="54" orientation="portrait" cellComments="asDisplayed"/>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BN47"/>
  <sheetViews>
    <sheetView topLeftCell="A4" zoomScale="80" zoomScaleNormal="80" workbookViewId="0">
      <pane xSplit="1" topLeftCell="B1" activePane="topRight" state="frozen"/>
      <selection pane="topRight"/>
    </sheetView>
  </sheetViews>
  <sheetFormatPr defaultRowHeight="15" x14ac:dyDescent="0.25"/>
  <cols>
    <col min="1" max="1" width="69.7109375" customWidth="1"/>
    <col min="2" max="22" width="29.7109375" customWidth="1"/>
    <col min="23" max="65" width="30.7109375" customWidth="1"/>
  </cols>
  <sheetData>
    <row r="1" spans="1:66" ht="30.75" thickBot="1" x14ac:dyDescent="0.3">
      <c r="A1" s="173" t="s">
        <v>286</v>
      </c>
      <c r="B1" s="85" t="s">
        <v>60</v>
      </c>
      <c r="C1" s="118"/>
      <c r="D1" s="118"/>
      <c r="E1" s="124"/>
      <c r="F1" s="118"/>
      <c r="G1" s="118"/>
      <c r="H1" s="124"/>
      <c r="I1" s="118"/>
      <c r="J1" s="118"/>
      <c r="K1" s="124"/>
      <c r="L1" s="118"/>
      <c r="M1" s="118"/>
      <c r="N1" s="124"/>
      <c r="O1" s="118"/>
      <c r="P1" s="118"/>
      <c r="Q1" s="124"/>
      <c r="R1" s="118"/>
      <c r="S1" s="118"/>
      <c r="T1" s="124"/>
      <c r="U1" s="118"/>
      <c r="V1" s="118"/>
      <c r="W1" s="124"/>
      <c r="X1" s="118"/>
      <c r="Y1" s="118"/>
      <c r="Z1" s="124"/>
      <c r="AA1" s="118"/>
      <c r="AB1" s="118"/>
      <c r="AC1" s="124"/>
      <c r="AD1" s="118"/>
      <c r="AE1" s="118"/>
      <c r="AF1" s="124"/>
      <c r="AG1" s="118"/>
      <c r="AH1" s="118"/>
      <c r="AI1" s="124"/>
      <c r="AJ1" s="118"/>
      <c r="AK1" s="118"/>
      <c r="AL1" s="124"/>
      <c r="AM1" s="118"/>
      <c r="AN1" s="118"/>
      <c r="AO1" s="124"/>
      <c r="AP1" s="118"/>
      <c r="AQ1" s="118"/>
      <c r="AR1" s="124"/>
      <c r="AS1" s="118"/>
      <c r="AT1" s="118"/>
      <c r="AU1" s="124"/>
      <c r="AV1" s="118"/>
      <c r="AW1" s="118"/>
      <c r="AX1" s="124"/>
      <c r="AY1" s="118"/>
      <c r="AZ1" s="118"/>
      <c r="BA1" s="124"/>
      <c r="BB1" s="118"/>
      <c r="BC1" s="118"/>
      <c r="BD1" s="124"/>
      <c r="BE1" s="118"/>
      <c r="BF1" s="118"/>
      <c r="BG1" s="124"/>
      <c r="BH1" s="118"/>
      <c r="BI1" s="118"/>
      <c r="BJ1" s="124"/>
      <c r="BK1" s="118"/>
      <c r="BL1" s="118"/>
      <c r="BM1" s="124"/>
      <c r="BN1" s="119"/>
    </row>
    <row r="2" spans="1:66" ht="21" thickBot="1" x14ac:dyDescent="0.35">
      <c r="A2" s="125" t="s">
        <v>98</v>
      </c>
      <c r="B2" s="58" t="s">
        <v>61</v>
      </c>
      <c r="C2" s="105"/>
      <c r="D2" s="160" t="str">
        <f>'Instructions '!A58</f>
        <v>Workbook Version: OM Issue 6.1 Data Centres</v>
      </c>
      <c r="E2" s="126"/>
      <c r="F2" s="105"/>
      <c r="G2" s="105"/>
      <c r="H2" s="126"/>
      <c r="I2" s="105"/>
      <c r="J2" s="105"/>
      <c r="K2" s="126"/>
      <c r="L2" s="105"/>
      <c r="M2" s="105"/>
      <c r="N2" s="126"/>
      <c r="O2" s="105"/>
      <c r="P2" s="105"/>
      <c r="Q2" s="126"/>
      <c r="R2" s="105"/>
      <c r="S2" s="105"/>
      <c r="T2" s="126"/>
      <c r="U2" s="105"/>
      <c r="V2" s="105"/>
      <c r="W2" s="126"/>
      <c r="X2" s="105"/>
      <c r="Y2" s="105"/>
      <c r="Z2" s="126"/>
      <c r="AA2" s="105"/>
      <c r="AB2" s="105"/>
      <c r="AC2" s="126"/>
      <c r="AD2" s="105"/>
      <c r="AE2" s="105"/>
      <c r="AF2" s="126"/>
      <c r="AG2" s="105"/>
      <c r="AH2" s="105"/>
      <c r="AI2" s="126"/>
      <c r="AJ2" s="105"/>
      <c r="AK2" s="105"/>
      <c r="AL2" s="126"/>
      <c r="AM2" s="105"/>
      <c r="AN2" s="105"/>
      <c r="AO2" s="126"/>
      <c r="AP2" s="105"/>
      <c r="AQ2" s="105"/>
      <c r="AR2" s="126"/>
      <c r="AS2" s="105"/>
      <c r="AT2" s="105"/>
      <c r="AU2" s="126"/>
      <c r="AV2" s="105"/>
      <c r="AW2" s="105"/>
      <c r="AX2" s="126"/>
      <c r="AY2" s="105"/>
      <c r="AZ2" s="105"/>
      <c r="BA2" s="126"/>
      <c r="BB2" s="105"/>
      <c r="BC2" s="105"/>
      <c r="BD2" s="126"/>
      <c r="BE2" s="105"/>
      <c r="BF2" s="105"/>
      <c r="BG2" s="126"/>
      <c r="BH2" s="105"/>
      <c r="BI2" s="105"/>
      <c r="BJ2" s="126"/>
      <c r="BK2" s="105"/>
      <c r="BL2" s="105"/>
      <c r="BM2" s="126"/>
      <c r="BN2" s="106"/>
    </row>
    <row r="3" spans="1:66" ht="33" customHeight="1" thickBot="1" x14ac:dyDescent="0.35">
      <c r="A3" s="285" t="s">
        <v>316</v>
      </c>
      <c r="B3" s="59" t="s">
        <v>62</v>
      </c>
      <c r="C3" s="105"/>
      <c r="D3" s="160" t="str">
        <f>'Instructions '!$A$59</f>
        <v>Workbook date: 4/5/17 (includes stringency test)</v>
      </c>
      <c r="E3" s="276"/>
      <c r="F3" s="105"/>
      <c r="G3" s="105"/>
      <c r="H3" s="276"/>
      <c r="I3" s="105"/>
      <c r="J3" s="105"/>
      <c r="K3" s="276"/>
      <c r="L3" s="105"/>
      <c r="M3" s="105"/>
      <c r="N3" s="276"/>
      <c r="O3" s="105"/>
      <c r="P3" s="105"/>
      <c r="Q3" s="276"/>
      <c r="R3" s="105"/>
      <c r="S3" s="105"/>
      <c r="T3" s="276"/>
      <c r="U3" s="105"/>
      <c r="V3" s="105"/>
      <c r="W3" s="276"/>
      <c r="X3" s="105"/>
      <c r="Y3" s="105"/>
      <c r="Z3" s="276"/>
      <c r="AA3" s="105"/>
      <c r="AB3" s="105"/>
      <c r="AC3" s="276"/>
      <c r="AD3" s="105"/>
      <c r="AE3" s="105"/>
      <c r="AF3" s="276"/>
      <c r="AG3" s="105"/>
      <c r="AH3" s="105"/>
      <c r="AI3" s="276"/>
      <c r="AJ3" s="105"/>
      <c r="AK3" s="105"/>
      <c r="AL3" s="276"/>
      <c r="AM3" s="105"/>
      <c r="AN3" s="105"/>
      <c r="AO3" s="276"/>
      <c r="AP3" s="105"/>
      <c r="AQ3" s="105"/>
      <c r="AR3" s="276"/>
      <c r="AS3" s="105"/>
      <c r="AT3" s="105"/>
      <c r="AU3" s="276"/>
      <c r="AV3" s="105"/>
      <c r="AW3" s="105"/>
      <c r="AX3" s="276"/>
      <c r="AY3" s="105"/>
      <c r="AZ3" s="105"/>
      <c r="BA3" s="276"/>
      <c r="BB3" s="105"/>
      <c r="BC3" s="105"/>
      <c r="BD3" s="276"/>
      <c r="BE3" s="105"/>
      <c r="BF3" s="105"/>
      <c r="BG3" s="276"/>
      <c r="BH3" s="105"/>
      <c r="BI3" s="105"/>
      <c r="BJ3" s="276"/>
      <c r="BK3" s="105"/>
      <c r="BL3" s="105"/>
      <c r="BM3" s="276"/>
      <c r="BN3" s="106"/>
    </row>
    <row r="4" spans="1:66" ht="30.75" customHeight="1" thickBot="1" x14ac:dyDescent="0.3">
      <c r="A4" s="285" t="s">
        <v>287</v>
      </c>
      <c r="B4" s="128" t="s">
        <v>63</v>
      </c>
      <c r="C4" s="105"/>
      <c r="D4" s="105"/>
      <c r="E4" s="129"/>
      <c r="F4" s="105"/>
      <c r="G4" s="105"/>
      <c r="H4" s="129"/>
      <c r="I4" s="105"/>
      <c r="J4" s="105"/>
      <c r="K4" s="129"/>
      <c r="L4" s="105"/>
      <c r="M4" s="105"/>
      <c r="N4" s="129"/>
      <c r="O4" s="105"/>
      <c r="P4" s="105"/>
      <c r="Q4" s="129"/>
      <c r="R4" s="105"/>
      <c r="S4" s="105"/>
      <c r="T4" s="129"/>
      <c r="U4" s="105"/>
      <c r="V4" s="105"/>
      <c r="W4" s="129"/>
      <c r="X4" s="105"/>
      <c r="Y4" s="105"/>
      <c r="Z4" s="129"/>
      <c r="AA4" s="105"/>
      <c r="AB4" s="105"/>
      <c r="AC4" s="129"/>
      <c r="AD4" s="105"/>
      <c r="AE4" s="105"/>
      <c r="AF4" s="129"/>
      <c r="AG4" s="105"/>
      <c r="AH4" s="105"/>
      <c r="AI4" s="129"/>
      <c r="AJ4" s="105"/>
      <c r="AK4" s="105"/>
      <c r="AL4" s="129"/>
      <c r="AM4" s="105"/>
      <c r="AN4" s="105"/>
      <c r="AO4" s="129"/>
      <c r="AP4" s="105"/>
      <c r="AQ4" s="105"/>
      <c r="AR4" s="129"/>
      <c r="AS4" s="105"/>
      <c r="AT4" s="105"/>
      <c r="AU4" s="129"/>
      <c r="AV4" s="105"/>
      <c r="AW4" s="105"/>
      <c r="AX4" s="129"/>
      <c r="AY4" s="105"/>
      <c r="AZ4" s="105"/>
      <c r="BA4" s="129"/>
      <c r="BB4" s="105"/>
      <c r="BC4" s="105"/>
      <c r="BD4" s="129"/>
      <c r="BE4" s="105"/>
      <c r="BF4" s="105"/>
      <c r="BG4" s="129"/>
      <c r="BH4" s="105"/>
      <c r="BI4" s="105"/>
      <c r="BJ4" s="129"/>
      <c r="BK4" s="105"/>
      <c r="BL4" s="105"/>
      <c r="BM4" s="129"/>
      <c r="BN4" s="106"/>
    </row>
    <row r="5" spans="1:66" ht="18" customHeight="1" thickBot="1" x14ac:dyDescent="0.3">
      <c r="A5" s="130" t="s">
        <v>238</v>
      </c>
      <c r="B5" s="60" t="s">
        <v>114</v>
      </c>
      <c r="C5" s="105"/>
      <c r="D5" s="105"/>
      <c r="E5" s="131"/>
      <c r="F5" s="105"/>
      <c r="G5" s="105"/>
      <c r="H5" s="131"/>
      <c r="I5" s="105"/>
      <c r="J5" s="105"/>
      <c r="K5" s="131"/>
      <c r="L5" s="105"/>
      <c r="M5" s="105"/>
      <c r="N5" s="131"/>
      <c r="O5" s="105"/>
      <c r="P5" s="105"/>
      <c r="Q5" s="131"/>
      <c r="R5" s="105"/>
      <c r="S5" s="105"/>
      <c r="T5" s="131"/>
      <c r="U5" s="105"/>
      <c r="V5" s="105"/>
      <c r="W5" s="131"/>
      <c r="X5" s="105"/>
      <c r="Y5" s="105"/>
      <c r="Z5" s="131"/>
      <c r="AA5" s="105"/>
      <c r="AB5" s="105"/>
      <c r="AC5" s="131"/>
      <c r="AD5" s="105"/>
      <c r="AE5" s="105"/>
      <c r="AF5" s="131"/>
      <c r="AG5" s="105"/>
      <c r="AH5" s="105"/>
      <c r="AI5" s="131"/>
      <c r="AJ5" s="105"/>
      <c r="AK5" s="105"/>
      <c r="AL5" s="131"/>
      <c r="AM5" s="105"/>
      <c r="AN5" s="105"/>
      <c r="AO5" s="131"/>
      <c r="AP5" s="105"/>
      <c r="AQ5" s="105"/>
      <c r="AR5" s="131"/>
      <c r="AS5" s="105"/>
      <c r="AT5" s="105"/>
      <c r="AU5" s="131"/>
      <c r="AV5" s="105"/>
      <c r="AW5" s="105"/>
      <c r="AX5" s="131"/>
      <c r="AY5" s="105"/>
      <c r="AZ5" s="105"/>
      <c r="BA5" s="131"/>
      <c r="BB5" s="105"/>
      <c r="BC5" s="105"/>
      <c r="BD5" s="131"/>
      <c r="BE5" s="105"/>
      <c r="BF5" s="105"/>
      <c r="BG5" s="131"/>
      <c r="BH5" s="105"/>
      <c r="BI5" s="105"/>
      <c r="BJ5" s="131"/>
      <c r="BK5" s="105"/>
      <c r="BL5" s="105"/>
      <c r="BM5" s="131"/>
      <c r="BN5" s="106"/>
    </row>
    <row r="6" spans="1:66" ht="15.75" thickBot="1" x14ac:dyDescent="0.3">
      <c r="A6" s="132"/>
      <c r="B6" s="133" t="s">
        <v>106</v>
      </c>
      <c r="C6" s="105"/>
      <c r="D6" s="105"/>
      <c r="E6" s="134"/>
      <c r="F6" s="105"/>
      <c r="G6" s="105"/>
      <c r="H6" s="134"/>
      <c r="I6" s="105"/>
      <c r="J6" s="105"/>
      <c r="K6" s="134"/>
      <c r="L6" s="105"/>
      <c r="M6" s="105"/>
      <c r="N6" s="134"/>
      <c r="O6" s="105"/>
      <c r="P6" s="105"/>
      <c r="Q6" s="134"/>
      <c r="R6" s="105"/>
      <c r="S6" s="105"/>
      <c r="T6" s="134"/>
      <c r="U6" s="105"/>
      <c r="V6" s="105"/>
      <c r="W6" s="134"/>
      <c r="X6" s="105"/>
      <c r="Y6" s="105"/>
      <c r="Z6" s="134"/>
      <c r="AA6" s="105"/>
      <c r="AB6" s="105"/>
      <c r="AC6" s="134"/>
      <c r="AD6" s="105"/>
      <c r="AE6" s="105"/>
      <c r="AF6" s="134"/>
      <c r="AG6" s="105"/>
      <c r="AH6" s="105"/>
      <c r="AI6" s="134"/>
      <c r="AJ6" s="105"/>
      <c r="AK6" s="105"/>
      <c r="AL6" s="134"/>
      <c r="AM6" s="105"/>
      <c r="AN6" s="105"/>
      <c r="AO6" s="134"/>
      <c r="AP6" s="105"/>
      <c r="AQ6" s="105"/>
      <c r="AR6" s="134"/>
      <c r="AS6" s="105"/>
      <c r="AT6" s="105"/>
      <c r="AU6" s="134"/>
      <c r="AV6" s="105"/>
      <c r="AW6" s="105"/>
      <c r="AX6" s="134"/>
      <c r="AY6" s="105"/>
      <c r="AZ6" s="105"/>
      <c r="BA6" s="134"/>
      <c r="BB6" s="105"/>
      <c r="BC6" s="105"/>
      <c r="BD6" s="134"/>
      <c r="BE6" s="105"/>
      <c r="BF6" s="105"/>
      <c r="BG6" s="134"/>
      <c r="BH6" s="105"/>
      <c r="BI6" s="105"/>
      <c r="BJ6" s="134"/>
      <c r="BK6" s="105"/>
      <c r="BL6" s="105"/>
      <c r="BM6" s="134"/>
      <c r="BN6" s="106"/>
    </row>
    <row r="7" spans="1:66" ht="15" customHeight="1" thickBot="1" x14ac:dyDescent="0.3">
      <c r="A7" s="109"/>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6"/>
    </row>
    <row r="8" spans="1:66" ht="15" customHeight="1" thickBot="1" x14ac:dyDescent="0.3">
      <c r="A8" s="58" t="s">
        <v>131</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6"/>
    </row>
    <row r="9" spans="1:66" ht="95.25" customHeight="1" thickBot="1" x14ac:dyDescent="0.3">
      <c r="A9" s="203"/>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6"/>
    </row>
    <row r="10" spans="1:66" ht="18.75" customHeight="1" x14ac:dyDescent="0.25">
      <c r="A10" s="109"/>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6"/>
    </row>
    <row r="11" spans="1:66" ht="0.95" customHeight="1" x14ac:dyDescent="0.25">
      <c r="A11" s="109"/>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6"/>
    </row>
    <row r="12" spans="1:66" ht="0.95" customHeight="1" x14ac:dyDescent="0.25">
      <c r="A12" s="109"/>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6"/>
    </row>
    <row r="13" spans="1:66" ht="0.95" customHeight="1" x14ac:dyDescent="0.25">
      <c r="A13" s="109"/>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6"/>
    </row>
    <row r="14" spans="1:66" ht="0.95" customHeight="1" x14ac:dyDescent="0.25">
      <c r="A14" s="109"/>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6"/>
    </row>
    <row r="15" spans="1:66" ht="0.95" customHeight="1" x14ac:dyDescent="0.25">
      <c r="A15" s="109"/>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6"/>
    </row>
    <row r="16" spans="1:66" ht="0.95" customHeight="1" x14ac:dyDescent="0.25">
      <c r="A16" s="109"/>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6"/>
    </row>
    <row r="17" spans="1:66" ht="0.95" customHeight="1" x14ac:dyDescent="0.25">
      <c r="A17" s="109"/>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6"/>
    </row>
    <row r="18" spans="1:66" ht="0.75" customHeight="1" thickBot="1" x14ac:dyDescent="0.3">
      <c r="A18" s="109"/>
      <c r="B18" s="105"/>
      <c r="C18" s="105"/>
      <c r="D18" s="105"/>
      <c r="E18" s="105"/>
      <c r="F18" s="105"/>
      <c r="G18" s="105"/>
      <c r="H18" s="105"/>
      <c r="I18" s="105"/>
      <c r="J18" s="105"/>
      <c r="K18" s="105"/>
      <c r="L18" s="105"/>
      <c r="M18" s="105"/>
      <c r="N18" s="105"/>
      <c r="O18" s="105"/>
      <c r="P18" s="105"/>
      <c r="Q18" s="105"/>
      <c r="R18" s="105"/>
      <c r="S18" s="105"/>
      <c r="T18" s="105"/>
      <c r="U18" s="105"/>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106"/>
    </row>
    <row r="19" spans="1:66" ht="100.5" customHeight="1" thickBot="1" x14ac:dyDescent="0.3">
      <c r="A19" s="107"/>
      <c r="C19" s="448" t="s">
        <v>288</v>
      </c>
      <c r="D19" s="449"/>
      <c r="E19" s="450"/>
      <c r="F19" s="135" t="s">
        <v>289</v>
      </c>
      <c r="G19" s="136" t="s">
        <v>257</v>
      </c>
      <c r="H19" s="277"/>
      <c r="I19" s="135" t="s">
        <v>290</v>
      </c>
      <c r="J19" s="136" t="s">
        <v>257</v>
      </c>
      <c r="K19" s="277"/>
      <c r="L19" s="135" t="s">
        <v>293</v>
      </c>
      <c r="M19" s="136" t="s">
        <v>257</v>
      </c>
      <c r="N19" s="277"/>
      <c r="O19" s="135" t="s">
        <v>294</v>
      </c>
      <c r="P19" s="136" t="s">
        <v>257</v>
      </c>
      <c r="Q19" s="277"/>
      <c r="R19" s="135" t="s">
        <v>295</v>
      </c>
      <c r="S19" s="136" t="s">
        <v>257</v>
      </c>
      <c r="T19" s="277"/>
      <c r="U19" s="135" t="s">
        <v>296</v>
      </c>
      <c r="V19" s="136" t="s">
        <v>257</v>
      </c>
      <c r="W19" s="277"/>
      <c r="X19" s="177" t="s">
        <v>297</v>
      </c>
      <c r="Y19" s="136" t="s">
        <v>257</v>
      </c>
      <c r="Z19" s="278"/>
      <c r="AA19" s="177" t="s">
        <v>298</v>
      </c>
      <c r="AB19" s="136" t="s">
        <v>257</v>
      </c>
      <c r="AC19" s="278"/>
      <c r="AD19" s="177" t="s">
        <v>299</v>
      </c>
      <c r="AE19" s="136" t="s">
        <v>257</v>
      </c>
      <c r="AF19" s="278"/>
      <c r="AG19" s="177" t="s">
        <v>300</v>
      </c>
      <c r="AH19" s="136" t="s">
        <v>257</v>
      </c>
      <c r="AI19" s="278"/>
      <c r="AJ19" s="177" t="s">
        <v>301</v>
      </c>
      <c r="AK19" s="136" t="s">
        <v>257</v>
      </c>
      <c r="AL19" s="278"/>
      <c r="AM19" s="177" t="s">
        <v>302</v>
      </c>
      <c r="AN19" s="136" t="s">
        <v>257</v>
      </c>
      <c r="AO19" s="278"/>
      <c r="AP19" s="177" t="s">
        <v>303</v>
      </c>
      <c r="AQ19" s="136" t="s">
        <v>257</v>
      </c>
      <c r="AR19" s="278"/>
      <c r="AS19" s="177" t="s">
        <v>304</v>
      </c>
      <c r="AT19" s="136" t="s">
        <v>257</v>
      </c>
      <c r="AU19" s="278"/>
      <c r="AV19" s="177" t="s">
        <v>305</v>
      </c>
      <c r="AW19" s="136" t="s">
        <v>257</v>
      </c>
      <c r="AX19" s="278"/>
      <c r="AY19" s="177" t="s">
        <v>306</v>
      </c>
      <c r="AZ19" s="136" t="s">
        <v>257</v>
      </c>
      <c r="BA19" s="278"/>
      <c r="BB19" s="177" t="s">
        <v>307</v>
      </c>
      <c r="BC19" s="136" t="s">
        <v>257</v>
      </c>
      <c r="BD19" s="278"/>
      <c r="BE19" s="177" t="s">
        <v>308</v>
      </c>
      <c r="BF19" s="136" t="s">
        <v>257</v>
      </c>
      <c r="BG19" s="278"/>
      <c r="BH19" s="177" t="s">
        <v>309</v>
      </c>
      <c r="BI19" s="136" t="s">
        <v>257</v>
      </c>
      <c r="BJ19" s="278"/>
      <c r="BK19" s="177" t="s">
        <v>310</v>
      </c>
      <c r="BL19" s="136" t="s">
        <v>257</v>
      </c>
      <c r="BM19" s="278"/>
      <c r="BN19" s="106"/>
    </row>
    <row r="20" spans="1:66" ht="32.25" customHeight="1" thickBot="1" x14ac:dyDescent="0.3">
      <c r="A20" s="62" t="s">
        <v>115</v>
      </c>
      <c r="B20" s="63" t="s">
        <v>175</v>
      </c>
      <c r="C20" s="63" t="s">
        <v>176</v>
      </c>
      <c r="D20" s="63" t="s">
        <v>177</v>
      </c>
      <c r="E20" s="63" t="s">
        <v>178</v>
      </c>
      <c r="F20" s="63" t="s">
        <v>176</v>
      </c>
      <c r="G20" s="63" t="s">
        <v>177</v>
      </c>
      <c r="H20" s="63" t="s">
        <v>178</v>
      </c>
      <c r="I20" s="63" t="s">
        <v>176</v>
      </c>
      <c r="J20" s="63" t="s">
        <v>177</v>
      </c>
      <c r="K20" s="63" t="s">
        <v>178</v>
      </c>
      <c r="L20" s="63" t="s">
        <v>176</v>
      </c>
      <c r="M20" s="63" t="s">
        <v>177</v>
      </c>
      <c r="N20" s="63" t="s">
        <v>178</v>
      </c>
      <c r="O20" s="63" t="s">
        <v>176</v>
      </c>
      <c r="P20" s="63" t="s">
        <v>177</v>
      </c>
      <c r="Q20" s="63" t="s">
        <v>178</v>
      </c>
      <c r="R20" s="63" t="s">
        <v>176</v>
      </c>
      <c r="S20" s="63" t="s">
        <v>177</v>
      </c>
      <c r="T20" s="63" t="s">
        <v>178</v>
      </c>
      <c r="U20" s="63" t="s">
        <v>176</v>
      </c>
      <c r="V20" s="63" t="s">
        <v>177</v>
      </c>
      <c r="W20" s="63" t="s">
        <v>178</v>
      </c>
      <c r="X20" s="63" t="s">
        <v>176</v>
      </c>
      <c r="Y20" s="63" t="s">
        <v>177</v>
      </c>
      <c r="Z20" s="63" t="s">
        <v>178</v>
      </c>
      <c r="AA20" s="63" t="s">
        <v>176</v>
      </c>
      <c r="AB20" s="63" t="s">
        <v>177</v>
      </c>
      <c r="AC20" s="63" t="s">
        <v>178</v>
      </c>
      <c r="AD20" s="63" t="s">
        <v>176</v>
      </c>
      <c r="AE20" s="63" t="s">
        <v>177</v>
      </c>
      <c r="AF20" s="63" t="s">
        <v>178</v>
      </c>
      <c r="AG20" s="63" t="s">
        <v>176</v>
      </c>
      <c r="AH20" s="63" t="s">
        <v>177</v>
      </c>
      <c r="AI20" s="63" t="s">
        <v>178</v>
      </c>
      <c r="AJ20" s="63" t="s">
        <v>176</v>
      </c>
      <c r="AK20" s="63" t="s">
        <v>177</v>
      </c>
      <c r="AL20" s="63" t="s">
        <v>178</v>
      </c>
      <c r="AM20" s="63" t="s">
        <v>176</v>
      </c>
      <c r="AN20" s="63" t="s">
        <v>177</v>
      </c>
      <c r="AO20" s="63" t="s">
        <v>178</v>
      </c>
      <c r="AP20" s="63" t="s">
        <v>176</v>
      </c>
      <c r="AQ20" s="63" t="s">
        <v>177</v>
      </c>
      <c r="AR20" s="63" t="s">
        <v>178</v>
      </c>
      <c r="AS20" s="63" t="s">
        <v>176</v>
      </c>
      <c r="AT20" s="63" t="s">
        <v>177</v>
      </c>
      <c r="AU20" s="63" t="s">
        <v>178</v>
      </c>
      <c r="AV20" s="63" t="s">
        <v>176</v>
      </c>
      <c r="AW20" s="63" t="s">
        <v>177</v>
      </c>
      <c r="AX20" s="63" t="s">
        <v>178</v>
      </c>
      <c r="AY20" s="63" t="s">
        <v>176</v>
      </c>
      <c r="AZ20" s="63" t="s">
        <v>177</v>
      </c>
      <c r="BA20" s="63" t="s">
        <v>178</v>
      </c>
      <c r="BB20" s="63" t="s">
        <v>176</v>
      </c>
      <c r="BC20" s="63" t="s">
        <v>177</v>
      </c>
      <c r="BD20" s="63" t="s">
        <v>178</v>
      </c>
      <c r="BE20" s="63" t="s">
        <v>176</v>
      </c>
      <c r="BF20" s="63" t="s">
        <v>177</v>
      </c>
      <c r="BG20" s="63" t="s">
        <v>178</v>
      </c>
      <c r="BH20" s="63" t="s">
        <v>176</v>
      </c>
      <c r="BI20" s="63" t="s">
        <v>177</v>
      </c>
      <c r="BJ20" s="63" t="s">
        <v>178</v>
      </c>
      <c r="BK20" s="63" t="s">
        <v>176</v>
      </c>
      <c r="BL20" s="63" t="s">
        <v>177</v>
      </c>
      <c r="BM20" s="63" t="s">
        <v>178</v>
      </c>
      <c r="BN20" s="106"/>
    </row>
    <row r="21" spans="1:66" ht="15.75" thickBot="1" x14ac:dyDescent="0.3">
      <c r="A21" s="58" t="s">
        <v>57</v>
      </c>
      <c r="B21" s="178">
        <v>5.4600000000000003E-2</v>
      </c>
      <c r="C21" s="137">
        <f>F21+I21+L21+O21+R21+U21+X21+AA21+AD21+AG21+AJ21+AM21+AP21+AS21+AV21+AY21+BB21+BE21+BH21+BK21</f>
        <v>0</v>
      </c>
      <c r="D21" s="138"/>
      <c r="E21" s="137">
        <f>H21+K21+N21+Q21+T21+W21+Z21+AC21+AF21+AI21+AL21+AO21+AR21+AU21+AX21+BA21+BD21+BG21+BJ21+BM21</f>
        <v>0</v>
      </c>
      <c r="F21" s="74"/>
      <c r="G21" s="139"/>
      <c r="H21" s="140">
        <f>F21-G21</f>
        <v>0</v>
      </c>
      <c r="I21" s="74"/>
      <c r="J21" s="139"/>
      <c r="K21" s="140">
        <f>I21-J21</f>
        <v>0</v>
      </c>
      <c r="L21" s="74"/>
      <c r="M21" s="139"/>
      <c r="N21" s="140">
        <f>L21-M21</f>
        <v>0</v>
      </c>
      <c r="O21" s="74"/>
      <c r="P21" s="139"/>
      <c r="Q21" s="140">
        <f>O21-P21</f>
        <v>0</v>
      </c>
      <c r="R21" s="74"/>
      <c r="S21" s="139"/>
      <c r="T21" s="140">
        <f>R21-S21</f>
        <v>0</v>
      </c>
      <c r="U21" s="74"/>
      <c r="V21" s="139"/>
      <c r="W21" s="140">
        <f>U21-V21</f>
        <v>0</v>
      </c>
      <c r="X21" s="74"/>
      <c r="Y21" s="139"/>
      <c r="Z21" s="140">
        <f>X21-Y21</f>
        <v>0</v>
      </c>
      <c r="AA21" s="74"/>
      <c r="AB21" s="139"/>
      <c r="AC21" s="140">
        <f>AA21-AB21</f>
        <v>0</v>
      </c>
      <c r="AD21" s="74"/>
      <c r="AE21" s="139"/>
      <c r="AF21" s="140">
        <f>AD21-AE21</f>
        <v>0</v>
      </c>
      <c r="AG21" s="74"/>
      <c r="AH21" s="139"/>
      <c r="AI21" s="140">
        <f>AG21-AH21</f>
        <v>0</v>
      </c>
      <c r="AJ21" s="74"/>
      <c r="AK21" s="139"/>
      <c r="AL21" s="140">
        <f>AJ21-AK21</f>
        <v>0</v>
      </c>
      <c r="AM21" s="74"/>
      <c r="AN21" s="139"/>
      <c r="AO21" s="140">
        <f>AM21-AN21</f>
        <v>0</v>
      </c>
      <c r="AP21" s="74"/>
      <c r="AQ21" s="139"/>
      <c r="AR21" s="140">
        <f>AP21-AQ21</f>
        <v>0</v>
      </c>
      <c r="AS21" s="74"/>
      <c r="AT21" s="139"/>
      <c r="AU21" s="140">
        <f>AS21-AT21</f>
        <v>0</v>
      </c>
      <c r="AV21" s="74"/>
      <c r="AW21" s="139"/>
      <c r="AX21" s="140">
        <f>AV21-AW21</f>
        <v>0</v>
      </c>
      <c r="AY21" s="74"/>
      <c r="AZ21" s="139"/>
      <c r="BA21" s="140">
        <f>AY21-AZ21</f>
        <v>0</v>
      </c>
      <c r="BB21" s="74"/>
      <c r="BC21" s="139"/>
      <c r="BD21" s="140">
        <f>BB21-BC21</f>
        <v>0</v>
      </c>
      <c r="BE21" s="74"/>
      <c r="BF21" s="139"/>
      <c r="BG21" s="140">
        <f>BE21-BF21</f>
        <v>0</v>
      </c>
      <c r="BH21" s="74"/>
      <c r="BI21" s="139"/>
      <c r="BJ21" s="140">
        <f>BH21-BI21</f>
        <v>0</v>
      </c>
      <c r="BK21" s="74"/>
      <c r="BL21" s="139"/>
      <c r="BM21" s="140">
        <f>BK21-BL21</f>
        <v>0</v>
      </c>
      <c r="BN21" s="106"/>
    </row>
    <row r="22" spans="1:66" ht="15.75" thickBot="1" x14ac:dyDescent="0.3">
      <c r="A22" s="167" t="s">
        <v>35</v>
      </c>
      <c r="B22" s="178">
        <v>5.0500000000000003E-2</v>
      </c>
      <c r="C22" s="137">
        <f t="shared" ref="C22:C44" si="0">F22+I22+L22+O22+R22+U22+X22+AA22+AD22+AG22+AJ22+AM22+AP22+AS22+AV22+AY22+BB22+BE22+BH22+BK22</f>
        <v>0</v>
      </c>
      <c r="D22" s="137">
        <f>G22+J22+M22+P22+S22+V22+Y22+AB22+AE22+AH22+AK22+AN22+AQ22+AT22+AW22+AZ22+BC22+BF22+BI22+BL22</f>
        <v>0</v>
      </c>
      <c r="E22" s="137">
        <f t="shared" ref="E22:E44" si="1">H22+K22+N22+Q22+T22+W22+Z22+AC22+AF22+AI22+AL22+AO22+AR22+AU22+AX22+BA22+BD22+BG22+BJ22+BM22</f>
        <v>0</v>
      </c>
      <c r="F22" s="74"/>
      <c r="G22" s="86"/>
      <c r="H22" s="140">
        <f t="shared" ref="H22:H44" si="2">F22-G22</f>
        <v>0</v>
      </c>
      <c r="I22" s="74"/>
      <c r="J22" s="86"/>
      <c r="K22" s="140">
        <f t="shared" ref="K22:K44" si="3">I22-J22</f>
        <v>0</v>
      </c>
      <c r="L22" s="74"/>
      <c r="M22" s="86"/>
      <c r="N22" s="140">
        <f t="shared" ref="N22:N44" si="4">L22-M22</f>
        <v>0</v>
      </c>
      <c r="O22" s="74"/>
      <c r="P22" s="86"/>
      <c r="Q22" s="140">
        <f t="shared" ref="Q22:Q44" si="5">O22-P22</f>
        <v>0</v>
      </c>
      <c r="R22" s="74"/>
      <c r="S22" s="86"/>
      <c r="T22" s="140">
        <f t="shared" ref="T22:T44" si="6">R22-S22</f>
        <v>0</v>
      </c>
      <c r="U22" s="74"/>
      <c r="V22" s="86"/>
      <c r="W22" s="140">
        <f t="shared" ref="W22:W44" si="7">U22-V22</f>
        <v>0</v>
      </c>
      <c r="X22" s="74"/>
      <c r="Y22" s="86"/>
      <c r="Z22" s="140">
        <f t="shared" ref="Z22:Z44" si="8">X22-Y22</f>
        <v>0</v>
      </c>
      <c r="AA22" s="74"/>
      <c r="AB22" s="86"/>
      <c r="AC22" s="140">
        <f t="shared" ref="AC22:AC44" si="9">AA22-AB22</f>
        <v>0</v>
      </c>
      <c r="AD22" s="74"/>
      <c r="AE22" s="86"/>
      <c r="AF22" s="140">
        <f t="shared" ref="AF22:AF44" si="10">AD22-AE22</f>
        <v>0</v>
      </c>
      <c r="AG22" s="74"/>
      <c r="AH22" s="86"/>
      <c r="AI22" s="140">
        <f t="shared" ref="AI22:AI44" si="11">AG22-AH22</f>
        <v>0</v>
      </c>
      <c r="AJ22" s="74"/>
      <c r="AK22" s="86"/>
      <c r="AL22" s="140">
        <f t="shared" ref="AL22:AL44" si="12">AJ22-AK22</f>
        <v>0</v>
      </c>
      <c r="AM22" s="74"/>
      <c r="AN22" s="86"/>
      <c r="AO22" s="140">
        <f t="shared" ref="AO22:AO44" si="13">AM22-AN22</f>
        <v>0</v>
      </c>
      <c r="AP22" s="74"/>
      <c r="AQ22" s="86"/>
      <c r="AR22" s="140">
        <f t="shared" ref="AR22:AR44" si="14">AP22-AQ22</f>
        <v>0</v>
      </c>
      <c r="AS22" s="74"/>
      <c r="AT22" s="86"/>
      <c r="AU22" s="140">
        <f t="shared" ref="AU22:AU44" si="15">AS22-AT22</f>
        <v>0</v>
      </c>
      <c r="AV22" s="74"/>
      <c r="AW22" s="86"/>
      <c r="AX22" s="140">
        <f t="shared" ref="AX22:AX44" si="16">AV22-AW22</f>
        <v>0</v>
      </c>
      <c r="AY22" s="74"/>
      <c r="AZ22" s="86"/>
      <c r="BA22" s="140">
        <f t="shared" ref="BA22:BA44" si="17">AY22-AZ22</f>
        <v>0</v>
      </c>
      <c r="BB22" s="74"/>
      <c r="BC22" s="86"/>
      <c r="BD22" s="140">
        <f t="shared" ref="BD22:BD44" si="18">BB22-BC22</f>
        <v>0</v>
      </c>
      <c r="BE22" s="74"/>
      <c r="BF22" s="86"/>
      <c r="BG22" s="140">
        <f t="shared" ref="BG22:BG44" si="19">BE22-BF22</f>
        <v>0</v>
      </c>
      <c r="BH22" s="74"/>
      <c r="BI22" s="86"/>
      <c r="BJ22" s="140">
        <f t="shared" ref="BJ22:BJ44" si="20">BH22-BI22</f>
        <v>0</v>
      </c>
      <c r="BK22" s="74"/>
      <c r="BL22" s="86"/>
      <c r="BM22" s="140">
        <f t="shared" ref="BM22:BM44" si="21">BK22-BL22</f>
        <v>0</v>
      </c>
      <c r="BN22" s="106"/>
    </row>
    <row r="23" spans="1:66" ht="15.75" thickBot="1" x14ac:dyDescent="0.3">
      <c r="A23" s="167" t="s">
        <v>36</v>
      </c>
      <c r="B23" s="178">
        <v>7.3200000000000001E-2</v>
      </c>
      <c r="C23" s="137">
        <f t="shared" si="0"/>
        <v>0</v>
      </c>
      <c r="D23" s="137">
        <f t="shared" ref="D23:D44" si="22">G23+J23+M23+P23+S23+V23+Y23+AB23+AE23+AH23+AK23+AN23+AQ23+AT23+AW23+AZ23+BC23+BF23+BI23+BL23</f>
        <v>0</v>
      </c>
      <c r="E23" s="137">
        <f t="shared" si="1"/>
        <v>0</v>
      </c>
      <c r="F23" s="74"/>
      <c r="G23" s="86"/>
      <c r="H23" s="140">
        <f t="shared" si="2"/>
        <v>0</v>
      </c>
      <c r="I23" s="74"/>
      <c r="J23" s="86"/>
      <c r="K23" s="140">
        <f t="shared" si="3"/>
        <v>0</v>
      </c>
      <c r="L23" s="74"/>
      <c r="M23" s="86"/>
      <c r="N23" s="140">
        <f t="shared" si="4"/>
        <v>0</v>
      </c>
      <c r="O23" s="74"/>
      <c r="P23" s="86"/>
      <c r="Q23" s="140">
        <f t="shared" si="5"/>
        <v>0</v>
      </c>
      <c r="R23" s="74"/>
      <c r="S23" s="86"/>
      <c r="T23" s="140">
        <f t="shared" si="6"/>
        <v>0</v>
      </c>
      <c r="U23" s="74"/>
      <c r="V23" s="86"/>
      <c r="W23" s="140">
        <f t="shared" si="7"/>
        <v>0</v>
      </c>
      <c r="X23" s="74"/>
      <c r="Y23" s="86"/>
      <c r="Z23" s="140">
        <f t="shared" si="8"/>
        <v>0</v>
      </c>
      <c r="AA23" s="74"/>
      <c r="AB23" s="86"/>
      <c r="AC23" s="140">
        <f t="shared" si="9"/>
        <v>0</v>
      </c>
      <c r="AD23" s="74"/>
      <c r="AE23" s="86"/>
      <c r="AF23" s="140">
        <f t="shared" si="10"/>
        <v>0</v>
      </c>
      <c r="AG23" s="74"/>
      <c r="AH23" s="86"/>
      <c r="AI23" s="140">
        <f t="shared" si="11"/>
        <v>0</v>
      </c>
      <c r="AJ23" s="74"/>
      <c r="AK23" s="86"/>
      <c r="AL23" s="140">
        <f t="shared" si="12"/>
        <v>0</v>
      </c>
      <c r="AM23" s="74"/>
      <c r="AN23" s="86"/>
      <c r="AO23" s="140">
        <f t="shared" si="13"/>
        <v>0</v>
      </c>
      <c r="AP23" s="74"/>
      <c r="AQ23" s="86"/>
      <c r="AR23" s="140">
        <f t="shared" si="14"/>
        <v>0</v>
      </c>
      <c r="AS23" s="74"/>
      <c r="AT23" s="86"/>
      <c r="AU23" s="140">
        <f t="shared" si="15"/>
        <v>0</v>
      </c>
      <c r="AV23" s="74"/>
      <c r="AW23" s="86"/>
      <c r="AX23" s="140">
        <f t="shared" si="16"/>
        <v>0</v>
      </c>
      <c r="AY23" s="74"/>
      <c r="AZ23" s="86"/>
      <c r="BA23" s="140">
        <f t="shared" si="17"/>
        <v>0</v>
      </c>
      <c r="BB23" s="74"/>
      <c r="BC23" s="86"/>
      <c r="BD23" s="140">
        <f t="shared" si="18"/>
        <v>0</v>
      </c>
      <c r="BE23" s="74"/>
      <c r="BF23" s="86"/>
      <c r="BG23" s="140">
        <f t="shared" si="19"/>
        <v>0</v>
      </c>
      <c r="BH23" s="74"/>
      <c r="BI23" s="86"/>
      <c r="BJ23" s="140">
        <f t="shared" si="20"/>
        <v>0</v>
      </c>
      <c r="BK23" s="74"/>
      <c r="BL23" s="86"/>
      <c r="BM23" s="140">
        <f t="shared" si="21"/>
        <v>0</v>
      </c>
      <c r="BN23" s="106"/>
    </row>
    <row r="24" spans="1:66" ht="15.75" thickBot="1" x14ac:dyDescent="0.3">
      <c r="A24" s="167" t="s">
        <v>37</v>
      </c>
      <c r="B24" s="178">
        <v>7.9399999999999998E-2</v>
      </c>
      <c r="C24" s="137">
        <f t="shared" si="0"/>
        <v>0</v>
      </c>
      <c r="D24" s="137">
        <f t="shared" si="22"/>
        <v>0</v>
      </c>
      <c r="E24" s="137">
        <f t="shared" si="1"/>
        <v>0</v>
      </c>
      <c r="F24" s="74"/>
      <c r="G24" s="86"/>
      <c r="H24" s="140">
        <f t="shared" si="2"/>
        <v>0</v>
      </c>
      <c r="I24" s="74"/>
      <c r="J24" s="86"/>
      <c r="K24" s="140">
        <f t="shared" si="3"/>
        <v>0</v>
      </c>
      <c r="L24" s="74"/>
      <c r="M24" s="86"/>
      <c r="N24" s="140">
        <f t="shared" si="4"/>
        <v>0</v>
      </c>
      <c r="O24" s="74"/>
      <c r="P24" s="86"/>
      <c r="Q24" s="140">
        <f t="shared" si="5"/>
        <v>0</v>
      </c>
      <c r="R24" s="74"/>
      <c r="S24" s="86"/>
      <c r="T24" s="140">
        <f t="shared" si="6"/>
        <v>0</v>
      </c>
      <c r="U24" s="74"/>
      <c r="V24" s="86"/>
      <c r="W24" s="140">
        <f t="shared" si="7"/>
        <v>0</v>
      </c>
      <c r="X24" s="74"/>
      <c r="Y24" s="86"/>
      <c r="Z24" s="140">
        <f t="shared" si="8"/>
        <v>0</v>
      </c>
      <c r="AA24" s="74"/>
      <c r="AB24" s="86"/>
      <c r="AC24" s="140">
        <f t="shared" si="9"/>
        <v>0</v>
      </c>
      <c r="AD24" s="74"/>
      <c r="AE24" s="86"/>
      <c r="AF24" s="140">
        <f t="shared" si="10"/>
        <v>0</v>
      </c>
      <c r="AG24" s="74"/>
      <c r="AH24" s="86"/>
      <c r="AI24" s="140">
        <f t="shared" si="11"/>
        <v>0</v>
      </c>
      <c r="AJ24" s="74"/>
      <c r="AK24" s="86"/>
      <c r="AL24" s="140">
        <f t="shared" si="12"/>
        <v>0</v>
      </c>
      <c r="AM24" s="74"/>
      <c r="AN24" s="86"/>
      <c r="AO24" s="140">
        <f t="shared" si="13"/>
        <v>0</v>
      </c>
      <c r="AP24" s="74"/>
      <c r="AQ24" s="86"/>
      <c r="AR24" s="140">
        <f t="shared" si="14"/>
        <v>0</v>
      </c>
      <c r="AS24" s="74"/>
      <c r="AT24" s="86"/>
      <c r="AU24" s="140">
        <f t="shared" si="15"/>
        <v>0</v>
      </c>
      <c r="AV24" s="74"/>
      <c r="AW24" s="86"/>
      <c r="AX24" s="140">
        <f t="shared" si="16"/>
        <v>0</v>
      </c>
      <c r="AY24" s="74"/>
      <c r="AZ24" s="86"/>
      <c r="BA24" s="140">
        <f t="shared" si="17"/>
        <v>0</v>
      </c>
      <c r="BB24" s="74"/>
      <c r="BC24" s="86"/>
      <c r="BD24" s="140">
        <f t="shared" si="18"/>
        <v>0</v>
      </c>
      <c r="BE24" s="74"/>
      <c r="BF24" s="86"/>
      <c r="BG24" s="140">
        <f t="shared" si="19"/>
        <v>0</v>
      </c>
      <c r="BH24" s="74"/>
      <c r="BI24" s="86"/>
      <c r="BJ24" s="140">
        <f t="shared" si="20"/>
        <v>0</v>
      </c>
      <c r="BK24" s="74"/>
      <c r="BL24" s="86"/>
      <c r="BM24" s="140">
        <f t="shared" si="21"/>
        <v>0</v>
      </c>
      <c r="BN24" s="106"/>
    </row>
    <row r="25" spans="1:66" ht="15.75" thickBot="1" x14ac:dyDescent="0.3">
      <c r="A25" s="167" t="s">
        <v>38</v>
      </c>
      <c r="B25" s="178">
        <v>0.11700000000000001</v>
      </c>
      <c r="C25" s="137">
        <f t="shared" si="0"/>
        <v>0</v>
      </c>
      <c r="D25" s="137">
        <f t="shared" si="22"/>
        <v>0</v>
      </c>
      <c r="E25" s="137">
        <f t="shared" si="1"/>
        <v>0</v>
      </c>
      <c r="F25" s="74"/>
      <c r="G25" s="86"/>
      <c r="H25" s="140">
        <f t="shared" si="2"/>
        <v>0</v>
      </c>
      <c r="I25" s="74"/>
      <c r="J25" s="86"/>
      <c r="K25" s="140">
        <f t="shared" si="3"/>
        <v>0</v>
      </c>
      <c r="L25" s="74"/>
      <c r="M25" s="86"/>
      <c r="N25" s="140">
        <f t="shared" si="4"/>
        <v>0</v>
      </c>
      <c r="O25" s="74"/>
      <c r="P25" s="86"/>
      <c r="Q25" s="140">
        <f t="shared" si="5"/>
        <v>0</v>
      </c>
      <c r="R25" s="74"/>
      <c r="S25" s="86"/>
      <c r="T25" s="140">
        <f t="shared" si="6"/>
        <v>0</v>
      </c>
      <c r="U25" s="74"/>
      <c r="V25" s="86"/>
      <c r="W25" s="140">
        <f t="shared" si="7"/>
        <v>0</v>
      </c>
      <c r="X25" s="74"/>
      <c r="Y25" s="86"/>
      <c r="Z25" s="140">
        <f t="shared" si="8"/>
        <v>0</v>
      </c>
      <c r="AA25" s="74"/>
      <c r="AB25" s="86"/>
      <c r="AC25" s="140">
        <f t="shared" si="9"/>
        <v>0</v>
      </c>
      <c r="AD25" s="74"/>
      <c r="AE25" s="86"/>
      <c r="AF25" s="140">
        <f t="shared" si="10"/>
        <v>0</v>
      </c>
      <c r="AG25" s="74"/>
      <c r="AH25" s="86"/>
      <c r="AI25" s="140">
        <f t="shared" si="11"/>
        <v>0</v>
      </c>
      <c r="AJ25" s="74"/>
      <c r="AK25" s="86"/>
      <c r="AL25" s="140">
        <f t="shared" si="12"/>
        <v>0</v>
      </c>
      <c r="AM25" s="74"/>
      <c r="AN25" s="86"/>
      <c r="AO25" s="140">
        <f t="shared" si="13"/>
        <v>0</v>
      </c>
      <c r="AP25" s="74"/>
      <c r="AQ25" s="86"/>
      <c r="AR25" s="140">
        <f t="shared" si="14"/>
        <v>0</v>
      </c>
      <c r="AS25" s="74"/>
      <c r="AT25" s="86"/>
      <c r="AU25" s="140">
        <f t="shared" si="15"/>
        <v>0</v>
      </c>
      <c r="AV25" s="74"/>
      <c r="AW25" s="86"/>
      <c r="AX25" s="140">
        <f t="shared" si="16"/>
        <v>0</v>
      </c>
      <c r="AY25" s="74"/>
      <c r="AZ25" s="86"/>
      <c r="BA25" s="140">
        <f t="shared" si="17"/>
        <v>0</v>
      </c>
      <c r="BB25" s="74"/>
      <c r="BC25" s="86"/>
      <c r="BD25" s="140">
        <f t="shared" si="18"/>
        <v>0</v>
      </c>
      <c r="BE25" s="74"/>
      <c r="BF25" s="86"/>
      <c r="BG25" s="140">
        <f t="shared" si="19"/>
        <v>0</v>
      </c>
      <c r="BH25" s="74"/>
      <c r="BI25" s="86"/>
      <c r="BJ25" s="140">
        <f t="shared" si="20"/>
        <v>0</v>
      </c>
      <c r="BK25" s="74"/>
      <c r="BL25" s="86"/>
      <c r="BM25" s="140">
        <f t="shared" si="21"/>
        <v>0</v>
      </c>
      <c r="BN25" s="106"/>
    </row>
    <row r="26" spans="1:66" ht="15.75" thickBot="1" x14ac:dyDescent="0.3">
      <c r="A26" s="167" t="s">
        <v>39</v>
      </c>
      <c r="B26" s="178">
        <v>5.8500000000000003E-2</v>
      </c>
      <c r="C26" s="137">
        <f t="shared" si="0"/>
        <v>0</v>
      </c>
      <c r="D26" s="137">
        <f t="shared" si="22"/>
        <v>0</v>
      </c>
      <c r="E26" s="137">
        <f t="shared" si="1"/>
        <v>0</v>
      </c>
      <c r="F26" s="74"/>
      <c r="G26" s="86"/>
      <c r="H26" s="140">
        <f t="shared" si="2"/>
        <v>0</v>
      </c>
      <c r="I26" s="74"/>
      <c r="J26" s="86"/>
      <c r="K26" s="140">
        <f t="shared" si="3"/>
        <v>0</v>
      </c>
      <c r="L26" s="74"/>
      <c r="M26" s="86"/>
      <c r="N26" s="140">
        <f t="shared" si="4"/>
        <v>0</v>
      </c>
      <c r="O26" s="74"/>
      <c r="P26" s="86"/>
      <c r="Q26" s="140">
        <f t="shared" si="5"/>
        <v>0</v>
      </c>
      <c r="R26" s="74"/>
      <c r="S26" s="86"/>
      <c r="T26" s="140">
        <f t="shared" si="6"/>
        <v>0</v>
      </c>
      <c r="U26" s="74"/>
      <c r="V26" s="86"/>
      <c r="W26" s="140">
        <f t="shared" si="7"/>
        <v>0</v>
      </c>
      <c r="X26" s="74"/>
      <c r="Y26" s="86"/>
      <c r="Z26" s="140">
        <f t="shared" si="8"/>
        <v>0</v>
      </c>
      <c r="AA26" s="74"/>
      <c r="AB26" s="86"/>
      <c r="AC26" s="140">
        <f t="shared" si="9"/>
        <v>0</v>
      </c>
      <c r="AD26" s="74"/>
      <c r="AE26" s="86"/>
      <c r="AF26" s="140">
        <f t="shared" si="10"/>
        <v>0</v>
      </c>
      <c r="AG26" s="74"/>
      <c r="AH26" s="86"/>
      <c r="AI26" s="140">
        <f t="shared" si="11"/>
        <v>0</v>
      </c>
      <c r="AJ26" s="74"/>
      <c r="AK26" s="86"/>
      <c r="AL26" s="140">
        <f t="shared" si="12"/>
        <v>0</v>
      </c>
      <c r="AM26" s="74"/>
      <c r="AN26" s="86"/>
      <c r="AO26" s="140">
        <f t="shared" si="13"/>
        <v>0</v>
      </c>
      <c r="AP26" s="74"/>
      <c r="AQ26" s="86"/>
      <c r="AR26" s="140">
        <f t="shared" si="14"/>
        <v>0</v>
      </c>
      <c r="AS26" s="74"/>
      <c r="AT26" s="86"/>
      <c r="AU26" s="140">
        <f t="shared" si="15"/>
        <v>0</v>
      </c>
      <c r="AV26" s="74"/>
      <c r="AW26" s="86"/>
      <c r="AX26" s="140">
        <f t="shared" si="16"/>
        <v>0</v>
      </c>
      <c r="AY26" s="74"/>
      <c r="AZ26" s="86"/>
      <c r="BA26" s="140">
        <f t="shared" si="17"/>
        <v>0</v>
      </c>
      <c r="BB26" s="74"/>
      <c r="BC26" s="86"/>
      <c r="BD26" s="140">
        <f t="shared" si="18"/>
        <v>0</v>
      </c>
      <c r="BE26" s="74"/>
      <c r="BF26" s="86"/>
      <c r="BG26" s="140">
        <f t="shared" si="19"/>
        <v>0</v>
      </c>
      <c r="BH26" s="74"/>
      <c r="BI26" s="86"/>
      <c r="BJ26" s="140">
        <f t="shared" si="20"/>
        <v>0</v>
      </c>
      <c r="BK26" s="74"/>
      <c r="BL26" s="86"/>
      <c r="BM26" s="140">
        <f t="shared" si="21"/>
        <v>0</v>
      </c>
      <c r="BN26" s="106"/>
    </row>
    <row r="27" spans="1:66" ht="15.75" thickBot="1" x14ac:dyDescent="0.3">
      <c r="A27" s="167" t="s">
        <v>40</v>
      </c>
      <c r="B27" s="178">
        <v>5.45E-2</v>
      </c>
      <c r="C27" s="137">
        <f t="shared" si="0"/>
        <v>0</v>
      </c>
      <c r="D27" s="137">
        <f t="shared" si="22"/>
        <v>0</v>
      </c>
      <c r="E27" s="137">
        <f t="shared" si="1"/>
        <v>0</v>
      </c>
      <c r="F27" s="74"/>
      <c r="G27" s="86"/>
      <c r="H27" s="140">
        <f t="shared" si="2"/>
        <v>0</v>
      </c>
      <c r="I27" s="74"/>
      <c r="J27" s="86"/>
      <c r="K27" s="140">
        <f t="shared" si="3"/>
        <v>0</v>
      </c>
      <c r="L27" s="74"/>
      <c r="M27" s="86"/>
      <c r="N27" s="140">
        <f t="shared" si="4"/>
        <v>0</v>
      </c>
      <c r="O27" s="74"/>
      <c r="P27" s="86"/>
      <c r="Q27" s="140">
        <f t="shared" si="5"/>
        <v>0</v>
      </c>
      <c r="R27" s="74"/>
      <c r="S27" s="86"/>
      <c r="T27" s="140">
        <f t="shared" si="6"/>
        <v>0</v>
      </c>
      <c r="U27" s="74"/>
      <c r="V27" s="86"/>
      <c r="W27" s="140">
        <f t="shared" si="7"/>
        <v>0</v>
      </c>
      <c r="X27" s="74"/>
      <c r="Y27" s="86"/>
      <c r="Z27" s="140">
        <f t="shared" si="8"/>
        <v>0</v>
      </c>
      <c r="AA27" s="74"/>
      <c r="AB27" s="86"/>
      <c r="AC27" s="140">
        <f t="shared" si="9"/>
        <v>0</v>
      </c>
      <c r="AD27" s="74"/>
      <c r="AE27" s="86"/>
      <c r="AF27" s="140">
        <f t="shared" si="10"/>
        <v>0</v>
      </c>
      <c r="AG27" s="74"/>
      <c r="AH27" s="86"/>
      <c r="AI27" s="140">
        <f t="shared" si="11"/>
        <v>0</v>
      </c>
      <c r="AJ27" s="74"/>
      <c r="AK27" s="86"/>
      <c r="AL27" s="140">
        <f t="shared" si="12"/>
        <v>0</v>
      </c>
      <c r="AM27" s="74"/>
      <c r="AN27" s="86"/>
      <c r="AO27" s="140">
        <f t="shared" si="13"/>
        <v>0</v>
      </c>
      <c r="AP27" s="74"/>
      <c r="AQ27" s="86"/>
      <c r="AR27" s="140">
        <f t="shared" si="14"/>
        <v>0</v>
      </c>
      <c r="AS27" s="74"/>
      <c r="AT27" s="86"/>
      <c r="AU27" s="140">
        <f t="shared" si="15"/>
        <v>0</v>
      </c>
      <c r="AV27" s="74"/>
      <c r="AW27" s="86"/>
      <c r="AX27" s="140">
        <f t="shared" si="16"/>
        <v>0</v>
      </c>
      <c r="AY27" s="74"/>
      <c r="AZ27" s="86"/>
      <c r="BA27" s="140">
        <f t="shared" si="17"/>
        <v>0</v>
      </c>
      <c r="BB27" s="74"/>
      <c r="BC27" s="86"/>
      <c r="BD27" s="140">
        <f t="shared" si="18"/>
        <v>0</v>
      </c>
      <c r="BE27" s="74"/>
      <c r="BF27" s="86"/>
      <c r="BG27" s="140">
        <f t="shared" si="19"/>
        <v>0</v>
      </c>
      <c r="BH27" s="74"/>
      <c r="BI27" s="86"/>
      <c r="BJ27" s="140">
        <f t="shared" si="20"/>
        <v>0</v>
      </c>
      <c r="BK27" s="74"/>
      <c r="BL27" s="86"/>
      <c r="BM27" s="140">
        <f t="shared" si="21"/>
        <v>0</v>
      </c>
      <c r="BN27" s="106"/>
    </row>
    <row r="28" spans="1:66" ht="15.75" thickBot="1" x14ac:dyDescent="0.3">
      <c r="A28" s="167" t="s">
        <v>41</v>
      </c>
      <c r="B28" s="178">
        <v>6.7599999999999993E-2</v>
      </c>
      <c r="C28" s="137">
        <f t="shared" si="0"/>
        <v>0</v>
      </c>
      <c r="D28" s="137">
        <f t="shared" si="22"/>
        <v>0</v>
      </c>
      <c r="E28" s="137">
        <f t="shared" si="1"/>
        <v>0</v>
      </c>
      <c r="F28" s="74"/>
      <c r="G28" s="86"/>
      <c r="H28" s="140">
        <f t="shared" si="2"/>
        <v>0</v>
      </c>
      <c r="I28" s="74"/>
      <c r="J28" s="86"/>
      <c r="K28" s="140">
        <f t="shared" si="3"/>
        <v>0</v>
      </c>
      <c r="L28" s="74"/>
      <c r="M28" s="86"/>
      <c r="N28" s="140">
        <f t="shared" si="4"/>
        <v>0</v>
      </c>
      <c r="O28" s="74"/>
      <c r="P28" s="86"/>
      <c r="Q28" s="140">
        <f t="shared" si="5"/>
        <v>0</v>
      </c>
      <c r="R28" s="74"/>
      <c r="S28" s="86"/>
      <c r="T28" s="140">
        <f t="shared" si="6"/>
        <v>0</v>
      </c>
      <c r="U28" s="74"/>
      <c r="V28" s="86"/>
      <c r="W28" s="140">
        <f t="shared" si="7"/>
        <v>0</v>
      </c>
      <c r="X28" s="74"/>
      <c r="Y28" s="86"/>
      <c r="Z28" s="140">
        <f t="shared" si="8"/>
        <v>0</v>
      </c>
      <c r="AA28" s="74"/>
      <c r="AB28" s="86"/>
      <c r="AC28" s="140">
        <f t="shared" si="9"/>
        <v>0</v>
      </c>
      <c r="AD28" s="74"/>
      <c r="AE28" s="86"/>
      <c r="AF28" s="140">
        <f t="shared" si="10"/>
        <v>0</v>
      </c>
      <c r="AG28" s="74"/>
      <c r="AH28" s="86"/>
      <c r="AI28" s="140">
        <f t="shared" si="11"/>
        <v>0</v>
      </c>
      <c r="AJ28" s="74"/>
      <c r="AK28" s="86"/>
      <c r="AL28" s="140">
        <f t="shared" si="12"/>
        <v>0</v>
      </c>
      <c r="AM28" s="74"/>
      <c r="AN28" s="86"/>
      <c r="AO28" s="140">
        <f t="shared" si="13"/>
        <v>0</v>
      </c>
      <c r="AP28" s="74"/>
      <c r="AQ28" s="86"/>
      <c r="AR28" s="140">
        <f t="shared" si="14"/>
        <v>0</v>
      </c>
      <c r="AS28" s="74"/>
      <c r="AT28" s="86"/>
      <c r="AU28" s="140">
        <f t="shared" si="15"/>
        <v>0</v>
      </c>
      <c r="AV28" s="74"/>
      <c r="AW28" s="86"/>
      <c r="AX28" s="140">
        <f t="shared" si="16"/>
        <v>0</v>
      </c>
      <c r="AY28" s="74"/>
      <c r="AZ28" s="86"/>
      <c r="BA28" s="140">
        <f t="shared" si="17"/>
        <v>0</v>
      </c>
      <c r="BB28" s="74"/>
      <c r="BC28" s="86"/>
      <c r="BD28" s="140">
        <f t="shared" si="18"/>
        <v>0</v>
      </c>
      <c r="BE28" s="74"/>
      <c r="BF28" s="86"/>
      <c r="BG28" s="140">
        <f t="shared" si="19"/>
        <v>0</v>
      </c>
      <c r="BH28" s="74"/>
      <c r="BI28" s="86"/>
      <c r="BJ28" s="140">
        <f t="shared" si="20"/>
        <v>0</v>
      </c>
      <c r="BK28" s="74"/>
      <c r="BL28" s="86"/>
      <c r="BM28" s="140">
        <f t="shared" si="21"/>
        <v>0</v>
      </c>
      <c r="BN28" s="106"/>
    </row>
    <row r="29" spans="1:66" ht="15.75" thickBot="1" x14ac:dyDescent="0.3">
      <c r="A29" s="167" t="s">
        <v>42</v>
      </c>
      <c r="B29" s="178">
        <v>6.4299999999999996E-2</v>
      </c>
      <c r="C29" s="137">
        <f t="shared" si="0"/>
        <v>0</v>
      </c>
      <c r="D29" s="137">
        <f t="shared" si="22"/>
        <v>0</v>
      </c>
      <c r="E29" s="137">
        <f t="shared" si="1"/>
        <v>0</v>
      </c>
      <c r="F29" s="74"/>
      <c r="G29" s="86"/>
      <c r="H29" s="140">
        <f t="shared" si="2"/>
        <v>0</v>
      </c>
      <c r="I29" s="74"/>
      <c r="J29" s="86"/>
      <c r="K29" s="140">
        <f t="shared" si="3"/>
        <v>0</v>
      </c>
      <c r="L29" s="74"/>
      <c r="M29" s="86"/>
      <c r="N29" s="140">
        <f t="shared" si="4"/>
        <v>0</v>
      </c>
      <c r="O29" s="74"/>
      <c r="P29" s="86"/>
      <c r="Q29" s="140">
        <f t="shared" si="5"/>
        <v>0</v>
      </c>
      <c r="R29" s="74"/>
      <c r="S29" s="86"/>
      <c r="T29" s="140">
        <f t="shared" si="6"/>
        <v>0</v>
      </c>
      <c r="U29" s="74"/>
      <c r="V29" s="86"/>
      <c r="W29" s="140">
        <f t="shared" si="7"/>
        <v>0</v>
      </c>
      <c r="X29" s="74"/>
      <c r="Y29" s="86"/>
      <c r="Z29" s="140">
        <f t="shared" si="8"/>
        <v>0</v>
      </c>
      <c r="AA29" s="74"/>
      <c r="AB29" s="86"/>
      <c r="AC29" s="140">
        <f t="shared" si="9"/>
        <v>0</v>
      </c>
      <c r="AD29" s="74"/>
      <c r="AE29" s="86"/>
      <c r="AF29" s="140">
        <f t="shared" si="10"/>
        <v>0</v>
      </c>
      <c r="AG29" s="74"/>
      <c r="AH29" s="86"/>
      <c r="AI29" s="140">
        <f t="shared" si="11"/>
        <v>0</v>
      </c>
      <c r="AJ29" s="74"/>
      <c r="AK29" s="86"/>
      <c r="AL29" s="140">
        <f t="shared" si="12"/>
        <v>0</v>
      </c>
      <c r="AM29" s="74"/>
      <c r="AN29" s="86"/>
      <c r="AO29" s="140">
        <f t="shared" si="13"/>
        <v>0</v>
      </c>
      <c r="AP29" s="74"/>
      <c r="AQ29" s="86"/>
      <c r="AR29" s="140">
        <f t="shared" si="14"/>
        <v>0</v>
      </c>
      <c r="AS29" s="74"/>
      <c r="AT29" s="86"/>
      <c r="AU29" s="140">
        <f t="shared" si="15"/>
        <v>0</v>
      </c>
      <c r="AV29" s="74"/>
      <c r="AW29" s="86"/>
      <c r="AX29" s="140">
        <f t="shared" si="16"/>
        <v>0</v>
      </c>
      <c r="AY29" s="74"/>
      <c r="AZ29" s="86"/>
      <c r="BA29" s="140">
        <f t="shared" si="17"/>
        <v>0</v>
      </c>
      <c r="BB29" s="74"/>
      <c r="BC29" s="86"/>
      <c r="BD29" s="140">
        <f t="shared" si="18"/>
        <v>0</v>
      </c>
      <c r="BE29" s="74"/>
      <c r="BF29" s="86"/>
      <c r="BG29" s="140">
        <f t="shared" si="19"/>
        <v>0</v>
      </c>
      <c r="BH29" s="74"/>
      <c r="BI29" s="86"/>
      <c r="BJ29" s="140">
        <f t="shared" si="20"/>
        <v>0</v>
      </c>
      <c r="BK29" s="74"/>
      <c r="BL29" s="86"/>
      <c r="BM29" s="140">
        <f t="shared" si="21"/>
        <v>0</v>
      </c>
      <c r="BN29" s="106"/>
    </row>
    <row r="30" spans="1:66" ht="15.75" thickBot="1" x14ac:dyDescent="0.3">
      <c r="A30" s="167" t="s">
        <v>43</v>
      </c>
      <c r="B30" s="178">
        <v>7.5800000000000006E-2</v>
      </c>
      <c r="C30" s="137">
        <f t="shared" si="0"/>
        <v>0</v>
      </c>
      <c r="D30" s="137">
        <f t="shared" si="22"/>
        <v>0</v>
      </c>
      <c r="E30" s="137">
        <f t="shared" si="1"/>
        <v>0</v>
      </c>
      <c r="F30" s="74"/>
      <c r="G30" s="86"/>
      <c r="H30" s="140">
        <f t="shared" si="2"/>
        <v>0</v>
      </c>
      <c r="I30" s="74"/>
      <c r="J30" s="86"/>
      <c r="K30" s="140">
        <f t="shared" si="3"/>
        <v>0</v>
      </c>
      <c r="L30" s="74"/>
      <c r="M30" s="86"/>
      <c r="N30" s="140">
        <f t="shared" si="4"/>
        <v>0</v>
      </c>
      <c r="O30" s="74"/>
      <c r="P30" s="86"/>
      <c r="Q30" s="140">
        <f t="shared" si="5"/>
        <v>0</v>
      </c>
      <c r="R30" s="74"/>
      <c r="S30" s="86"/>
      <c r="T30" s="140">
        <f t="shared" si="6"/>
        <v>0</v>
      </c>
      <c r="U30" s="74"/>
      <c r="V30" s="86"/>
      <c r="W30" s="140">
        <f t="shared" si="7"/>
        <v>0</v>
      </c>
      <c r="X30" s="74"/>
      <c r="Y30" s="86"/>
      <c r="Z30" s="140">
        <f t="shared" si="8"/>
        <v>0</v>
      </c>
      <c r="AA30" s="74"/>
      <c r="AB30" s="86"/>
      <c r="AC30" s="140">
        <f t="shared" si="9"/>
        <v>0</v>
      </c>
      <c r="AD30" s="74"/>
      <c r="AE30" s="86"/>
      <c r="AF30" s="140">
        <f t="shared" si="10"/>
        <v>0</v>
      </c>
      <c r="AG30" s="74"/>
      <c r="AH30" s="86"/>
      <c r="AI30" s="140">
        <f t="shared" si="11"/>
        <v>0</v>
      </c>
      <c r="AJ30" s="74"/>
      <c r="AK30" s="86"/>
      <c r="AL30" s="140">
        <f t="shared" si="12"/>
        <v>0</v>
      </c>
      <c r="AM30" s="74"/>
      <c r="AN30" s="86"/>
      <c r="AO30" s="140">
        <f t="shared" si="13"/>
        <v>0</v>
      </c>
      <c r="AP30" s="74"/>
      <c r="AQ30" s="86"/>
      <c r="AR30" s="140">
        <f t="shared" si="14"/>
        <v>0</v>
      </c>
      <c r="AS30" s="74"/>
      <c r="AT30" s="86"/>
      <c r="AU30" s="140">
        <f t="shared" si="15"/>
        <v>0</v>
      </c>
      <c r="AV30" s="74"/>
      <c r="AW30" s="86"/>
      <c r="AX30" s="140">
        <f t="shared" si="16"/>
        <v>0</v>
      </c>
      <c r="AY30" s="74"/>
      <c r="AZ30" s="86"/>
      <c r="BA30" s="140">
        <f t="shared" si="17"/>
        <v>0</v>
      </c>
      <c r="BB30" s="74"/>
      <c r="BC30" s="86"/>
      <c r="BD30" s="140">
        <f t="shared" si="18"/>
        <v>0</v>
      </c>
      <c r="BE30" s="74"/>
      <c r="BF30" s="86"/>
      <c r="BG30" s="140">
        <f t="shared" si="19"/>
        <v>0</v>
      </c>
      <c r="BH30" s="74"/>
      <c r="BI30" s="86"/>
      <c r="BJ30" s="140">
        <f t="shared" si="20"/>
        <v>0</v>
      </c>
      <c r="BK30" s="74"/>
      <c r="BL30" s="86"/>
      <c r="BM30" s="140">
        <f t="shared" si="21"/>
        <v>0</v>
      </c>
      <c r="BN30" s="106"/>
    </row>
    <row r="31" spans="1:66" ht="15.75" thickBot="1" x14ac:dyDescent="0.3">
      <c r="A31" s="167" t="s">
        <v>44</v>
      </c>
      <c r="B31" s="178">
        <v>6.4600000000000005E-2</v>
      </c>
      <c r="C31" s="137">
        <f t="shared" si="0"/>
        <v>0</v>
      </c>
      <c r="D31" s="137">
        <f t="shared" si="22"/>
        <v>0</v>
      </c>
      <c r="E31" s="137">
        <f t="shared" si="1"/>
        <v>0</v>
      </c>
      <c r="F31" s="74"/>
      <c r="G31" s="86"/>
      <c r="H31" s="140">
        <f t="shared" si="2"/>
        <v>0</v>
      </c>
      <c r="I31" s="74"/>
      <c r="J31" s="86"/>
      <c r="K31" s="140">
        <f t="shared" si="3"/>
        <v>0</v>
      </c>
      <c r="L31" s="74"/>
      <c r="M31" s="86"/>
      <c r="N31" s="140">
        <f t="shared" si="4"/>
        <v>0</v>
      </c>
      <c r="O31" s="74"/>
      <c r="P31" s="86"/>
      <c r="Q31" s="140">
        <f t="shared" si="5"/>
        <v>0</v>
      </c>
      <c r="R31" s="74"/>
      <c r="S31" s="86"/>
      <c r="T31" s="140">
        <f t="shared" si="6"/>
        <v>0</v>
      </c>
      <c r="U31" s="74"/>
      <c r="V31" s="86"/>
      <c r="W31" s="140">
        <f t="shared" si="7"/>
        <v>0</v>
      </c>
      <c r="X31" s="74"/>
      <c r="Y31" s="86"/>
      <c r="Z31" s="140">
        <f t="shared" si="8"/>
        <v>0</v>
      </c>
      <c r="AA31" s="74"/>
      <c r="AB31" s="86"/>
      <c r="AC31" s="140">
        <f t="shared" si="9"/>
        <v>0</v>
      </c>
      <c r="AD31" s="74"/>
      <c r="AE31" s="86"/>
      <c r="AF31" s="140">
        <f t="shared" si="10"/>
        <v>0</v>
      </c>
      <c r="AG31" s="74"/>
      <c r="AH31" s="86"/>
      <c r="AI31" s="140">
        <f t="shared" si="11"/>
        <v>0</v>
      </c>
      <c r="AJ31" s="74"/>
      <c r="AK31" s="86"/>
      <c r="AL31" s="140">
        <f t="shared" si="12"/>
        <v>0</v>
      </c>
      <c r="AM31" s="74"/>
      <c r="AN31" s="86"/>
      <c r="AO31" s="140">
        <f t="shared" si="13"/>
        <v>0</v>
      </c>
      <c r="AP31" s="74"/>
      <c r="AQ31" s="86"/>
      <c r="AR31" s="140">
        <f t="shared" si="14"/>
        <v>0</v>
      </c>
      <c r="AS31" s="74"/>
      <c r="AT31" s="86"/>
      <c r="AU31" s="140">
        <f t="shared" si="15"/>
        <v>0</v>
      </c>
      <c r="AV31" s="74"/>
      <c r="AW31" s="86"/>
      <c r="AX31" s="140">
        <f t="shared" si="16"/>
        <v>0</v>
      </c>
      <c r="AY31" s="74"/>
      <c r="AZ31" s="86"/>
      <c r="BA31" s="140">
        <f t="shared" si="17"/>
        <v>0</v>
      </c>
      <c r="BB31" s="74"/>
      <c r="BC31" s="86"/>
      <c r="BD31" s="140">
        <f t="shared" si="18"/>
        <v>0</v>
      </c>
      <c r="BE31" s="74"/>
      <c r="BF31" s="86"/>
      <c r="BG31" s="140">
        <f t="shared" si="19"/>
        <v>0</v>
      </c>
      <c r="BH31" s="74"/>
      <c r="BI31" s="86"/>
      <c r="BJ31" s="140">
        <f t="shared" si="20"/>
        <v>0</v>
      </c>
      <c r="BK31" s="74"/>
      <c r="BL31" s="86"/>
      <c r="BM31" s="140">
        <f t="shared" si="21"/>
        <v>0</v>
      </c>
      <c r="BN31" s="106"/>
    </row>
    <row r="32" spans="1:66" ht="15.75" thickBot="1" x14ac:dyDescent="0.3">
      <c r="A32" s="167" t="s">
        <v>45</v>
      </c>
      <c r="B32" s="178">
        <v>9.0800000000000006E-2</v>
      </c>
      <c r="C32" s="137">
        <f t="shared" si="0"/>
        <v>0</v>
      </c>
      <c r="D32" s="137">
        <f t="shared" si="22"/>
        <v>0</v>
      </c>
      <c r="E32" s="137">
        <f t="shared" si="1"/>
        <v>0</v>
      </c>
      <c r="F32" s="74"/>
      <c r="G32" s="86"/>
      <c r="H32" s="140">
        <f t="shared" si="2"/>
        <v>0</v>
      </c>
      <c r="I32" s="74"/>
      <c r="J32" s="86"/>
      <c r="K32" s="140">
        <f t="shared" si="3"/>
        <v>0</v>
      </c>
      <c r="L32" s="74"/>
      <c r="M32" s="86"/>
      <c r="N32" s="140">
        <f t="shared" si="4"/>
        <v>0</v>
      </c>
      <c r="O32" s="74"/>
      <c r="P32" s="86"/>
      <c r="Q32" s="140">
        <f t="shared" si="5"/>
        <v>0</v>
      </c>
      <c r="R32" s="74"/>
      <c r="S32" s="86"/>
      <c r="T32" s="140">
        <f t="shared" si="6"/>
        <v>0</v>
      </c>
      <c r="U32" s="74"/>
      <c r="V32" s="86"/>
      <c r="W32" s="140">
        <f t="shared" si="7"/>
        <v>0</v>
      </c>
      <c r="X32" s="74"/>
      <c r="Y32" s="86"/>
      <c r="Z32" s="140">
        <f t="shared" si="8"/>
        <v>0</v>
      </c>
      <c r="AA32" s="74"/>
      <c r="AB32" s="86"/>
      <c r="AC32" s="140">
        <f t="shared" si="9"/>
        <v>0</v>
      </c>
      <c r="AD32" s="74"/>
      <c r="AE32" s="86"/>
      <c r="AF32" s="140">
        <f t="shared" si="10"/>
        <v>0</v>
      </c>
      <c r="AG32" s="74"/>
      <c r="AH32" s="86"/>
      <c r="AI32" s="140">
        <f t="shared" si="11"/>
        <v>0</v>
      </c>
      <c r="AJ32" s="74"/>
      <c r="AK32" s="86"/>
      <c r="AL32" s="140">
        <f t="shared" si="12"/>
        <v>0</v>
      </c>
      <c r="AM32" s="74"/>
      <c r="AN32" s="86"/>
      <c r="AO32" s="140">
        <f t="shared" si="13"/>
        <v>0</v>
      </c>
      <c r="AP32" s="74"/>
      <c r="AQ32" s="86"/>
      <c r="AR32" s="140">
        <f t="shared" si="14"/>
        <v>0</v>
      </c>
      <c r="AS32" s="74"/>
      <c r="AT32" s="86"/>
      <c r="AU32" s="140">
        <f t="shared" si="15"/>
        <v>0</v>
      </c>
      <c r="AV32" s="74"/>
      <c r="AW32" s="86"/>
      <c r="AX32" s="140">
        <f t="shared" si="16"/>
        <v>0</v>
      </c>
      <c r="AY32" s="74"/>
      <c r="AZ32" s="86"/>
      <c r="BA32" s="140">
        <f t="shared" si="17"/>
        <v>0</v>
      </c>
      <c r="BB32" s="74"/>
      <c r="BC32" s="86"/>
      <c r="BD32" s="140">
        <f t="shared" si="18"/>
        <v>0</v>
      </c>
      <c r="BE32" s="74"/>
      <c r="BF32" s="86"/>
      <c r="BG32" s="140">
        <f t="shared" si="19"/>
        <v>0</v>
      </c>
      <c r="BH32" s="74"/>
      <c r="BI32" s="86"/>
      <c r="BJ32" s="140">
        <f t="shared" si="20"/>
        <v>0</v>
      </c>
      <c r="BK32" s="74"/>
      <c r="BL32" s="86"/>
      <c r="BM32" s="140">
        <f t="shared" si="21"/>
        <v>0</v>
      </c>
      <c r="BN32" s="106"/>
    </row>
    <row r="33" spans="1:66" ht="15.75" thickBot="1" x14ac:dyDescent="0.3">
      <c r="A33" s="167" t="s">
        <v>46</v>
      </c>
      <c r="B33" s="178">
        <v>6.7100000000000007E-2</v>
      </c>
      <c r="C33" s="137">
        <f t="shared" si="0"/>
        <v>0</v>
      </c>
      <c r="D33" s="137">
        <f t="shared" si="22"/>
        <v>0</v>
      </c>
      <c r="E33" s="137">
        <f t="shared" si="1"/>
        <v>0</v>
      </c>
      <c r="F33" s="74"/>
      <c r="G33" s="86"/>
      <c r="H33" s="140">
        <f t="shared" si="2"/>
        <v>0</v>
      </c>
      <c r="I33" s="74"/>
      <c r="J33" s="86"/>
      <c r="K33" s="140">
        <f t="shared" si="3"/>
        <v>0</v>
      </c>
      <c r="L33" s="74"/>
      <c r="M33" s="86"/>
      <c r="N33" s="140">
        <f t="shared" si="4"/>
        <v>0</v>
      </c>
      <c r="O33" s="74"/>
      <c r="P33" s="86"/>
      <c r="Q33" s="140">
        <f t="shared" si="5"/>
        <v>0</v>
      </c>
      <c r="R33" s="74"/>
      <c r="S33" s="86"/>
      <c r="T33" s="140">
        <f t="shared" si="6"/>
        <v>0</v>
      </c>
      <c r="U33" s="74"/>
      <c r="V33" s="86"/>
      <c r="W33" s="140">
        <f t="shared" si="7"/>
        <v>0</v>
      </c>
      <c r="X33" s="74"/>
      <c r="Y33" s="86"/>
      <c r="Z33" s="140">
        <f t="shared" si="8"/>
        <v>0</v>
      </c>
      <c r="AA33" s="74"/>
      <c r="AB33" s="86"/>
      <c r="AC33" s="140">
        <f t="shared" si="9"/>
        <v>0</v>
      </c>
      <c r="AD33" s="74"/>
      <c r="AE33" s="86"/>
      <c r="AF33" s="140">
        <f t="shared" si="10"/>
        <v>0</v>
      </c>
      <c r="AG33" s="74"/>
      <c r="AH33" s="86"/>
      <c r="AI33" s="140">
        <f t="shared" si="11"/>
        <v>0</v>
      </c>
      <c r="AJ33" s="74"/>
      <c r="AK33" s="86"/>
      <c r="AL33" s="140">
        <f t="shared" si="12"/>
        <v>0</v>
      </c>
      <c r="AM33" s="74"/>
      <c r="AN33" s="86"/>
      <c r="AO33" s="140">
        <f t="shared" si="13"/>
        <v>0</v>
      </c>
      <c r="AP33" s="74"/>
      <c r="AQ33" s="86"/>
      <c r="AR33" s="140">
        <f t="shared" si="14"/>
        <v>0</v>
      </c>
      <c r="AS33" s="74"/>
      <c r="AT33" s="86"/>
      <c r="AU33" s="140">
        <f t="shared" si="15"/>
        <v>0</v>
      </c>
      <c r="AV33" s="74"/>
      <c r="AW33" s="86"/>
      <c r="AX33" s="140">
        <f t="shared" si="16"/>
        <v>0</v>
      </c>
      <c r="AY33" s="74"/>
      <c r="AZ33" s="86"/>
      <c r="BA33" s="140">
        <f t="shared" si="17"/>
        <v>0</v>
      </c>
      <c r="BB33" s="74"/>
      <c r="BC33" s="86"/>
      <c r="BD33" s="140">
        <f t="shared" si="18"/>
        <v>0</v>
      </c>
      <c r="BE33" s="74"/>
      <c r="BF33" s="86"/>
      <c r="BG33" s="140">
        <f t="shared" si="19"/>
        <v>0</v>
      </c>
      <c r="BH33" s="74"/>
      <c r="BI33" s="86"/>
      <c r="BJ33" s="140">
        <f t="shared" si="20"/>
        <v>0</v>
      </c>
      <c r="BK33" s="74"/>
      <c r="BL33" s="86"/>
      <c r="BM33" s="140">
        <f t="shared" si="21"/>
        <v>0</v>
      </c>
      <c r="BN33" s="106"/>
    </row>
    <row r="34" spans="1:66" ht="15.75" thickBot="1" x14ac:dyDescent="0.3">
      <c r="A34" s="167" t="str">
        <f>'Facility Data'!A34</f>
        <v>Other fuel 01  (kWh)</v>
      </c>
      <c r="B34" s="178">
        <f>'Facility Data'!B34</f>
        <v>0</v>
      </c>
      <c r="C34" s="137">
        <f t="shared" si="0"/>
        <v>0</v>
      </c>
      <c r="D34" s="137">
        <f t="shared" si="22"/>
        <v>0</v>
      </c>
      <c r="E34" s="137">
        <f t="shared" si="1"/>
        <v>0</v>
      </c>
      <c r="F34" s="74"/>
      <c r="G34" s="86"/>
      <c r="H34" s="140">
        <f t="shared" si="2"/>
        <v>0</v>
      </c>
      <c r="I34" s="74"/>
      <c r="J34" s="86"/>
      <c r="K34" s="140">
        <f t="shared" si="3"/>
        <v>0</v>
      </c>
      <c r="L34" s="74"/>
      <c r="M34" s="86"/>
      <c r="N34" s="140">
        <f t="shared" si="4"/>
        <v>0</v>
      </c>
      <c r="O34" s="74"/>
      <c r="P34" s="86"/>
      <c r="Q34" s="140">
        <f t="shared" si="5"/>
        <v>0</v>
      </c>
      <c r="R34" s="74"/>
      <c r="S34" s="86"/>
      <c r="T34" s="140">
        <f t="shared" si="6"/>
        <v>0</v>
      </c>
      <c r="U34" s="74"/>
      <c r="V34" s="86"/>
      <c r="W34" s="140">
        <f t="shared" si="7"/>
        <v>0</v>
      </c>
      <c r="X34" s="74"/>
      <c r="Y34" s="86"/>
      <c r="Z34" s="140">
        <f t="shared" si="8"/>
        <v>0</v>
      </c>
      <c r="AA34" s="74"/>
      <c r="AB34" s="86"/>
      <c r="AC34" s="140">
        <f t="shared" si="9"/>
        <v>0</v>
      </c>
      <c r="AD34" s="74"/>
      <c r="AE34" s="86"/>
      <c r="AF34" s="140">
        <f t="shared" si="10"/>
        <v>0</v>
      </c>
      <c r="AG34" s="74"/>
      <c r="AH34" s="86"/>
      <c r="AI34" s="140">
        <f t="shared" si="11"/>
        <v>0</v>
      </c>
      <c r="AJ34" s="74"/>
      <c r="AK34" s="86"/>
      <c r="AL34" s="140">
        <f t="shared" si="12"/>
        <v>0</v>
      </c>
      <c r="AM34" s="74"/>
      <c r="AN34" s="86"/>
      <c r="AO34" s="140">
        <f t="shared" si="13"/>
        <v>0</v>
      </c>
      <c r="AP34" s="74"/>
      <c r="AQ34" s="86"/>
      <c r="AR34" s="140">
        <f t="shared" si="14"/>
        <v>0</v>
      </c>
      <c r="AS34" s="74"/>
      <c r="AT34" s="86"/>
      <c r="AU34" s="140">
        <f t="shared" si="15"/>
        <v>0</v>
      </c>
      <c r="AV34" s="74"/>
      <c r="AW34" s="86"/>
      <c r="AX34" s="140">
        <f t="shared" si="16"/>
        <v>0</v>
      </c>
      <c r="AY34" s="74"/>
      <c r="AZ34" s="86"/>
      <c r="BA34" s="140">
        <f t="shared" si="17"/>
        <v>0</v>
      </c>
      <c r="BB34" s="74"/>
      <c r="BC34" s="86"/>
      <c r="BD34" s="140">
        <f t="shared" si="18"/>
        <v>0</v>
      </c>
      <c r="BE34" s="74"/>
      <c r="BF34" s="86"/>
      <c r="BG34" s="140">
        <f t="shared" si="19"/>
        <v>0</v>
      </c>
      <c r="BH34" s="74"/>
      <c r="BI34" s="86"/>
      <c r="BJ34" s="140">
        <f t="shared" si="20"/>
        <v>0</v>
      </c>
      <c r="BK34" s="74"/>
      <c r="BL34" s="86"/>
      <c r="BM34" s="140">
        <f t="shared" si="21"/>
        <v>0</v>
      </c>
      <c r="BN34" s="106"/>
    </row>
    <row r="35" spans="1:66" ht="15.75" thickBot="1" x14ac:dyDescent="0.3">
      <c r="A35" s="167" t="str">
        <f>'Facility Data'!A35</f>
        <v>Other fuel 02  (kWh)</v>
      </c>
      <c r="B35" s="178">
        <f>'Facility Data'!B35</f>
        <v>0</v>
      </c>
      <c r="C35" s="137">
        <f t="shared" si="0"/>
        <v>0</v>
      </c>
      <c r="D35" s="137">
        <f t="shared" si="22"/>
        <v>0</v>
      </c>
      <c r="E35" s="137">
        <f t="shared" si="1"/>
        <v>0</v>
      </c>
      <c r="F35" s="74"/>
      <c r="G35" s="86"/>
      <c r="H35" s="140">
        <f t="shared" si="2"/>
        <v>0</v>
      </c>
      <c r="I35" s="74"/>
      <c r="J35" s="86"/>
      <c r="K35" s="140">
        <f t="shared" si="3"/>
        <v>0</v>
      </c>
      <c r="L35" s="74"/>
      <c r="M35" s="86"/>
      <c r="N35" s="140">
        <f t="shared" si="4"/>
        <v>0</v>
      </c>
      <c r="O35" s="74"/>
      <c r="P35" s="86"/>
      <c r="Q35" s="140">
        <f t="shared" si="5"/>
        <v>0</v>
      </c>
      <c r="R35" s="74"/>
      <c r="S35" s="86"/>
      <c r="T35" s="140">
        <f t="shared" si="6"/>
        <v>0</v>
      </c>
      <c r="U35" s="74"/>
      <c r="V35" s="86"/>
      <c r="W35" s="140">
        <f t="shared" si="7"/>
        <v>0</v>
      </c>
      <c r="X35" s="74"/>
      <c r="Y35" s="86"/>
      <c r="Z35" s="140">
        <f t="shared" si="8"/>
        <v>0</v>
      </c>
      <c r="AA35" s="74"/>
      <c r="AB35" s="86"/>
      <c r="AC35" s="140">
        <f t="shared" si="9"/>
        <v>0</v>
      </c>
      <c r="AD35" s="74"/>
      <c r="AE35" s="86"/>
      <c r="AF35" s="140">
        <f t="shared" si="10"/>
        <v>0</v>
      </c>
      <c r="AG35" s="74"/>
      <c r="AH35" s="86"/>
      <c r="AI35" s="140">
        <f t="shared" si="11"/>
        <v>0</v>
      </c>
      <c r="AJ35" s="74"/>
      <c r="AK35" s="86"/>
      <c r="AL35" s="140">
        <f t="shared" si="12"/>
        <v>0</v>
      </c>
      <c r="AM35" s="74"/>
      <c r="AN35" s="86"/>
      <c r="AO35" s="140">
        <f t="shared" si="13"/>
        <v>0</v>
      </c>
      <c r="AP35" s="74"/>
      <c r="AQ35" s="86"/>
      <c r="AR35" s="140">
        <f t="shared" si="14"/>
        <v>0</v>
      </c>
      <c r="AS35" s="74"/>
      <c r="AT35" s="86"/>
      <c r="AU35" s="140">
        <f t="shared" si="15"/>
        <v>0</v>
      </c>
      <c r="AV35" s="74"/>
      <c r="AW35" s="86"/>
      <c r="AX35" s="140">
        <f t="shared" si="16"/>
        <v>0</v>
      </c>
      <c r="AY35" s="74"/>
      <c r="AZ35" s="86"/>
      <c r="BA35" s="140">
        <f t="shared" si="17"/>
        <v>0</v>
      </c>
      <c r="BB35" s="74"/>
      <c r="BC35" s="86"/>
      <c r="BD35" s="140">
        <f t="shared" si="18"/>
        <v>0</v>
      </c>
      <c r="BE35" s="74"/>
      <c r="BF35" s="86"/>
      <c r="BG35" s="140">
        <f t="shared" si="19"/>
        <v>0</v>
      </c>
      <c r="BH35" s="74"/>
      <c r="BI35" s="86"/>
      <c r="BJ35" s="140">
        <f t="shared" si="20"/>
        <v>0</v>
      </c>
      <c r="BK35" s="74"/>
      <c r="BL35" s="86"/>
      <c r="BM35" s="140">
        <f t="shared" si="21"/>
        <v>0</v>
      </c>
      <c r="BN35" s="106"/>
    </row>
    <row r="36" spans="1:66" ht="15.75" thickBot="1" x14ac:dyDescent="0.3">
      <c r="A36" s="167" t="str">
        <f>'Facility Data'!A36</f>
        <v>Other fuel 03  (kWh)</v>
      </c>
      <c r="B36" s="178">
        <f>'Facility Data'!B36</f>
        <v>0</v>
      </c>
      <c r="C36" s="137">
        <f t="shared" si="0"/>
        <v>0</v>
      </c>
      <c r="D36" s="137">
        <f t="shared" si="22"/>
        <v>0</v>
      </c>
      <c r="E36" s="137">
        <f t="shared" si="1"/>
        <v>0</v>
      </c>
      <c r="F36" s="74"/>
      <c r="G36" s="86"/>
      <c r="H36" s="140">
        <f t="shared" si="2"/>
        <v>0</v>
      </c>
      <c r="I36" s="74"/>
      <c r="J36" s="86"/>
      <c r="K36" s="140">
        <f t="shared" si="3"/>
        <v>0</v>
      </c>
      <c r="L36" s="74"/>
      <c r="M36" s="86"/>
      <c r="N36" s="140">
        <f t="shared" si="4"/>
        <v>0</v>
      </c>
      <c r="O36" s="74"/>
      <c r="P36" s="86"/>
      <c r="Q36" s="140">
        <f t="shared" si="5"/>
        <v>0</v>
      </c>
      <c r="R36" s="74"/>
      <c r="S36" s="86"/>
      <c r="T36" s="140">
        <f t="shared" si="6"/>
        <v>0</v>
      </c>
      <c r="U36" s="74"/>
      <c r="V36" s="86"/>
      <c r="W36" s="140">
        <f t="shared" si="7"/>
        <v>0</v>
      </c>
      <c r="X36" s="74"/>
      <c r="Y36" s="86"/>
      <c r="Z36" s="140">
        <f t="shared" si="8"/>
        <v>0</v>
      </c>
      <c r="AA36" s="74"/>
      <c r="AB36" s="86"/>
      <c r="AC36" s="140">
        <f t="shared" si="9"/>
        <v>0</v>
      </c>
      <c r="AD36" s="74"/>
      <c r="AE36" s="86"/>
      <c r="AF36" s="140">
        <f t="shared" si="10"/>
        <v>0</v>
      </c>
      <c r="AG36" s="74"/>
      <c r="AH36" s="86"/>
      <c r="AI36" s="140">
        <f t="shared" si="11"/>
        <v>0</v>
      </c>
      <c r="AJ36" s="74"/>
      <c r="AK36" s="86"/>
      <c r="AL36" s="140">
        <f t="shared" si="12"/>
        <v>0</v>
      </c>
      <c r="AM36" s="74"/>
      <c r="AN36" s="86"/>
      <c r="AO36" s="140">
        <f t="shared" si="13"/>
        <v>0</v>
      </c>
      <c r="AP36" s="74"/>
      <c r="AQ36" s="86"/>
      <c r="AR36" s="140">
        <f t="shared" si="14"/>
        <v>0</v>
      </c>
      <c r="AS36" s="74"/>
      <c r="AT36" s="86"/>
      <c r="AU36" s="140">
        <f t="shared" si="15"/>
        <v>0</v>
      </c>
      <c r="AV36" s="74"/>
      <c r="AW36" s="86"/>
      <c r="AX36" s="140">
        <f t="shared" si="16"/>
        <v>0</v>
      </c>
      <c r="AY36" s="74"/>
      <c r="AZ36" s="86"/>
      <c r="BA36" s="140">
        <f t="shared" si="17"/>
        <v>0</v>
      </c>
      <c r="BB36" s="74"/>
      <c r="BC36" s="86"/>
      <c r="BD36" s="140">
        <f t="shared" si="18"/>
        <v>0</v>
      </c>
      <c r="BE36" s="74"/>
      <c r="BF36" s="86"/>
      <c r="BG36" s="140">
        <f t="shared" si="19"/>
        <v>0</v>
      </c>
      <c r="BH36" s="74"/>
      <c r="BI36" s="86"/>
      <c r="BJ36" s="140">
        <f t="shared" si="20"/>
        <v>0</v>
      </c>
      <c r="BK36" s="74"/>
      <c r="BL36" s="86"/>
      <c r="BM36" s="140">
        <f t="shared" si="21"/>
        <v>0</v>
      </c>
      <c r="BN36" s="106"/>
    </row>
    <row r="37" spans="1:66" ht="15.75" thickBot="1" x14ac:dyDescent="0.3">
      <c r="A37" s="167" t="str">
        <f>'Facility Data'!A37</f>
        <v>Other fuel 04  (kWh)</v>
      </c>
      <c r="B37" s="178">
        <f>'Facility Data'!B37</f>
        <v>0</v>
      </c>
      <c r="C37" s="137">
        <f t="shared" si="0"/>
        <v>0</v>
      </c>
      <c r="D37" s="137">
        <f t="shared" si="22"/>
        <v>0</v>
      </c>
      <c r="E37" s="137">
        <f t="shared" si="1"/>
        <v>0</v>
      </c>
      <c r="F37" s="74"/>
      <c r="G37" s="86"/>
      <c r="H37" s="140">
        <f t="shared" si="2"/>
        <v>0</v>
      </c>
      <c r="I37" s="74"/>
      <c r="J37" s="86"/>
      <c r="K37" s="140">
        <f t="shared" si="3"/>
        <v>0</v>
      </c>
      <c r="L37" s="74"/>
      <c r="M37" s="86"/>
      <c r="N37" s="140">
        <f t="shared" si="4"/>
        <v>0</v>
      </c>
      <c r="O37" s="74"/>
      <c r="P37" s="86"/>
      <c r="Q37" s="140">
        <f t="shared" si="5"/>
        <v>0</v>
      </c>
      <c r="R37" s="74"/>
      <c r="S37" s="86"/>
      <c r="T37" s="140">
        <f t="shared" si="6"/>
        <v>0</v>
      </c>
      <c r="U37" s="74"/>
      <c r="V37" s="86"/>
      <c r="W37" s="140">
        <f t="shared" si="7"/>
        <v>0</v>
      </c>
      <c r="X37" s="74"/>
      <c r="Y37" s="86"/>
      <c r="Z37" s="140">
        <f t="shared" si="8"/>
        <v>0</v>
      </c>
      <c r="AA37" s="74"/>
      <c r="AB37" s="86"/>
      <c r="AC37" s="140">
        <f t="shared" si="9"/>
        <v>0</v>
      </c>
      <c r="AD37" s="74"/>
      <c r="AE37" s="86"/>
      <c r="AF37" s="140">
        <f t="shared" si="10"/>
        <v>0</v>
      </c>
      <c r="AG37" s="74"/>
      <c r="AH37" s="86"/>
      <c r="AI37" s="140">
        <f t="shared" si="11"/>
        <v>0</v>
      </c>
      <c r="AJ37" s="74"/>
      <c r="AK37" s="86"/>
      <c r="AL37" s="140">
        <f t="shared" si="12"/>
        <v>0</v>
      </c>
      <c r="AM37" s="74"/>
      <c r="AN37" s="86"/>
      <c r="AO37" s="140">
        <f t="shared" si="13"/>
        <v>0</v>
      </c>
      <c r="AP37" s="74"/>
      <c r="AQ37" s="86"/>
      <c r="AR37" s="140">
        <f t="shared" si="14"/>
        <v>0</v>
      </c>
      <c r="AS37" s="74"/>
      <c r="AT37" s="86"/>
      <c r="AU37" s="140">
        <f t="shared" si="15"/>
        <v>0</v>
      </c>
      <c r="AV37" s="74"/>
      <c r="AW37" s="86"/>
      <c r="AX37" s="140">
        <f t="shared" si="16"/>
        <v>0</v>
      </c>
      <c r="AY37" s="74"/>
      <c r="AZ37" s="86"/>
      <c r="BA37" s="140">
        <f t="shared" si="17"/>
        <v>0</v>
      </c>
      <c r="BB37" s="74"/>
      <c r="BC37" s="86"/>
      <c r="BD37" s="140">
        <f t="shared" si="18"/>
        <v>0</v>
      </c>
      <c r="BE37" s="74"/>
      <c r="BF37" s="86"/>
      <c r="BG37" s="140">
        <f t="shared" si="19"/>
        <v>0</v>
      </c>
      <c r="BH37" s="74"/>
      <c r="BI37" s="86"/>
      <c r="BJ37" s="140">
        <f t="shared" si="20"/>
        <v>0</v>
      </c>
      <c r="BK37" s="74"/>
      <c r="BL37" s="86"/>
      <c r="BM37" s="140">
        <f t="shared" si="21"/>
        <v>0</v>
      </c>
      <c r="BN37" s="106"/>
    </row>
    <row r="38" spans="1:66" ht="15.75" thickBot="1" x14ac:dyDescent="0.3">
      <c r="A38" s="167" t="str">
        <f>'Facility Data'!A38</f>
        <v>Other fuel 05  (kWh)</v>
      </c>
      <c r="B38" s="178">
        <f>'Facility Data'!B38</f>
        <v>0</v>
      </c>
      <c r="C38" s="137">
        <f t="shared" si="0"/>
        <v>0</v>
      </c>
      <c r="D38" s="137">
        <f t="shared" si="22"/>
        <v>0</v>
      </c>
      <c r="E38" s="137">
        <f t="shared" si="1"/>
        <v>0</v>
      </c>
      <c r="F38" s="74"/>
      <c r="G38" s="86"/>
      <c r="H38" s="140">
        <f t="shared" si="2"/>
        <v>0</v>
      </c>
      <c r="I38" s="74"/>
      <c r="J38" s="86"/>
      <c r="K38" s="140">
        <f t="shared" si="3"/>
        <v>0</v>
      </c>
      <c r="L38" s="74"/>
      <c r="M38" s="86"/>
      <c r="N38" s="140">
        <f t="shared" si="4"/>
        <v>0</v>
      </c>
      <c r="O38" s="74"/>
      <c r="P38" s="86"/>
      <c r="Q38" s="140">
        <f t="shared" si="5"/>
        <v>0</v>
      </c>
      <c r="R38" s="74"/>
      <c r="S38" s="86"/>
      <c r="T38" s="140">
        <f t="shared" si="6"/>
        <v>0</v>
      </c>
      <c r="U38" s="74"/>
      <c r="V38" s="86"/>
      <c r="W38" s="140">
        <f t="shared" si="7"/>
        <v>0</v>
      </c>
      <c r="X38" s="74"/>
      <c r="Y38" s="86"/>
      <c r="Z38" s="140">
        <f t="shared" si="8"/>
        <v>0</v>
      </c>
      <c r="AA38" s="74"/>
      <c r="AB38" s="86"/>
      <c r="AC38" s="140">
        <f t="shared" si="9"/>
        <v>0</v>
      </c>
      <c r="AD38" s="74"/>
      <c r="AE38" s="86"/>
      <c r="AF38" s="140">
        <f t="shared" si="10"/>
        <v>0</v>
      </c>
      <c r="AG38" s="74"/>
      <c r="AH38" s="86"/>
      <c r="AI38" s="140">
        <f t="shared" si="11"/>
        <v>0</v>
      </c>
      <c r="AJ38" s="74"/>
      <c r="AK38" s="86"/>
      <c r="AL38" s="140">
        <f t="shared" si="12"/>
        <v>0</v>
      </c>
      <c r="AM38" s="74"/>
      <c r="AN38" s="86"/>
      <c r="AO38" s="140">
        <f t="shared" si="13"/>
        <v>0</v>
      </c>
      <c r="AP38" s="74"/>
      <c r="AQ38" s="86"/>
      <c r="AR38" s="140">
        <f t="shared" si="14"/>
        <v>0</v>
      </c>
      <c r="AS38" s="74"/>
      <c r="AT38" s="86"/>
      <c r="AU38" s="140">
        <f t="shared" si="15"/>
        <v>0</v>
      </c>
      <c r="AV38" s="74"/>
      <c r="AW38" s="86"/>
      <c r="AX38" s="140">
        <f t="shared" si="16"/>
        <v>0</v>
      </c>
      <c r="AY38" s="74"/>
      <c r="AZ38" s="86"/>
      <c r="BA38" s="140">
        <f t="shared" si="17"/>
        <v>0</v>
      </c>
      <c r="BB38" s="74"/>
      <c r="BC38" s="86"/>
      <c r="BD38" s="140">
        <f t="shared" si="18"/>
        <v>0</v>
      </c>
      <c r="BE38" s="74"/>
      <c r="BF38" s="86"/>
      <c r="BG38" s="140">
        <f t="shared" si="19"/>
        <v>0</v>
      </c>
      <c r="BH38" s="74"/>
      <c r="BI38" s="86"/>
      <c r="BJ38" s="140">
        <f t="shared" si="20"/>
        <v>0</v>
      </c>
      <c r="BK38" s="74"/>
      <c r="BL38" s="86"/>
      <c r="BM38" s="140">
        <f t="shared" si="21"/>
        <v>0</v>
      </c>
      <c r="BN38" s="106"/>
    </row>
    <row r="39" spans="1:66" ht="15.75" thickBot="1" x14ac:dyDescent="0.3">
      <c r="A39" s="167" t="str">
        <f>'Facility Data'!A39</f>
        <v>Other fuel 06  (kWh)</v>
      </c>
      <c r="B39" s="178">
        <f>'Facility Data'!B39</f>
        <v>0</v>
      </c>
      <c r="C39" s="137">
        <f t="shared" si="0"/>
        <v>0</v>
      </c>
      <c r="D39" s="137">
        <f t="shared" si="22"/>
        <v>0</v>
      </c>
      <c r="E39" s="137">
        <f t="shared" si="1"/>
        <v>0</v>
      </c>
      <c r="F39" s="74"/>
      <c r="G39" s="86"/>
      <c r="H39" s="140">
        <f t="shared" si="2"/>
        <v>0</v>
      </c>
      <c r="I39" s="74"/>
      <c r="J39" s="86"/>
      <c r="K39" s="140">
        <f t="shared" si="3"/>
        <v>0</v>
      </c>
      <c r="L39" s="74"/>
      <c r="M39" s="86"/>
      <c r="N39" s="140">
        <f t="shared" si="4"/>
        <v>0</v>
      </c>
      <c r="O39" s="74"/>
      <c r="P39" s="86"/>
      <c r="Q39" s="140">
        <f t="shared" si="5"/>
        <v>0</v>
      </c>
      <c r="R39" s="74"/>
      <c r="S39" s="86"/>
      <c r="T39" s="140">
        <f t="shared" si="6"/>
        <v>0</v>
      </c>
      <c r="U39" s="74"/>
      <c r="V39" s="86"/>
      <c r="W39" s="140">
        <f t="shared" si="7"/>
        <v>0</v>
      </c>
      <c r="X39" s="74"/>
      <c r="Y39" s="86"/>
      <c r="Z39" s="140">
        <f t="shared" si="8"/>
        <v>0</v>
      </c>
      <c r="AA39" s="74"/>
      <c r="AB39" s="86"/>
      <c r="AC39" s="140">
        <f t="shared" si="9"/>
        <v>0</v>
      </c>
      <c r="AD39" s="74"/>
      <c r="AE39" s="86"/>
      <c r="AF39" s="140">
        <f t="shared" si="10"/>
        <v>0</v>
      </c>
      <c r="AG39" s="74"/>
      <c r="AH39" s="86"/>
      <c r="AI39" s="140">
        <f t="shared" si="11"/>
        <v>0</v>
      </c>
      <c r="AJ39" s="74"/>
      <c r="AK39" s="86"/>
      <c r="AL39" s="140">
        <f t="shared" si="12"/>
        <v>0</v>
      </c>
      <c r="AM39" s="74"/>
      <c r="AN39" s="86"/>
      <c r="AO39" s="140">
        <f t="shared" si="13"/>
        <v>0</v>
      </c>
      <c r="AP39" s="74"/>
      <c r="AQ39" s="86"/>
      <c r="AR39" s="140">
        <f t="shared" si="14"/>
        <v>0</v>
      </c>
      <c r="AS39" s="74"/>
      <c r="AT39" s="86"/>
      <c r="AU39" s="140">
        <f t="shared" si="15"/>
        <v>0</v>
      </c>
      <c r="AV39" s="74"/>
      <c r="AW39" s="86"/>
      <c r="AX39" s="140">
        <f t="shared" si="16"/>
        <v>0</v>
      </c>
      <c r="AY39" s="74"/>
      <c r="AZ39" s="86"/>
      <c r="BA39" s="140">
        <f t="shared" si="17"/>
        <v>0</v>
      </c>
      <c r="BB39" s="74"/>
      <c r="BC39" s="86"/>
      <c r="BD39" s="140">
        <f t="shared" si="18"/>
        <v>0</v>
      </c>
      <c r="BE39" s="74"/>
      <c r="BF39" s="86"/>
      <c r="BG39" s="140">
        <f t="shared" si="19"/>
        <v>0</v>
      </c>
      <c r="BH39" s="74"/>
      <c r="BI39" s="86"/>
      <c r="BJ39" s="140">
        <f t="shared" si="20"/>
        <v>0</v>
      </c>
      <c r="BK39" s="74"/>
      <c r="BL39" s="86"/>
      <c r="BM39" s="140">
        <f t="shared" si="21"/>
        <v>0</v>
      </c>
      <c r="BN39" s="106"/>
    </row>
    <row r="40" spans="1:66" ht="15.75" thickBot="1" x14ac:dyDescent="0.3">
      <c r="A40" s="167" t="str">
        <f>'Facility Data'!A40</f>
        <v>Other fuel 07  (kWh)</v>
      </c>
      <c r="B40" s="178">
        <f>'Facility Data'!B40</f>
        <v>0</v>
      </c>
      <c r="C40" s="137">
        <f t="shared" si="0"/>
        <v>0</v>
      </c>
      <c r="D40" s="137">
        <f t="shared" si="22"/>
        <v>0</v>
      </c>
      <c r="E40" s="137">
        <f t="shared" si="1"/>
        <v>0</v>
      </c>
      <c r="F40" s="74"/>
      <c r="G40" s="86"/>
      <c r="H40" s="140">
        <f t="shared" si="2"/>
        <v>0</v>
      </c>
      <c r="I40" s="74"/>
      <c r="J40" s="86"/>
      <c r="K40" s="140">
        <f t="shared" si="3"/>
        <v>0</v>
      </c>
      <c r="L40" s="74"/>
      <c r="M40" s="86"/>
      <c r="N40" s="140">
        <f t="shared" si="4"/>
        <v>0</v>
      </c>
      <c r="O40" s="74"/>
      <c r="P40" s="86"/>
      <c r="Q40" s="140">
        <f t="shared" si="5"/>
        <v>0</v>
      </c>
      <c r="R40" s="74"/>
      <c r="S40" s="86"/>
      <c r="T40" s="140">
        <f t="shared" si="6"/>
        <v>0</v>
      </c>
      <c r="U40" s="74"/>
      <c r="V40" s="86"/>
      <c r="W40" s="140">
        <f t="shared" si="7"/>
        <v>0</v>
      </c>
      <c r="X40" s="74"/>
      <c r="Y40" s="86"/>
      <c r="Z40" s="140">
        <f t="shared" si="8"/>
        <v>0</v>
      </c>
      <c r="AA40" s="74"/>
      <c r="AB40" s="86"/>
      <c r="AC40" s="140">
        <f t="shared" si="9"/>
        <v>0</v>
      </c>
      <c r="AD40" s="74"/>
      <c r="AE40" s="86"/>
      <c r="AF40" s="140">
        <f t="shared" si="10"/>
        <v>0</v>
      </c>
      <c r="AG40" s="74"/>
      <c r="AH40" s="86"/>
      <c r="AI40" s="140">
        <f t="shared" si="11"/>
        <v>0</v>
      </c>
      <c r="AJ40" s="74"/>
      <c r="AK40" s="86"/>
      <c r="AL40" s="140">
        <f t="shared" si="12"/>
        <v>0</v>
      </c>
      <c r="AM40" s="74"/>
      <c r="AN40" s="86"/>
      <c r="AO40" s="140">
        <f t="shared" si="13"/>
        <v>0</v>
      </c>
      <c r="AP40" s="74"/>
      <c r="AQ40" s="86"/>
      <c r="AR40" s="140">
        <f t="shared" si="14"/>
        <v>0</v>
      </c>
      <c r="AS40" s="74"/>
      <c r="AT40" s="86"/>
      <c r="AU40" s="140">
        <f t="shared" si="15"/>
        <v>0</v>
      </c>
      <c r="AV40" s="74"/>
      <c r="AW40" s="86"/>
      <c r="AX40" s="140">
        <f t="shared" si="16"/>
        <v>0</v>
      </c>
      <c r="AY40" s="74"/>
      <c r="AZ40" s="86"/>
      <c r="BA40" s="140">
        <f t="shared" si="17"/>
        <v>0</v>
      </c>
      <c r="BB40" s="74"/>
      <c r="BC40" s="86"/>
      <c r="BD40" s="140">
        <f t="shared" si="18"/>
        <v>0</v>
      </c>
      <c r="BE40" s="74"/>
      <c r="BF40" s="86"/>
      <c r="BG40" s="140">
        <f t="shared" si="19"/>
        <v>0</v>
      </c>
      <c r="BH40" s="74"/>
      <c r="BI40" s="86"/>
      <c r="BJ40" s="140">
        <f t="shared" si="20"/>
        <v>0</v>
      </c>
      <c r="BK40" s="74"/>
      <c r="BL40" s="86"/>
      <c r="BM40" s="140">
        <f t="shared" si="21"/>
        <v>0</v>
      </c>
      <c r="BN40" s="106"/>
    </row>
    <row r="41" spans="1:66" ht="15.75" thickBot="1" x14ac:dyDescent="0.3">
      <c r="A41" s="167" t="str">
        <f>'Facility Data'!A41</f>
        <v>Other fuel 08  (kWh)</v>
      </c>
      <c r="B41" s="178">
        <f>'Facility Data'!B41</f>
        <v>0</v>
      </c>
      <c r="C41" s="137">
        <f t="shared" si="0"/>
        <v>0</v>
      </c>
      <c r="D41" s="137">
        <f t="shared" si="22"/>
        <v>0</v>
      </c>
      <c r="E41" s="137">
        <f t="shared" si="1"/>
        <v>0</v>
      </c>
      <c r="F41" s="74"/>
      <c r="G41" s="86"/>
      <c r="H41" s="140">
        <f t="shared" si="2"/>
        <v>0</v>
      </c>
      <c r="I41" s="74"/>
      <c r="J41" s="86"/>
      <c r="K41" s="140">
        <f t="shared" si="3"/>
        <v>0</v>
      </c>
      <c r="L41" s="74"/>
      <c r="M41" s="86"/>
      <c r="N41" s="140">
        <f t="shared" si="4"/>
        <v>0</v>
      </c>
      <c r="O41" s="74"/>
      <c r="P41" s="86"/>
      <c r="Q41" s="140">
        <f t="shared" si="5"/>
        <v>0</v>
      </c>
      <c r="R41" s="74"/>
      <c r="S41" s="86"/>
      <c r="T41" s="140">
        <f t="shared" si="6"/>
        <v>0</v>
      </c>
      <c r="U41" s="74"/>
      <c r="V41" s="86"/>
      <c r="W41" s="140">
        <f t="shared" si="7"/>
        <v>0</v>
      </c>
      <c r="X41" s="74"/>
      <c r="Y41" s="86"/>
      <c r="Z41" s="140">
        <f t="shared" si="8"/>
        <v>0</v>
      </c>
      <c r="AA41" s="74"/>
      <c r="AB41" s="86"/>
      <c r="AC41" s="140">
        <f t="shared" si="9"/>
        <v>0</v>
      </c>
      <c r="AD41" s="74"/>
      <c r="AE41" s="86"/>
      <c r="AF41" s="140">
        <f t="shared" si="10"/>
        <v>0</v>
      </c>
      <c r="AG41" s="74"/>
      <c r="AH41" s="86"/>
      <c r="AI41" s="140">
        <f t="shared" si="11"/>
        <v>0</v>
      </c>
      <c r="AJ41" s="74"/>
      <c r="AK41" s="86"/>
      <c r="AL41" s="140">
        <f t="shared" si="12"/>
        <v>0</v>
      </c>
      <c r="AM41" s="74"/>
      <c r="AN41" s="86"/>
      <c r="AO41" s="140">
        <f t="shared" si="13"/>
        <v>0</v>
      </c>
      <c r="AP41" s="74"/>
      <c r="AQ41" s="86"/>
      <c r="AR41" s="140">
        <f t="shared" si="14"/>
        <v>0</v>
      </c>
      <c r="AS41" s="74"/>
      <c r="AT41" s="86"/>
      <c r="AU41" s="140">
        <f t="shared" si="15"/>
        <v>0</v>
      </c>
      <c r="AV41" s="74"/>
      <c r="AW41" s="86"/>
      <c r="AX41" s="140">
        <f t="shared" si="16"/>
        <v>0</v>
      </c>
      <c r="AY41" s="74"/>
      <c r="AZ41" s="86"/>
      <c r="BA41" s="140">
        <f t="shared" si="17"/>
        <v>0</v>
      </c>
      <c r="BB41" s="74"/>
      <c r="BC41" s="86"/>
      <c r="BD41" s="140">
        <f t="shared" si="18"/>
        <v>0</v>
      </c>
      <c r="BE41" s="74"/>
      <c r="BF41" s="86"/>
      <c r="BG41" s="140">
        <f t="shared" si="19"/>
        <v>0</v>
      </c>
      <c r="BH41" s="74"/>
      <c r="BI41" s="86"/>
      <c r="BJ41" s="140">
        <f t="shared" si="20"/>
        <v>0</v>
      </c>
      <c r="BK41" s="74"/>
      <c r="BL41" s="86"/>
      <c r="BM41" s="140">
        <f t="shared" si="21"/>
        <v>0</v>
      </c>
      <c r="BN41" s="106"/>
    </row>
    <row r="42" spans="1:66" ht="15.75" thickBot="1" x14ac:dyDescent="0.3">
      <c r="A42" s="167" t="str">
        <f>'Facility Data'!A42</f>
        <v>Other fuel 09  (kWh)</v>
      </c>
      <c r="B42" s="178">
        <f>'Facility Data'!B42</f>
        <v>0</v>
      </c>
      <c r="C42" s="137">
        <f t="shared" si="0"/>
        <v>0</v>
      </c>
      <c r="D42" s="137">
        <f t="shared" si="22"/>
        <v>0</v>
      </c>
      <c r="E42" s="137">
        <f t="shared" si="1"/>
        <v>0</v>
      </c>
      <c r="F42" s="74"/>
      <c r="G42" s="86"/>
      <c r="H42" s="140">
        <f t="shared" si="2"/>
        <v>0</v>
      </c>
      <c r="I42" s="74"/>
      <c r="J42" s="86"/>
      <c r="K42" s="140">
        <f t="shared" si="3"/>
        <v>0</v>
      </c>
      <c r="L42" s="74"/>
      <c r="M42" s="86"/>
      <c r="N42" s="140">
        <f t="shared" si="4"/>
        <v>0</v>
      </c>
      <c r="O42" s="74"/>
      <c r="P42" s="86"/>
      <c r="Q42" s="140">
        <f t="shared" si="5"/>
        <v>0</v>
      </c>
      <c r="R42" s="74"/>
      <c r="S42" s="86"/>
      <c r="T42" s="140">
        <f t="shared" si="6"/>
        <v>0</v>
      </c>
      <c r="U42" s="74"/>
      <c r="V42" s="86"/>
      <c r="W42" s="140">
        <f t="shared" si="7"/>
        <v>0</v>
      </c>
      <c r="X42" s="74"/>
      <c r="Y42" s="86"/>
      <c r="Z42" s="140">
        <f t="shared" si="8"/>
        <v>0</v>
      </c>
      <c r="AA42" s="74"/>
      <c r="AB42" s="86"/>
      <c r="AC42" s="140">
        <f t="shared" si="9"/>
        <v>0</v>
      </c>
      <c r="AD42" s="74"/>
      <c r="AE42" s="86"/>
      <c r="AF42" s="140">
        <f t="shared" si="10"/>
        <v>0</v>
      </c>
      <c r="AG42" s="74"/>
      <c r="AH42" s="86"/>
      <c r="AI42" s="140">
        <f t="shared" si="11"/>
        <v>0</v>
      </c>
      <c r="AJ42" s="74"/>
      <c r="AK42" s="86"/>
      <c r="AL42" s="140">
        <f t="shared" si="12"/>
        <v>0</v>
      </c>
      <c r="AM42" s="74"/>
      <c r="AN42" s="86"/>
      <c r="AO42" s="140">
        <f t="shared" si="13"/>
        <v>0</v>
      </c>
      <c r="AP42" s="74"/>
      <c r="AQ42" s="86"/>
      <c r="AR42" s="140">
        <f t="shared" si="14"/>
        <v>0</v>
      </c>
      <c r="AS42" s="74"/>
      <c r="AT42" s="86"/>
      <c r="AU42" s="140">
        <f t="shared" si="15"/>
        <v>0</v>
      </c>
      <c r="AV42" s="74"/>
      <c r="AW42" s="86"/>
      <c r="AX42" s="140">
        <f t="shared" si="16"/>
        <v>0</v>
      </c>
      <c r="AY42" s="74"/>
      <c r="AZ42" s="86"/>
      <c r="BA42" s="140">
        <f t="shared" si="17"/>
        <v>0</v>
      </c>
      <c r="BB42" s="74"/>
      <c r="BC42" s="86"/>
      <c r="BD42" s="140">
        <f t="shared" si="18"/>
        <v>0</v>
      </c>
      <c r="BE42" s="74"/>
      <c r="BF42" s="86"/>
      <c r="BG42" s="140">
        <f t="shared" si="19"/>
        <v>0</v>
      </c>
      <c r="BH42" s="74"/>
      <c r="BI42" s="86"/>
      <c r="BJ42" s="140">
        <f t="shared" si="20"/>
        <v>0</v>
      </c>
      <c r="BK42" s="74"/>
      <c r="BL42" s="86"/>
      <c r="BM42" s="140">
        <f t="shared" si="21"/>
        <v>0</v>
      </c>
      <c r="BN42" s="106"/>
    </row>
    <row r="43" spans="1:66" ht="15.75" thickBot="1" x14ac:dyDescent="0.3">
      <c r="A43" s="167" t="str">
        <f>'Facility Data'!A43</f>
        <v>Other fuel 10  (kWh)</v>
      </c>
      <c r="B43" s="178">
        <f>'Facility Data'!B43</f>
        <v>0</v>
      </c>
      <c r="C43" s="137">
        <f t="shared" si="0"/>
        <v>0</v>
      </c>
      <c r="D43" s="137">
        <f t="shared" si="22"/>
        <v>0</v>
      </c>
      <c r="E43" s="137">
        <f t="shared" si="1"/>
        <v>0</v>
      </c>
      <c r="F43" s="74"/>
      <c r="G43" s="86"/>
      <c r="H43" s="140">
        <f t="shared" si="2"/>
        <v>0</v>
      </c>
      <c r="I43" s="74"/>
      <c r="J43" s="86"/>
      <c r="K43" s="140">
        <f t="shared" si="3"/>
        <v>0</v>
      </c>
      <c r="L43" s="74"/>
      <c r="M43" s="86"/>
      <c r="N43" s="140">
        <f t="shared" si="4"/>
        <v>0</v>
      </c>
      <c r="O43" s="74"/>
      <c r="P43" s="86"/>
      <c r="Q43" s="140">
        <f t="shared" si="5"/>
        <v>0</v>
      </c>
      <c r="R43" s="74"/>
      <c r="S43" s="86"/>
      <c r="T43" s="140">
        <f t="shared" si="6"/>
        <v>0</v>
      </c>
      <c r="U43" s="74"/>
      <c r="V43" s="86"/>
      <c r="W43" s="140">
        <f t="shared" si="7"/>
        <v>0</v>
      </c>
      <c r="X43" s="74"/>
      <c r="Y43" s="86"/>
      <c r="Z43" s="140">
        <f t="shared" si="8"/>
        <v>0</v>
      </c>
      <c r="AA43" s="74"/>
      <c r="AB43" s="86"/>
      <c r="AC43" s="140">
        <f t="shared" si="9"/>
        <v>0</v>
      </c>
      <c r="AD43" s="74"/>
      <c r="AE43" s="86"/>
      <c r="AF43" s="140">
        <f t="shared" si="10"/>
        <v>0</v>
      </c>
      <c r="AG43" s="74"/>
      <c r="AH43" s="86"/>
      <c r="AI43" s="140">
        <f t="shared" si="11"/>
        <v>0</v>
      </c>
      <c r="AJ43" s="74"/>
      <c r="AK43" s="86"/>
      <c r="AL43" s="140">
        <f t="shared" si="12"/>
        <v>0</v>
      </c>
      <c r="AM43" s="74"/>
      <c r="AN43" s="86"/>
      <c r="AO43" s="140">
        <f t="shared" si="13"/>
        <v>0</v>
      </c>
      <c r="AP43" s="74"/>
      <c r="AQ43" s="86"/>
      <c r="AR43" s="140">
        <f t="shared" si="14"/>
        <v>0</v>
      </c>
      <c r="AS43" s="74"/>
      <c r="AT43" s="86"/>
      <c r="AU43" s="140">
        <f t="shared" si="15"/>
        <v>0</v>
      </c>
      <c r="AV43" s="74"/>
      <c r="AW43" s="86"/>
      <c r="AX43" s="140">
        <f t="shared" si="16"/>
        <v>0</v>
      </c>
      <c r="AY43" s="74"/>
      <c r="AZ43" s="86"/>
      <c r="BA43" s="140">
        <f t="shared" si="17"/>
        <v>0</v>
      </c>
      <c r="BB43" s="74"/>
      <c r="BC43" s="86"/>
      <c r="BD43" s="140">
        <f t="shared" si="18"/>
        <v>0</v>
      </c>
      <c r="BE43" s="74"/>
      <c r="BF43" s="86"/>
      <c r="BG43" s="140">
        <f t="shared" si="19"/>
        <v>0</v>
      </c>
      <c r="BH43" s="74"/>
      <c r="BI43" s="86"/>
      <c r="BJ43" s="140">
        <f t="shared" si="20"/>
        <v>0</v>
      </c>
      <c r="BK43" s="74"/>
      <c r="BL43" s="86"/>
      <c r="BM43" s="140">
        <f t="shared" si="21"/>
        <v>0</v>
      </c>
      <c r="BN43" s="106"/>
    </row>
    <row r="44" spans="1:66" ht="15.75" thickBot="1" x14ac:dyDescent="0.3">
      <c r="A44" s="167" t="str">
        <f>'Facility Data'!A44</f>
        <v>Other fuel 11  (kWh)</v>
      </c>
      <c r="B44" s="178">
        <f>'Facility Data'!B44</f>
        <v>0</v>
      </c>
      <c r="C44" s="137">
        <f t="shared" si="0"/>
        <v>0</v>
      </c>
      <c r="D44" s="137">
        <f t="shared" si="22"/>
        <v>0</v>
      </c>
      <c r="E44" s="137">
        <f t="shared" si="1"/>
        <v>0</v>
      </c>
      <c r="F44" s="74"/>
      <c r="G44" s="86"/>
      <c r="H44" s="140">
        <f t="shared" si="2"/>
        <v>0</v>
      </c>
      <c r="I44" s="74"/>
      <c r="J44" s="86"/>
      <c r="K44" s="140">
        <f t="shared" si="3"/>
        <v>0</v>
      </c>
      <c r="L44" s="74"/>
      <c r="M44" s="86"/>
      <c r="N44" s="140">
        <f t="shared" si="4"/>
        <v>0</v>
      </c>
      <c r="O44" s="74"/>
      <c r="P44" s="86"/>
      <c r="Q44" s="140">
        <f t="shared" si="5"/>
        <v>0</v>
      </c>
      <c r="R44" s="74"/>
      <c r="S44" s="86"/>
      <c r="T44" s="140">
        <f t="shared" si="6"/>
        <v>0</v>
      </c>
      <c r="U44" s="74"/>
      <c r="V44" s="86"/>
      <c r="W44" s="140">
        <f t="shared" si="7"/>
        <v>0</v>
      </c>
      <c r="X44" s="74"/>
      <c r="Y44" s="86"/>
      <c r="Z44" s="140">
        <f t="shared" si="8"/>
        <v>0</v>
      </c>
      <c r="AA44" s="74"/>
      <c r="AB44" s="86"/>
      <c r="AC44" s="140">
        <f t="shared" si="9"/>
        <v>0</v>
      </c>
      <c r="AD44" s="74"/>
      <c r="AE44" s="86"/>
      <c r="AF44" s="140">
        <f t="shared" si="10"/>
        <v>0</v>
      </c>
      <c r="AG44" s="74"/>
      <c r="AH44" s="86"/>
      <c r="AI44" s="140">
        <f t="shared" si="11"/>
        <v>0</v>
      </c>
      <c r="AJ44" s="74"/>
      <c r="AK44" s="86"/>
      <c r="AL44" s="140">
        <f t="shared" si="12"/>
        <v>0</v>
      </c>
      <c r="AM44" s="74"/>
      <c r="AN44" s="86"/>
      <c r="AO44" s="140">
        <f t="shared" si="13"/>
        <v>0</v>
      </c>
      <c r="AP44" s="74"/>
      <c r="AQ44" s="86"/>
      <c r="AR44" s="140">
        <f t="shared" si="14"/>
        <v>0</v>
      </c>
      <c r="AS44" s="74"/>
      <c r="AT44" s="86"/>
      <c r="AU44" s="140">
        <f t="shared" si="15"/>
        <v>0</v>
      </c>
      <c r="AV44" s="74"/>
      <c r="AW44" s="86"/>
      <c r="AX44" s="140">
        <f t="shared" si="16"/>
        <v>0</v>
      </c>
      <c r="AY44" s="74"/>
      <c r="AZ44" s="86"/>
      <c r="BA44" s="140">
        <f t="shared" si="17"/>
        <v>0</v>
      </c>
      <c r="BB44" s="74"/>
      <c r="BC44" s="86"/>
      <c r="BD44" s="140">
        <f t="shared" si="18"/>
        <v>0</v>
      </c>
      <c r="BE44" s="74"/>
      <c r="BF44" s="86"/>
      <c r="BG44" s="140">
        <f t="shared" si="19"/>
        <v>0</v>
      </c>
      <c r="BH44" s="74"/>
      <c r="BI44" s="86"/>
      <c r="BJ44" s="140">
        <f t="shared" si="20"/>
        <v>0</v>
      </c>
      <c r="BK44" s="74"/>
      <c r="BL44" s="86"/>
      <c r="BM44" s="140">
        <f t="shared" si="21"/>
        <v>0</v>
      </c>
      <c r="BN44" s="106"/>
    </row>
    <row r="45" spans="1:66" ht="15.75" thickBot="1" x14ac:dyDescent="0.3">
      <c r="A45" s="167" t="s">
        <v>291</v>
      </c>
      <c r="B45" s="279"/>
      <c r="C45" s="279"/>
      <c r="D45" s="280"/>
      <c r="E45" s="137">
        <f>H45+K45+N45+Q45+T45+W45+Z45+AC45+AF45+AI45+AL45+AO45+AR45+AU45+AX45+BA45+BD45+BG45+BJ45+BM45</f>
        <v>0</v>
      </c>
      <c r="F45" s="279"/>
      <c r="G45" s="280"/>
      <c r="H45" s="140">
        <f>SUM(H21:H44)</f>
        <v>0</v>
      </c>
      <c r="I45" s="279"/>
      <c r="J45" s="280"/>
      <c r="K45" s="140">
        <f>SUM(K21:K44)</f>
        <v>0</v>
      </c>
      <c r="L45" s="279"/>
      <c r="M45" s="280"/>
      <c r="N45" s="140">
        <f>SUM(N21:N44)</f>
        <v>0</v>
      </c>
      <c r="O45" s="279"/>
      <c r="P45" s="280"/>
      <c r="Q45" s="140">
        <f>SUM(Q21:Q44)</f>
        <v>0</v>
      </c>
      <c r="R45" s="279"/>
      <c r="S45" s="280"/>
      <c r="T45" s="140">
        <f>SUM(T21:T44)</f>
        <v>0</v>
      </c>
      <c r="U45" s="279"/>
      <c r="V45" s="280"/>
      <c r="W45" s="140">
        <f>SUM(W21:W44)</f>
        <v>0</v>
      </c>
      <c r="X45" s="279"/>
      <c r="Y45" s="280"/>
      <c r="Z45" s="140">
        <f>SUM(Z21:Z44)</f>
        <v>0</v>
      </c>
      <c r="AA45" s="279"/>
      <c r="AB45" s="280"/>
      <c r="AC45" s="140">
        <f>SUM(AC21:AC44)</f>
        <v>0</v>
      </c>
      <c r="AD45" s="279"/>
      <c r="AE45" s="280"/>
      <c r="AF45" s="140">
        <f>SUM(AF21:AF44)</f>
        <v>0</v>
      </c>
      <c r="AG45" s="279"/>
      <c r="AH45" s="280"/>
      <c r="AI45" s="140">
        <f>SUM(AI21:AI44)</f>
        <v>0</v>
      </c>
      <c r="AJ45" s="279"/>
      <c r="AK45" s="280"/>
      <c r="AL45" s="140">
        <f>SUM(AL21:AL44)</f>
        <v>0</v>
      </c>
      <c r="AM45" s="279"/>
      <c r="AN45" s="280"/>
      <c r="AO45" s="140">
        <f>SUM(AO21:AO44)</f>
        <v>0</v>
      </c>
      <c r="AP45" s="279"/>
      <c r="AQ45" s="280"/>
      <c r="AR45" s="140">
        <f>SUM(AR21:AR44)</f>
        <v>0</v>
      </c>
      <c r="AS45" s="279"/>
      <c r="AT45" s="280"/>
      <c r="AU45" s="140">
        <f>SUM(AU21:AU44)</f>
        <v>0</v>
      </c>
      <c r="AV45" s="279"/>
      <c r="AW45" s="280"/>
      <c r="AX45" s="140">
        <f>SUM(AX21:AX44)</f>
        <v>0</v>
      </c>
      <c r="AY45" s="279"/>
      <c r="AZ45" s="280"/>
      <c r="BA45" s="140">
        <f>SUM(BA21:BA44)</f>
        <v>0</v>
      </c>
      <c r="BB45" s="279"/>
      <c r="BC45" s="280"/>
      <c r="BD45" s="140">
        <f>SUM(BD21:BD44)</f>
        <v>0</v>
      </c>
      <c r="BE45" s="279"/>
      <c r="BF45" s="280"/>
      <c r="BG45" s="140">
        <f>SUM(BG21:BG44)</f>
        <v>0</v>
      </c>
      <c r="BH45" s="279"/>
      <c r="BI45" s="280"/>
      <c r="BJ45" s="140">
        <f>SUM(BJ21:BJ44)</f>
        <v>0</v>
      </c>
      <c r="BK45" s="279"/>
      <c r="BL45" s="280"/>
      <c r="BM45" s="140">
        <f>SUM(BM21:BM44)</f>
        <v>0</v>
      </c>
      <c r="BN45" s="106"/>
    </row>
    <row r="46" spans="1:66" ht="15.75" thickBot="1" x14ac:dyDescent="0.3">
      <c r="A46" s="167" t="s">
        <v>292</v>
      </c>
      <c r="B46" s="281"/>
      <c r="C46" s="281"/>
      <c r="D46" s="282"/>
      <c r="E46" s="137">
        <f>H46+K46+N46+Q46+T46+W46+Z46+AC46+AF46+AI46+AL46+AO46+AR46+AU46+AX46+BA46+BD46+BG46+BJ46+BM46</f>
        <v>0</v>
      </c>
      <c r="F46" s="281"/>
      <c r="G46" s="282"/>
      <c r="H46" s="140">
        <f>SUMPRODUCT($B21:$B44,H21:H44)</f>
        <v>0</v>
      </c>
      <c r="I46" s="281"/>
      <c r="J46" s="282"/>
      <c r="K46" s="140">
        <f>SUMPRODUCT($B21:$B44,K21:K44)</f>
        <v>0</v>
      </c>
      <c r="L46" s="281"/>
      <c r="M46" s="282"/>
      <c r="N46" s="140">
        <f>SUMPRODUCT($B21:$B44,N21:N44)</f>
        <v>0</v>
      </c>
      <c r="O46" s="281"/>
      <c r="P46" s="282"/>
      <c r="Q46" s="140">
        <f>SUMPRODUCT($B21:$B44,Q21:Q44)</f>
        <v>0</v>
      </c>
      <c r="R46" s="281"/>
      <c r="S46" s="282"/>
      <c r="T46" s="140">
        <f>SUMPRODUCT($B21:$B44,T21:T44)</f>
        <v>0</v>
      </c>
      <c r="U46" s="281"/>
      <c r="V46" s="282"/>
      <c r="W46" s="140">
        <f>SUMPRODUCT($B21:$B44,W21:W44)</f>
        <v>0</v>
      </c>
      <c r="X46" s="281"/>
      <c r="Y46" s="282"/>
      <c r="Z46" s="140">
        <f>SUMPRODUCT($B21:$B44,Z21:Z44)</f>
        <v>0</v>
      </c>
      <c r="AA46" s="281"/>
      <c r="AB46" s="282"/>
      <c r="AC46" s="140">
        <f>SUMPRODUCT($B21:$B44,AC21:AC44)</f>
        <v>0</v>
      </c>
      <c r="AD46" s="281"/>
      <c r="AE46" s="282"/>
      <c r="AF46" s="140">
        <f>SUMPRODUCT($B21:$B44,AF21:AF44)</f>
        <v>0</v>
      </c>
      <c r="AG46" s="281"/>
      <c r="AH46" s="282"/>
      <c r="AI46" s="140">
        <f>SUMPRODUCT($B21:$B44,AI21:AI44)</f>
        <v>0</v>
      </c>
      <c r="AJ46" s="281"/>
      <c r="AK46" s="282"/>
      <c r="AL46" s="140">
        <f>SUMPRODUCT($B21:$B44,AL21:AL44)</f>
        <v>0</v>
      </c>
      <c r="AM46" s="281"/>
      <c r="AN46" s="282"/>
      <c r="AO46" s="140">
        <f>SUMPRODUCT($B21:$B44,AO21:AO44)</f>
        <v>0</v>
      </c>
      <c r="AP46" s="281"/>
      <c r="AQ46" s="282"/>
      <c r="AR46" s="140">
        <f>SUMPRODUCT($B21:$B44,AR21:AR44)</f>
        <v>0</v>
      </c>
      <c r="AS46" s="281"/>
      <c r="AT46" s="282"/>
      <c r="AU46" s="140">
        <f>SUMPRODUCT($B21:$B44,AU21:AU44)</f>
        <v>0</v>
      </c>
      <c r="AV46" s="281"/>
      <c r="AW46" s="282"/>
      <c r="AX46" s="140">
        <f>SUMPRODUCT($B21:$B44,AX21:AX44)</f>
        <v>0</v>
      </c>
      <c r="AY46" s="281"/>
      <c r="AZ46" s="282"/>
      <c r="BA46" s="140">
        <f>SUMPRODUCT($B21:$B44,BA21:BA44)</f>
        <v>0</v>
      </c>
      <c r="BB46" s="281"/>
      <c r="BC46" s="282"/>
      <c r="BD46" s="140">
        <f>SUMPRODUCT($B21:$B44,BD21:BD44)</f>
        <v>0</v>
      </c>
      <c r="BE46" s="281"/>
      <c r="BF46" s="282"/>
      <c r="BG46" s="140">
        <f>SUMPRODUCT($B21:$B44,BG21:BG44)</f>
        <v>0</v>
      </c>
      <c r="BH46" s="281"/>
      <c r="BI46" s="282"/>
      <c r="BJ46" s="140">
        <f>SUMPRODUCT($B21:$B44,BJ21:BJ44)</f>
        <v>0</v>
      </c>
      <c r="BK46" s="281"/>
      <c r="BL46" s="282"/>
      <c r="BM46" s="140">
        <f>SUMPRODUCT($B21:$B44,BM21:BM44)</f>
        <v>0</v>
      </c>
      <c r="BN46" s="106"/>
    </row>
    <row r="47" spans="1:66" ht="15.75" thickBot="1" x14ac:dyDescent="0.3">
      <c r="A47" s="110"/>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111"/>
    </row>
  </sheetData>
  <sheetProtection algorithmName="SHA-512" hashValue="GeDyJQF9/BIAHTmc9oBTrjWQQXqP5PwRUM4LnApbcTycrrw/gqkvj6NI1/3byD+ARibS3yh/oZD0nyuHCpoz9g==" saltValue="8FS+CnpJBOWXfpXB8d1Ang==" spinCount="100000" sheet="1" objects="1" scenarios="1"/>
  <mergeCells count="1">
    <mergeCell ref="C19:E19"/>
  </mergeCells>
  <conditionalFormatting sqref="B3">
    <cfRule type="cellIs" dxfId="168" priority="603" stopIfTrue="1" operator="equal">
      <formula>"Yes"</formula>
    </cfRule>
  </conditionalFormatting>
  <conditionalFormatting sqref="B4">
    <cfRule type="cellIs" dxfId="167" priority="602" stopIfTrue="1" operator="equal">
      <formula>"Yes"</formula>
    </cfRule>
  </conditionalFormatting>
  <conditionalFormatting sqref="V22:V44">
    <cfRule type="expression" dxfId="166" priority="572">
      <formula>"If(b13=""Yes"",1,0)"</formula>
    </cfRule>
    <cfRule type="expression" dxfId="165" priority="573">
      <formula>"if(b13='Yes')"</formula>
    </cfRule>
    <cfRule type="expression" dxfId="164" priority="574">
      <formula>"if(B13='Yes'"</formula>
    </cfRule>
  </conditionalFormatting>
  <conditionalFormatting sqref="E3">
    <cfRule type="cellIs" dxfId="163" priority="601" stopIfTrue="1" operator="equal">
      <formula>"Yes"</formula>
    </cfRule>
  </conditionalFormatting>
  <conditionalFormatting sqref="E4">
    <cfRule type="cellIs" dxfId="162" priority="600" stopIfTrue="1" operator="equal">
      <formula>"Yes"</formula>
    </cfRule>
  </conditionalFormatting>
  <conditionalFormatting sqref="G22:G44">
    <cfRule type="expression" dxfId="161" priority="597">
      <formula>"If(b13=""Yes"",1,0)"</formula>
    </cfRule>
    <cfRule type="expression" dxfId="160" priority="598">
      <formula>"if(b13='Yes')"</formula>
    </cfRule>
    <cfRule type="expression" dxfId="159" priority="599">
      <formula>"if(B13='Yes'"</formula>
    </cfRule>
  </conditionalFormatting>
  <conditionalFormatting sqref="H3">
    <cfRule type="cellIs" dxfId="158" priority="596" stopIfTrue="1" operator="equal">
      <formula>"Yes"</formula>
    </cfRule>
  </conditionalFormatting>
  <conditionalFormatting sqref="H4">
    <cfRule type="cellIs" dxfId="157" priority="595" stopIfTrue="1" operator="equal">
      <formula>"Yes"</formula>
    </cfRule>
  </conditionalFormatting>
  <conditionalFormatting sqref="J22:J44">
    <cfRule type="expression" dxfId="156" priority="592">
      <formula>"If(b13=""Yes"",1,0)"</formula>
    </cfRule>
    <cfRule type="expression" dxfId="155" priority="593">
      <formula>"if(b13='Yes')"</formula>
    </cfRule>
    <cfRule type="expression" dxfId="154" priority="594">
      <formula>"if(B13='Yes'"</formula>
    </cfRule>
  </conditionalFormatting>
  <conditionalFormatting sqref="K3">
    <cfRule type="cellIs" dxfId="153" priority="591" stopIfTrue="1" operator="equal">
      <formula>"Yes"</formula>
    </cfRule>
  </conditionalFormatting>
  <conditionalFormatting sqref="K4">
    <cfRule type="cellIs" dxfId="152" priority="590" stopIfTrue="1" operator="equal">
      <formula>"Yes"</formula>
    </cfRule>
  </conditionalFormatting>
  <conditionalFormatting sqref="M22:M44">
    <cfRule type="expression" dxfId="151" priority="587">
      <formula>"If(b13=""Yes"",1,0)"</formula>
    </cfRule>
    <cfRule type="expression" dxfId="150" priority="588">
      <formula>"if(b13='Yes')"</formula>
    </cfRule>
    <cfRule type="expression" dxfId="149" priority="589">
      <formula>"if(B13='Yes'"</formula>
    </cfRule>
  </conditionalFormatting>
  <conditionalFormatting sqref="N3">
    <cfRule type="cellIs" dxfId="148" priority="586" stopIfTrue="1" operator="equal">
      <formula>"Yes"</formula>
    </cfRule>
  </conditionalFormatting>
  <conditionalFormatting sqref="N4">
    <cfRule type="cellIs" dxfId="147" priority="585" stopIfTrue="1" operator="equal">
      <formula>"Yes"</formula>
    </cfRule>
  </conditionalFormatting>
  <conditionalFormatting sqref="P22:P44">
    <cfRule type="expression" dxfId="146" priority="582">
      <formula>"If(b13=""Yes"",1,0)"</formula>
    </cfRule>
    <cfRule type="expression" dxfId="145" priority="583">
      <formula>"if(b13='Yes')"</formula>
    </cfRule>
    <cfRule type="expression" dxfId="144" priority="584">
      <formula>"if(B13='Yes'"</formula>
    </cfRule>
  </conditionalFormatting>
  <conditionalFormatting sqref="Q3">
    <cfRule type="cellIs" dxfId="143" priority="581" stopIfTrue="1" operator="equal">
      <formula>"Yes"</formula>
    </cfRule>
  </conditionalFormatting>
  <conditionalFormatting sqref="Q4">
    <cfRule type="cellIs" dxfId="142" priority="580" stopIfTrue="1" operator="equal">
      <formula>"Yes"</formula>
    </cfRule>
  </conditionalFormatting>
  <conditionalFormatting sqref="S22:S44">
    <cfRule type="expression" dxfId="141" priority="577">
      <formula>"If(b13=""Yes"",1,0)"</formula>
    </cfRule>
    <cfRule type="expression" dxfId="140" priority="578">
      <formula>"if(b13='Yes')"</formula>
    </cfRule>
    <cfRule type="expression" dxfId="139" priority="579">
      <formula>"if(B13='Yes'"</formula>
    </cfRule>
  </conditionalFormatting>
  <conditionalFormatting sqref="T3">
    <cfRule type="cellIs" dxfId="138" priority="576" stopIfTrue="1" operator="equal">
      <formula>"Yes"</formula>
    </cfRule>
  </conditionalFormatting>
  <conditionalFormatting sqref="T4">
    <cfRule type="cellIs" dxfId="137" priority="575" stopIfTrue="1" operator="equal">
      <formula>"Yes"</formula>
    </cfRule>
  </conditionalFormatting>
  <conditionalFormatting sqref="Y22:Y44">
    <cfRule type="expression" dxfId="136" priority="513">
      <formula>"If(b13=""Yes"",1,0)"</formula>
    </cfRule>
    <cfRule type="expression" dxfId="135" priority="514">
      <formula>"if(b13='Yes')"</formula>
    </cfRule>
    <cfRule type="expression" dxfId="134" priority="515">
      <formula>"if(B13='Yes'"</formula>
    </cfRule>
  </conditionalFormatting>
  <conditionalFormatting sqref="W3">
    <cfRule type="cellIs" dxfId="133" priority="517" stopIfTrue="1" operator="equal">
      <formula>"Yes"</formula>
    </cfRule>
  </conditionalFormatting>
  <conditionalFormatting sqref="W4">
    <cfRule type="cellIs" dxfId="132" priority="516" stopIfTrue="1" operator="equal">
      <formula>"Yes"</formula>
    </cfRule>
  </conditionalFormatting>
  <conditionalFormatting sqref="AB22:AB44">
    <cfRule type="expression" dxfId="131" priority="508">
      <formula>"If(b13=""Yes"",1,0)"</formula>
    </cfRule>
    <cfRule type="expression" dxfId="130" priority="509">
      <formula>"if(b13='Yes')"</formula>
    </cfRule>
    <cfRule type="expression" dxfId="129" priority="510">
      <formula>"if(B13='Yes'"</formula>
    </cfRule>
  </conditionalFormatting>
  <conditionalFormatting sqref="Z3">
    <cfRule type="cellIs" dxfId="128" priority="512" stopIfTrue="1" operator="equal">
      <formula>"Yes"</formula>
    </cfRule>
  </conditionalFormatting>
  <conditionalFormatting sqref="Z4">
    <cfRule type="cellIs" dxfId="127" priority="511" stopIfTrue="1" operator="equal">
      <formula>"Yes"</formula>
    </cfRule>
  </conditionalFormatting>
  <conditionalFormatting sqref="AE22:AE44">
    <cfRule type="expression" dxfId="126" priority="503">
      <formula>"If(b13=""Yes"",1,0)"</formula>
    </cfRule>
    <cfRule type="expression" dxfId="125" priority="504">
      <formula>"if(b13='Yes')"</formula>
    </cfRule>
    <cfRule type="expression" dxfId="124" priority="505">
      <formula>"if(B13='Yes'"</formula>
    </cfRule>
  </conditionalFormatting>
  <conditionalFormatting sqref="AC3">
    <cfRule type="cellIs" dxfId="123" priority="507" stopIfTrue="1" operator="equal">
      <formula>"Yes"</formula>
    </cfRule>
  </conditionalFormatting>
  <conditionalFormatting sqref="AC4">
    <cfRule type="cellIs" dxfId="122" priority="506" stopIfTrue="1" operator="equal">
      <formula>"Yes"</formula>
    </cfRule>
  </conditionalFormatting>
  <conditionalFormatting sqref="AH22:AH44">
    <cfRule type="expression" dxfId="121" priority="498">
      <formula>"If(b13=""Yes"",1,0)"</formula>
    </cfRule>
    <cfRule type="expression" dxfId="120" priority="499">
      <formula>"if(b13='Yes')"</formula>
    </cfRule>
    <cfRule type="expression" dxfId="119" priority="500">
      <formula>"if(B13='Yes'"</formula>
    </cfRule>
  </conditionalFormatting>
  <conditionalFormatting sqref="AF3">
    <cfRule type="cellIs" dxfId="118" priority="502" stopIfTrue="1" operator="equal">
      <formula>"Yes"</formula>
    </cfRule>
  </conditionalFormatting>
  <conditionalFormatting sqref="AF4">
    <cfRule type="cellIs" dxfId="117" priority="501" stopIfTrue="1" operator="equal">
      <formula>"Yes"</formula>
    </cfRule>
  </conditionalFormatting>
  <conditionalFormatting sqref="AK22:AK44">
    <cfRule type="expression" dxfId="116" priority="493">
      <formula>"If(b13=""Yes"",1,0)"</formula>
    </cfRule>
    <cfRule type="expression" dxfId="115" priority="494">
      <formula>"if(b13='Yes')"</formula>
    </cfRule>
    <cfRule type="expression" dxfId="114" priority="495">
      <formula>"if(B13='Yes'"</formula>
    </cfRule>
  </conditionalFormatting>
  <conditionalFormatting sqref="AI3">
    <cfRule type="cellIs" dxfId="113" priority="497" stopIfTrue="1" operator="equal">
      <formula>"Yes"</formula>
    </cfRule>
  </conditionalFormatting>
  <conditionalFormatting sqref="AI4">
    <cfRule type="cellIs" dxfId="112" priority="496" stopIfTrue="1" operator="equal">
      <formula>"Yes"</formula>
    </cfRule>
  </conditionalFormatting>
  <conditionalFormatting sqref="AN22:AN44">
    <cfRule type="expression" dxfId="111" priority="488">
      <formula>"If(b13=""Yes"",1,0)"</formula>
    </cfRule>
    <cfRule type="expression" dxfId="110" priority="489">
      <formula>"if(b13='Yes')"</formula>
    </cfRule>
    <cfRule type="expression" dxfId="109" priority="490">
      <formula>"if(B13='Yes'"</formula>
    </cfRule>
  </conditionalFormatting>
  <conditionalFormatting sqref="AL3">
    <cfRule type="cellIs" dxfId="108" priority="492" stopIfTrue="1" operator="equal">
      <formula>"Yes"</formula>
    </cfRule>
  </conditionalFormatting>
  <conditionalFormatting sqref="AL4">
    <cfRule type="cellIs" dxfId="107" priority="491" stopIfTrue="1" operator="equal">
      <formula>"Yes"</formula>
    </cfRule>
  </conditionalFormatting>
  <conditionalFormatting sqref="AQ22:AQ44">
    <cfRule type="expression" dxfId="106" priority="483">
      <formula>"If(b13=""Yes"",1,0)"</formula>
    </cfRule>
    <cfRule type="expression" dxfId="105" priority="484">
      <formula>"if(b13='Yes')"</formula>
    </cfRule>
    <cfRule type="expression" dxfId="104" priority="485">
      <formula>"if(B13='Yes'"</formula>
    </cfRule>
  </conditionalFormatting>
  <conditionalFormatting sqref="AO3">
    <cfRule type="cellIs" dxfId="103" priority="487" stopIfTrue="1" operator="equal">
      <formula>"Yes"</formula>
    </cfRule>
  </conditionalFormatting>
  <conditionalFormatting sqref="AO4">
    <cfRule type="cellIs" dxfId="102" priority="486" stopIfTrue="1" operator="equal">
      <formula>"Yes"</formula>
    </cfRule>
  </conditionalFormatting>
  <conditionalFormatting sqref="AT22:AT44">
    <cfRule type="expression" dxfId="101" priority="478">
      <formula>"If(b13=""Yes"",1,0)"</formula>
    </cfRule>
    <cfRule type="expression" dxfId="100" priority="479">
      <formula>"if(b13='Yes')"</formula>
    </cfRule>
    <cfRule type="expression" dxfId="99" priority="480">
      <formula>"if(B13='Yes'"</formula>
    </cfRule>
  </conditionalFormatting>
  <conditionalFormatting sqref="AR3">
    <cfRule type="cellIs" dxfId="98" priority="482" stopIfTrue="1" operator="equal">
      <formula>"Yes"</formula>
    </cfRule>
  </conditionalFormatting>
  <conditionalFormatting sqref="AR4">
    <cfRule type="cellIs" dxfId="97" priority="481" stopIfTrue="1" operator="equal">
      <formula>"Yes"</formula>
    </cfRule>
  </conditionalFormatting>
  <conditionalFormatting sqref="AW22:AW44">
    <cfRule type="expression" dxfId="96" priority="473">
      <formula>"If(b13=""Yes"",1,0)"</formula>
    </cfRule>
    <cfRule type="expression" dxfId="95" priority="474">
      <formula>"if(b13='Yes')"</formula>
    </cfRule>
    <cfRule type="expression" dxfId="94" priority="475">
      <formula>"if(B13='Yes'"</formula>
    </cfRule>
  </conditionalFormatting>
  <conditionalFormatting sqref="AU3">
    <cfRule type="cellIs" dxfId="93" priority="477" stopIfTrue="1" operator="equal">
      <formula>"Yes"</formula>
    </cfRule>
  </conditionalFormatting>
  <conditionalFormatting sqref="AU4">
    <cfRule type="cellIs" dxfId="92" priority="476" stopIfTrue="1" operator="equal">
      <formula>"Yes"</formula>
    </cfRule>
  </conditionalFormatting>
  <conditionalFormatting sqref="AZ22:AZ44">
    <cfRule type="expression" dxfId="91" priority="468">
      <formula>"If(b13=""Yes"",1,0)"</formula>
    </cfRule>
    <cfRule type="expression" dxfId="90" priority="469">
      <formula>"if(b13='Yes')"</formula>
    </cfRule>
    <cfRule type="expression" dxfId="89" priority="470">
      <formula>"if(B13='Yes'"</formula>
    </cfRule>
  </conditionalFormatting>
  <conditionalFormatting sqref="AX3">
    <cfRule type="cellIs" dxfId="88" priority="472" stopIfTrue="1" operator="equal">
      <formula>"Yes"</formula>
    </cfRule>
  </conditionalFormatting>
  <conditionalFormatting sqref="AX4">
    <cfRule type="cellIs" dxfId="87" priority="471" stopIfTrue="1" operator="equal">
      <formula>"Yes"</formula>
    </cfRule>
  </conditionalFormatting>
  <conditionalFormatting sqref="BC22:BC44">
    <cfRule type="expression" dxfId="86" priority="463">
      <formula>"If(b13=""Yes"",1,0)"</formula>
    </cfRule>
    <cfRule type="expression" dxfId="85" priority="464">
      <formula>"if(b13='Yes')"</formula>
    </cfRule>
    <cfRule type="expression" dxfId="84" priority="465">
      <formula>"if(B13='Yes'"</formula>
    </cfRule>
  </conditionalFormatting>
  <conditionalFormatting sqref="BA3">
    <cfRule type="cellIs" dxfId="83" priority="467" stopIfTrue="1" operator="equal">
      <formula>"Yes"</formula>
    </cfRule>
  </conditionalFormatting>
  <conditionalFormatting sqref="BA4">
    <cfRule type="cellIs" dxfId="82" priority="466" stopIfTrue="1" operator="equal">
      <formula>"Yes"</formula>
    </cfRule>
  </conditionalFormatting>
  <conditionalFormatting sqref="BF22:BF44">
    <cfRule type="expression" dxfId="81" priority="458">
      <formula>"If(b13=""Yes"",1,0)"</formula>
    </cfRule>
    <cfRule type="expression" dxfId="80" priority="459">
      <formula>"if(b13='Yes')"</formula>
    </cfRule>
    <cfRule type="expression" dxfId="79" priority="460">
      <formula>"if(B13='Yes'"</formula>
    </cfRule>
  </conditionalFormatting>
  <conditionalFormatting sqref="BD3">
    <cfRule type="cellIs" dxfId="78" priority="462" stopIfTrue="1" operator="equal">
      <formula>"Yes"</formula>
    </cfRule>
  </conditionalFormatting>
  <conditionalFormatting sqref="BD4">
    <cfRule type="cellIs" dxfId="77" priority="461" stopIfTrue="1" operator="equal">
      <formula>"Yes"</formula>
    </cfRule>
  </conditionalFormatting>
  <conditionalFormatting sqref="BI22:BI44">
    <cfRule type="expression" dxfId="76" priority="453">
      <formula>"If(b13=""Yes"",1,0)"</formula>
    </cfRule>
    <cfRule type="expression" dxfId="75" priority="454">
      <formula>"if(b13='Yes')"</formula>
    </cfRule>
    <cfRule type="expression" dxfId="74" priority="455">
      <formula>"if(B13='Yes'"</formula>
    </cfRule>
  </conditionalFormatting>
  <conditionalFormatting sqref="BG3">
    <cfRule type="cellIs" dxfId="73" priority="457" stopIfTrue="1" operator="equal">
      <formula>"Yes"</formula>
    </cfRule>
  </conditionalFormatting>
  <conditionalFormatting sqref="BG4">
    <cfRule type="cellIs" dxfId="72" priority="456" stopIfTrue="1" operator="equal">
      <formula>"Yes"</formula>
    </cfRule>
  </conditionalFormatting>
  <conditionalFormatting sqref="BL22:BL44">
    <cfRule type="expression" dxfId="71" priority="448">
      <formula>"If(b13=""Yes"",1,0)"</formula>
    </cfRule>
    <cfRule type="expression" dxfId="70" priority="449">
      <formula>"if(b13='Yes')"</formula>
    </cfRule>
    <cfRule type="expression" dxfId="69" priority="450">
      <formula>"if(B13='Yes'"</formula>
    </cfRule>
  </conditionalFormatting>
  <conditionalFormatting sqref="BJ3">
    <cfRule type="cellIs" dxfId="68" priority="452" stopIfTrue="1" operator="equal">
      <formula>"Yes"</formula>
    </cfRule>
  </conditionalFormatting>
  <conditionalFormatting sqref="BJ4">
    <cfRule type="cellIs" dxfId="67" priority="451" stopIfTrue="1" operator="equal">
      <formula>"Yes"</formula>
    </cfRule>
  </conditionalFormatting>
  <conditionalFormatting sqref="BM3">
    <cfRule type="cellIs" dxfId="66" priority="447" stopIfTrue="1" operator="equal">
      <formula>"Yes"</formula>
    </cfRule>
  </conditionalFormatting>
  <conditionalFormatting sqref="BM4">
    <cfRule type="cellIs" dxfId="65" priority="446" stopIfTrue="1" operator="equal">
      <formula>"Yes"</formula>
    </cfRule>
  </conditionalFormatting>
  <conditionalFormatting sqref="A9">
    <cfRule type="cellIs" dxfId="64" priority="1" stopIfTrue="1" operator="equal">
      <formula>"Yes"</formula>
    </cfRule>
  </conditionalFormatting>
  <pageMargins left="0.70866141732283472" right="0.70866141732283472" top="0.74803149606299213" bottom="0.74803149606299213" header="0.31496062992125984" footer="0.31496062992125984"/>
  <pageSetup paperSize="9" scale="18" orientation="landscape"/>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T37"/>
  <sheetViews>
    <sheetView zoomScale="80" zoomScaleNormal="80" workbookViewId="0">
      <pane ySplit="5" topLeftCell="A9" activePane="bottomLeft" state="frozen"/>
      <selection pane="bottomLeft" sqref="A1:I1"/>
    </sheetView>
  </sheetViews>
  <sheetFormatPr defaultRowHeight="15" x14ac:dyDescent="0.25"/>
  <cols>
    <col min="1" max="1" width="35.7109375" customWidth="1"/>
    <col min="2" max="2" width="18" customWidth="1"/>
    <col min="3" max="3" width="15.140625" customWidth="1"/>
    <col min="4" max="5" width="15.7109375" customWidth="1"/>
    <col min="6" max="6" width="12.7109375" customWidth="1"/>
    <col min="7" max="7" width="20.42578125" customWidth="1"/>
    <col min="8" max="8" width="12.7109375" customWidth="1"/>
    <col min="9" max="9" width="10.7109375" style="220" customWidth="1"/>
    <col min="10" max="11" width="15.7109375" customWidth="1"/>
    <col min="12" max="12" width="10.7109375" style="220" customWidth="1"/>
    <col min="13" max="14" width="15.7109375" customWidth="1"/>
    <col min="15" max="15" width="10.7109375" style="220" customWidth="1"/>
    <col min="16" max="17" width="15.7109375" customWidth="1"/>
    <col min="18" max="18" width="10.7109375" style="220" customWidth="1"/>
    <col min="19" max="20" width="15.7109375" customWidth="1"/>
  </cols>
  <sheetData>
    <row r="1" spans="1:20" ht="27" thickBot="1" x14ac:dyDescent="0.3">
      <c r="A1" s="465" t="s">
        <v>216</v>
      </c>
      <c r="B1" s="466"/>
      <c r="C1" s="466"/>
      <c r="D1" s="466"/>
      <c r="E1" s="466"/>
      <c r="F1" s="466"/>
      <c r="G1" s="466"/>
      <c r="H1" s="466"/>
      <c r="I1" s="467"/>
      <c r="J1" s="85" t="s">
        <v>60</v>
      </c>
      <c r="K1" s="185"/>
      <c r="L1" s="208"/>
      <c r="M1" s="185"/>
      <c r="N1" s="185"/>
      <c r="O1" s="208"/>
      <c r="P1" s="185"/>
      <c r="Q1" s="185"/>
      <c r="R1" s="208"/>
      <c r="S1" s="185"/>
      <c r="T1" s="185"/>
    </row>
    <row r="2" spans="1:20" ht="15.75" thickBot="1" x14ac:dyDescent="0.3">
      <c r="A2" s="468" t="s">
        <v>98</v>
      </c>
      <c r="B2" s="469"/>
      <c r="C2" s="469"/>
      <c r="D2" s="469"/>
      <c r="E2" s="469"/>
      <c r="F2" s="469"/>
      <c r="G2" s="469"/>
      <c r="H2" s="469"/>
      <c r="I2" s="470"/>
      <c r="J2" s="58" t="s">
        <v>61</v>
      </c>
      <c r="K2" s="185"/>
      <c r="L2" s="208"/>
      <c r="M2" s="185"/>
      <c r="N2" s="185"/>
      <c r="O2" s="208"/>
      <c r="P2" s="185"/>
      <c r="Q2" s="185"/>
      <c r="R2" s="208"/>
      <c r="S2" s="185"/>
      <c r="T2" s="185"/>
    </row>
    <row r="3" spans="1:20" ht="19.5" customHeight="1" thickBot="1" x14ac:dyDescent="0.3">
      <c r="A3" s="476" t="s">
        <v>217</v>
      </c>
      <c r="B3" s="477"/>
      <c r="C3" s="477"/>
      <c r="D3" s="477"/>
      <c r="E3" s="477"/>
      <c r="F3" s="477"/>
      <c r="G3" s="477"/>
      <c r="H3" s="477"/>
      <c r="I3" s="478"/>
      <c r="J3" s="59" t="s">
        <v>62</v>
      </c>
      <c r="K3" s="185"/>
      <c r="L3" s="208"/>
      <c r="M3" s="185"/>
      <c r="N3" s="185"/>
      <c r="O3" s="208"/>
      <c r="P3" s="185"/>
      <c r="Q3" s="185"/>
      <c r="R3" s="208"/>
      <c r="S3" s="185"/>
      <c r="T3" s="185"/>
    </row>
    <row r="4" spans="1:20" ht="21.75" customHeight="1" thickBot="1" x14ac:dyDescent="0.3">
      <c r="A4" s="476"/>
      <c r="B4" s="477"/>
      <c r="C4" s="477"/>
      <c r="D4" s="477"/>
      <c r="E4" s="477"/>
      <c r="F4" s="477"/>
      <c r="G4" s="477"/>
      <c r="H4" s="477"/>
      <c r="I4" s="478"/>
      <c r="J4" s="79" t="s">
        <v>63</v>
      </c>
      <c r="K4" s="185"/>
      <c r="L4" s="208"/>
      <c r="M4" s="185"/>
      <c r="N4" s="185"/>
      <c r="O4" s="208"/>
      <c r="P4" s="185"/>
      <c r="Q4" s="185"/>
      <c r="R4" s="208"/>
      <c r="S4" s="185"/>
      <c r="T4" s="185"/>
    </row>
    <row r="5" spans="1:20" ht="30.75" thickBot="1" x14ac:dyDescent="0.3">
      <c r="A5" s="471" t="s">
        <v>237</v>
      </c>
      <c r="B5" s="472"/>
      <c r="C5" s="472"/>
      <c r="D5" s="472"/>
      <c r="E5" s="472"/>
      <c r="F5" s="472"/>
      <c r="G5" s="472"/>
      <c r="H5" s="472"/>
      <c r="I5" s="473"/>
      <c r="J5" s="80" t="s">
        <v>106</v>
      </c>
      <c r="K5" s="185"/>
      <c r="L5" s="208"/>
      <c r="M5" s="185"/>
      <c r="N5" s="185"/>
      <c r="O5" s="208"/>
      <c r="P5" s="185"/>
      <c r="Q5" s="185"/>
      <c r="R5" s="208"/>
      <c r="S5" s="185"/>
      <c r="T5" s="185"/>
    </row>
    <row r="6" spans="1:20" ht="15" customHeight="1" x14ac:dyDescent="0.25">
      <c r="A6" s="185"/>
      <c r="B6" s="185"/>
      <c r="C6" s="185"/>
      <c r="D6" s="185"/>
      <c r="E6" s="185"/>
      <c r="F6" s="185"/>
      <c r="G6" s="185"/>
      <c r="H6" s="185"/>
      <c r="I6" s="208"/>
      <c r="J6" s="185"/>
      <c r="K6" s="185"/>
      <c r="L6" s="208"/>
      <c r="M6" s="185"/>
      <c r="N6" s="185"/>
      <c r="O6" s="208"/>
      <c r="P6" s="185"/>
      <c r="Q6" s="185"/>
      <c r="R6" s="208"/>
      <c r="S6" s="185"/>
      <c r="T6" s="185"/>
    </row>
    <row r="7" spans="1:20" ht="15.75" customHeight="1" x14ac:dyDescent="0.25">
      <c r="A7" s="185"/>
      <c r="B7" s="185"/>
      <c r="C7" s="185"/>
      <c r="D7" s="185"/>
      <c r="E7" s="185"/>
      <c r="F7" s="185"/>
      <c r="G7" s="185"/>
      <c r="H7" s="185"/>
      <c r="I7" s="208"/>
      <c r="J7" s="185"/>
      <c r="K7" s="185"/>
      <c r="L7" s="208"/>
      <c r="M7" s="185"/>
      <c r="N7" s="185"/>
      <c r="O7" s="208"/>
      <c r="P7" s="185"/>
      <c r="Q7" s="185"/>
      <c r="R7" s="208"/>
      <c r="S7" s="185"/>
      <c r="T7" s="185"/>
    </row>
    <row r="8" spans="1:20" ht="166.5" customHeight="1" thickBot="1" x14ac:dyDescent="0.3">
      <c r="A8" s="209"/>
      <c r="B8" s="209"/>
      <c r="C8" s="209"/>
      <c r="D8" s="185"/>
      <c r="E8" s="185"/>
      <c r="F8" s="185"/>
      <c r="G8" s="185"/>
      <c r="H8" s="185"/>
      <c r="I8" s="208"/>
      <c r="J8" s="185"/>
      <c r="K8" s="185"/>
      <c r="L8" s="208"/>
      <c r="M8" s="185"/>
      <c r="N8" s="185"/>
      <c r="O8" s="208"/>
      <c r="P8" s="185"/>
      <c r="Q8" s="185"/>
      <c r="R8" s="208"/>
      <c r="S8" s="185"/>
      <c r="T8" s="185"/>
    </row>
    <row r="9" spans="1:20" s="210" customFormat="1" ht="42.75" customHeight="1" x14ac:dyDescent="0.2">
      <c r="A9" s="237" t="s">
        <v>225</v>
      </c>
      <c r="B9" s="238"/>
      <c r="C9" s="238"/>
      <c r="D9" s="239" t="s">
        <v>243</v>
      </c>
      <c r="E9" s="238"/>
      <c r="F9" s="240"/>
      <c r="G9" s="474" t="s">
        <v>244</v>
      </c>
      <c r="H9" s="475"/>
      <c r="I9" s="462" t="s">
        <v>218</v>
      </c>
      <c r="J9" s="463"/>
      <c r="K9" s="463"/>
      <c r="L9" s="462" t="s">
        <v>219</v>
      </c>
      <c r="M9" s="463"/>
      <c r="N9" s="463"/>
      <c r="O9" s="462" t="s">
        <v>220</v>
      </c>
      <c r="P9" s="463"/>
      <c r="Q9" s="463"/>
      <c r="R9" s="462" t="s">
        <v>221</v>
      </c>
      <c r="S9" s="463"/>
      <c r="T9" s="464"/>
    </row>
    <row r="10" spans="1:20" s="210" customFormat="1" ht="28.5" x14ac:dyDescent="0.2">
      <c r="A10" s="241" t="s">
        <v>226</v>
      </c>
      <c r="B10" s="227" t="s">
        <v>242</v>
      </c>
      <c r="C10" s="228" t="s">
        <v>245</v>
      </c>
      <c r="D10" s="242" t="s">
        <v>222</v>
      </c>
      <c r="E10" s="242" t="str">
        <f>IF('Baseline Data'!$B$9="Novem Carbon","Carbon (kg C)",IF('Baseline Data'!$B$9="Novem Energy","Energy (kWh)","Not Novem"))</f>
        <v>Not Novem</v>
      </c>
      <c r="F10" s="243" t="str">
        <f>IF('Baseline Data'!$B$9="Novem Carbon","SCCby",IF('Baseline Data'!$B$9="Novem Energy","SECby","Not Novem"))</f>
        <v>Not Novem</v>
      </c>
      <c r="G10" s="244" t="str">
        <f>IF('Baseline Data'!$B$9="Novem Carbon","Reference Carbon",IF('Baseline Data'!$B$9="Novem Energy","Reference Energy","Not Novem"))</f>
        <v>Not Novem</v>
      </c>
      <c r="H10" s="245" t="str">
        <f>IF('Baseline Data'!$B$9="Novem Carbon","SCCsby",IF('Baseline Data'!$B$9="Novem Energy","SECsby","Not Novem"))</f>
        <v>Not Novem</v>
      </c>
      <c r="I10" s="231" t="s">
        <v>246</v>
      </c>
      <c r="J10" s="246" t="str">
        <f>IF('Baseline Data'!$B$9="Novem Carbon","Target Carbon",IF('Baseline Data'!$B$9="Novem Energy","Target Energy","Not Novem"))</f>
        <v>Not Novem</v>
      </c>
      <c r="K10" s="247" t="s">
        <v>247</v>
      </c>
      <c r="L10" s="231" t="s">
        <v>246</v>
      </c>
      <c r="M10" s="246" t="str">
        <f>IF('Baseline Data'!$B$9="Novem Carbon","Target Carbon",IF('Baseline Data'!$B$9="Novem Energy","Target Energy","Not Novem"))</f>
        <v>Not Novem</v>
      </c>
      <c r="N10" s="247" t="s">
        <v>252</v>
      </c>
      <c r="O10" s="231" t="s">
        <v>246</v>
      </c>
      <c r="P10" s="246" t="str">
        <f>IF('Baseline Data'!$B$9="Novem Carbon","Target Carbon",IF('Baseline Data'!$B$9="Novem Energy","Target Energy","Not Novem"))</f>
        <v>Not Novem</v>
      </c>
      <c r="Q10" s="247" t="s">
        <v>253</v>
      </c>
      <c r="R10" s="231" t="s">
        <v>246</v>
      </c>
      <c r="S10" s="246" t="str">
        <f>IF('Baseline Data'!$B$9="Novem Carbon","Target Carbon",IF('Baseline Data'!$B$9="Novem Energy","Target Energy","Not Novem"))</f>
        <v>Not Novem</v>
      </c>
      <c r="T10" s="243" t="s">
        <v>254</v>
      </c>
    </row>
    <row r="11" spans="1:20" s="210" customFormat="1" ht="14.25" x14ac:dyDescent="0.2">
      <c r="A11" s="284">
        <f>'Novem Product Fuel Data'!$H$19</f>
        <v>0</v>
      </c>
      <c r="B11" s="248"/>
      <c r="C11" s="248"/>
      <c r="D11" s="249"/>
      <c r="E11" s="283">
        <f>IF('Baseline Data'!$B$9="Novem Carbon",'Novem Product Fuel Data'!H46,IF('Baseline Data'!$B$9="Novem Energy",'Novem Product Fuel Data'!H45,0))</f>
        <v>0</v>
      </c>
      <c r="F11" s="250" t="str">
        <f t="shared" ref="F11:F30" si="0">IF(E11=0,"",IF(D11=0,"",E11/D11))</f>
        <v/>
      </c>
      <c r="G11" s="251" t="str">
        <f>IF(D11=0,"",H11*D11)</f>
        <v/>
      </c>
      <c r="H11" s="252" t="str">
        <f>IF(E11=0,"",IF(C11="Migrated",F11,F11/(1-LOOKUP(C11,'Target Setting Rules'!$B$30:$B$42,'Target Setting Rules'!$C$30:$C$42))))</f>
        <v/>
      </c>
      <c r="I11" s="275" t="str">
        <f>IF($E11=0,"",IF($C11="Migrated","Input",LOOKUP($C11,'Target Setting Rules'!$D$30:$P$30,'Target Setting Rules'!$D$36:$P$36)))</f>
        <v/>
      </c>
      <c r="J11" s="254" t="str">
        <f>IF($B11="No","",IF($E11=0,"",IF(I11="Input","Provide target %",IF($E11*(1-I11)=0,"",($E11*(1-I11))))))</f>
        <v/>
      </c>
      <c r="K11" s="255" t="str">
        <f>IF($E11=0,"",IF(I11="Input","Provide target %",LOOKUP(2014,'Target Setting Rules'!$B$30:$B$42,'Target Setting Rules'!$C$30:$C$42)))</f>
        <v/>
      </c>
      <c r="L11" s="275" t="str">
        <f>IF($E11=0,"",IF($C11="Migrated","Input",LOOKUP($C11,'Target Setting Rules'!$D$30:$P$30,'Target Setting Rules'!$D$38:$P$38)))</f>
        <v/>
      </c>
      <c r="M11" s="254" t="str">
        <f>IF($B11="No","",IF($E11=0,"",IF(L11="Input","Provide target %",IF($E11*(1-L11)=0,"",($E11*(1-L11))))))</f>
        <v/>
      </c>
      <c r="N11" s="255" t="str">
        <f>IF($E11=0,"",IF(L11="Input","Provide target %",LOOKUP(2016,'Target Setting Rules'!$B$30:$B$42,'Target Setting Rules'!$C$30:$C$42)))</f>
        <v/>
      </c>
      <c r="O11" s="275" t="str">
        <f>IF($E11=0,"",IF($C11="Migrated","Input",LOOKUP($C11,'Target Setting Rules'!$D$30:$P$30,'Target Setting Rules'!$D$40:$P$40)))</f>
        <v/>
      </c>
      <c r="P11" s="254" t="str">
        <f>IF($B11="No","",IF($E11=0,"",IF(O11="Input","Provide target %",IF($E11*(1-O11)=0,"",($E11*(1-O11))))))</f>
        <v/>
      </c>
      <c r="Q11" s="255" t="str">
        <f>IF($E11=0,"",IF(O11="Input","Provide target %",LOOKUP(2018,'Target Setting Rules'!$B$30:$B$42,'Target Setting Rules'!$C$30:$C$42)))</f>
        <v/>
      </c>
      <c r="R11" s="275" t="str">
        <f>IF($E11=0,"",IF($C11="Migrated","Input",LOOKUP($C11,'Target Setting Rules'!$D$30:$P$30,'Target Setting Rules'!$D$42:$P$42)))</f>
        <v/>
      </c>
      <c r="S11" s="254" t="str">
        <f>IF($B11="No","",IF($E11=0,"",IF(R11="Input","Provide target %",IF($E11*(1-R11)=0,"",($E11*(1-R11))))))</f>
        <v/>
      </c>
      <c r="T11" s="256" t="str">
        <f>IF($E11=0,"",IF(R11="Input","Provide target %",LOOKUP(2020,'Target Setting Rules'!$B$30:$B$42,'Target Setting Rules'!$C$30:$C$42)))</f>
        <v/>
      </c>
    </row>
    <row r="12" spans="1:20" s="210" customFormat="1" ht="14.25" x14ac:dyDescent="0.2">
      <c r="A12" s="284">
        <f>'Novem Product Fuel Data'!$K$19</f>
        <v>0</v>
      </c>
      <c r="B12" s="248"/>
      <c r="C12" s="248"/>
      <c r="D12" s="249"/>
      <c r="E12" s="283">
        <f>IF('Baseline Data'!$B$9="Novem Carbon",'Novem Product Fuel Data'!K46,IF('Baseline Data'!$B$9="Novem Energy",'Novem Product Fuel Data'!K45,0))</f>
        <v>0</v>
      </c>
      <c r="F12" s="250" t="str">
        <f t="shared" si="0"/>
        <v/>
      </c>
      <c r="G12" s="251" t="str">
        <f t="shared" ref="G12:G30" si="1">IF(D12=0,"",H12*D12)</f>
        <v/>
      </c>
      <c r="H12" s="252" t="str">
        <f>IF(E12=0,"",IF(C12="Migrated",F12,F12/(1-LOOKUP(C12,'Target Setting Rules'!$B$30:$B$42,'Target Setting Rules'!$C$30:$C$42))))</f>
        <v/>
      </c>
      <c r="I12" s="275" t="str">
        <f>IF($E12=0,"",IF($C12="Migrated","Input",LOOKUP($C12,'Target Setting Rules'!$D$30:$P$30,'Target Setting Rules'!$D$36:$P$36)))</f>
        <v/>
      </c>
      <c r="J12" s="254" t="str">
        <f t="shared" ref="J12:J30" si="2">IF($B12="No","",IF($E12=0,"",IF(I12="Input","Provide target %",IF($E12*(1-I12)=0,"",($E12*(1-I12))))))</f>
        <v/>
      </c>
      <c r="K12" s="255" t="str">
        <f>IF($E12=0,"",IF(I12="Input","Provide target %",LOOKUP(2014,'Target Setting Rules'!$B$30:$B$42,'Target Setting Rules'!$C$30:$C$42)))</f>
        <v/>
      </c>
      <c r="L12" s="275" t="str">
        <f>IF($E12=0,"",IF($C12="Migrated","Input",LOOKUP($C12,'Target Setting Rules'!$D$30:$P$30,'Target Setting Rules'!$D$38:$P$38)))</f>
        <v/>
      </c>
      <c r="M12" s="254" t="str">
        <f t="shared" ref="M12:M30" si="3">IF($B12="No","",IF($E12=0,"",IF(L12="Input","Provide target %",IF($E12*(1-L12)=0,"",($E12*(1-L12))))))</f>
        <v/>
      </c>
      <c r="N12" s="255" t="str">
        <f>IF($E12=0,"",IF(L12="Input","Provide target %",LOOKUP(2016,'Target Setting Rules'!$B$30:$B$42,'Target Setting Rules'!$C$30:$C$42)))</f>
        <v/>
      </c>
      <c r="O12" s="275" t="str">
        <f>IF($E12=0,"",IF($C12="Migrated","Input",LOOKUP($C12,'Target Setting Rules'!$D$30:$P$30,'Target Setting Rules'!$D$40:$P$40)))</f>
        <v/>
      </c>
      <c r="P12" s="254" t="str">
        <f t="shared" ref="P12:P30" si="4">IF($B12="No","",IF($E12=0,"",IF(O12="Input","Provide target %",IF($E12*(1-O12)=0,"",($E12*(1-O12))))))</f>
        <v/>
      </c>
      <c r="Q12" s="255" t="str">
        <f>IF($E12=0,"",IF(O12="Input","Provide target %",LOOKUP(2018,'Target Setting Rules'!$B$30:$B$42,'Target Setting Rules'!$C$30:$C$42)))</f>
        <v/>
      </c>
      <c r="R12" s="275" t="str">
        <f>IF($E12=0,"",IF($C12="Migrated","Input",LOOKUP($C12,'Target Setting Rules'!$D$30:$P$30,'Target Setting Rules'!$D$42:$P$42)))</f>
        <v/>
      </c>
      <c r="S12" s="254" t="str">
        <f t="shared" ref="S12:S30" si="5">IF($B12="No","",IF($E12=0,"",IF(R12="Input","Provide target %",IF($E12*(1-R12)=0,"",($E12*(1-R12))))))</f>
        <v/>
      </c>
      <c r="T12" s="256" t="str">
        <f>IF($E12=0,"",IF(R12="Input","Provide target %",LOOKUP(2020,'Target Setting Rules'!$B$30:$B$42,'Target Setting Rules'!$C$30:$C$42)))</f>
        <v/>
      </c>
    </row>
    <row r="13" spans="1:20" s="210" customFormat="1" ht="14.25" x14ac:dyDescent="0.2">
      <c r="A13" s="284">
        <f>'Novem Product Fuel Data'!$N$19</f>
        <v>0</v>
      </c>
      <c r="B13" s="248"/>
      <c r="C13" s="248"/>
      <c r="D13" s="249"/>
      <c r="E13" s="283">
        <f>IF('Baseline Data'!$B$9="Novem Carbon",'Novem Product Fuel Data'!N46,IF('Baseline Data'!$B$9="Novem Energy",'Novem Product Fuel Data'!N45,0))</f>
        <v>0</v>
      </c>
      <c r="F13" s="250" t="str">
        <f t="shared" si="0"/>
        <v/>
      </c>
      <c r="G13" s="251" t="str">
        <f t="shared" si="1"/>
        <v/>
      </c>
      <c r="H13" s="252" t="str">
        <f>IF(E13=0,"",IF(C13="Migrated",F13,F13/(1-LOOKUP(C13,'Target Setting Rules'!$B$30:$B$42,'Target Setting Rules'!$C$30:$C$42))))</f>
        <v/>
      </c>
      <c r="I13" s="275" t="str">
        <f>IF($E13=0,"",IF($C13="Migrated","Input",LOOKUP($C13,'Target Setting Rules'!$D$30:$P$30,'Target Setting Rules'!$D$36:$P$36)))</f>
        <v/>
      </c>
      <c r="J13" s="254" t="str">
        <f t="shared" si="2"/>
        <v/>
      </c>
      <c r="K13" s="255" t="str">
        <f>IF($E13=0,"",IF(I13="Input","Provide target %",LOOKUP(2014,'Target Setting Rules'!$B$30:$B$42,'Target Setting Rules'!$C$30:$C$42)))</f>
        <v/>
      </c>
      <c r="L13" s="275" t="str">
        <f>IF($E13=0,"",IF($C13="Migrated","Input",LOOKUP($C13,'Target Setting Rules'!$D$30:$P$30,'Target Setting Rules'!$D$38:$P$38)))</f>
        <v/>
      </c>
      <c r="M13" s="254" t="str">
        <f t="shared" si="3"/>
        <v/>
      </c>
      <c r="N13" s="255" t="str">
        <f>IF($E13=0,"",IF(L13="Input","Provide target %",LOOKUP(2016,'Target Setting Rules'!$B$30:$B$42,'Target Setting Rules'!$C$30:$C$42)))</f>
        <v/>
      </c>
      <c r="O13" s="275" t="str">
        <f>IF($E13=0,"",IF($C13="Migrated","Input",LOOKUP($C13,'Target Setting Rules'!$D$30:$P$30,'Target Setting Rules'!$D$40:$P$40)))</f>
        <v/>
      </c>
      <c r="P13" s="254" t="str">
        <f t="shared" si="4"/>
        <v/>
      </c>
      <c r="Q13" s="255" t="str">
        <f>IF($E13=0,"",IF(O13="Input","Provide target %",LOOKUP(2018,'Target Setting Rules'!$B$30:$B$42,'Target Setting Rules'!$C$30:$C$42)))</f>
        <v/>
      </c>
      <c r="R13" s="275" t="str">
        <f>IF($E13=0,"",IF($C13="Migrated","Input",LOOKUP($C13,'Target Setting Rules'!$D$30:$P$30,'Target Setting Rules'!$D$42:$P$42)))</f>
        <v/>
      </c>
      <c r="S13" s="254" t="str">
        <f t="shared" si="5"/>
        <v/>
      </c>
      <c r="T13" s="256" t="str">
        <f>IF($E13=0,"",IF(R13="Input","Provide target %",LOOKUP(2020,'Target Setting Rules'!$B$30:$B$42,'Target Setting Rules'!$C$30:$C$42)))</f>
        <v/>
      </c>
    </row>
    <row r="14" spans="1:20" s="210" customFormat="1" ht="14.25" x14ac:dyDescent="0.2">
      <c r="A14" s="284">
        <f>'Novem Product Fuel Data'!$Q$19</f>
        <v>0</v>
      </c>
      <c r="B14" s="248"/>
      <c r="C14" s="248"/>
      <c r="D14" s="249"/>
      <c r="E14" s="283">
        <f>IF('Baseline Data'!$B$9="Novem Carbon",'Novem Product Fuel Data'!Q46,IF('Baseline Data'!$B$9="Novem Energy",'Novem Product Fuel Data'!Q45,0))</f>
        <v>0</v>
      </c>
      <c r="F14" s="250" t="str">
        <f t="shared" si="0"/>
        <v/>
      </c>
      <c r="G14" s="251" t="str">
        <f t="shared" si="1"/>
        <v/>
      </c>
      <c r="H14" s="252" t="str">
        <f>IF(E14=0,"",IF(C14="Migrated",F14,F14/(1-LOOKUP(C14,'Target Setting Rules'!$B$30:$B$42,'Target Setting Rules'!$C$30:$C$42))))</f>
        <v/>
      </c>
      <c r="I14" s="275" t="str">
        <f>IF($E14=0,"",IF($C14="Migrated","Input",LOOKUP($C14,'Target Setting Rules'!$D$30:$P$30,'Target Setting Rules'!$D$36:$P$36)))</f>
        <v/>
      </c>
      <c r="J14" s="254" t="str">
        <f t="shared" si="2"/>
        <v/>
      </c>
      <c r="K14" s="255" t="str">
        <f>IF($E14=0,"",IF(I14="Input","Provide target %",LOOKUP(2014,'Target Setting Rules'!$B$30:$B$42,'Target Setting Rules'!$C$30:$C$42)))</f>
        <v/>
      </c>
      <c r="L14" s="275" t="str">
        <f>IF($E14=0,"",IF($C14="Migrated","Input",LOOKUP($C14,'Target Setting Rules'!$D$30:$P$30,'Target Setting Rules'!$D$38:$P$38)))</f>
        <v/>
      </c>
      <c r="M14" s="254" t="str">
        <f t="shared" si="3"/>
        <v/>
      </c>
      <c r="N14" s="255" t="str">
        <f>IF($E14=0,"",IF(L14="Input","Provide target %",LOOKUP(2016,'Target Setting Rules'!$B$30:$B$42,'Target Setting Rules'!$C$30:$C$42)))</f>
        <v/>
      </c>
      <c r="O14" s="275" t="str">
        <f>IF($E14=0,"",IF($C14="Migrated","Input",LOOKUP($C14,'Target Setting Rules'!$D$30:$P$30,'Target Setting Rules'!$D$40:$P$40)))</f>
        <v/>
      </c>
      <c r="P14" s="254" t="str">
        <f t="shared" si="4"/>
        <v/>
      </c>
      <c r="Q14" s="255" t="str">
        <f>IF($E14=0,"",IF(O14="Input","Provide target %",LOOKUP(2018,'Target Setting Rules'!$B$30:$B$42,'Target Setting Rules'!$C$30:$C$42)))</f>
        <v/>
      </c>
      <c r="R14" s="275" t="str">
        <f>IF($E14=0,"",IF($C14="Migrated","Input",LOOKUP($C14,'Target Setting Rules'!$D$30:$P$30,'Target Setting Rules'!$D$42:$P$42)))</f>
        <v/>
      </c>
      <c r="S14" s="254" t="str">
        <f t="shared" si="5"/>
        <v/>
      </c>
      <c r="T14" s="256" t="str">
        <f>IF($E14=0,"",IF(R14="Input","Provide target %",LOOKUP(2020,'Target Setting Rules'!$B$30:$B$42,'Target Setting Rules'!$C$30:$C$42)))</f>
        <v/>
      </c>
    </row>
    <row r="15" spans="1:20" s="210" customFormat="1" ht="14.25" x14ac:dyDescent="0.2">
      <c r="A15" s="284">
        <f>'Novem Product Fuel Data'!$T$19</f>
        <v>0</v>
      </c>
      <c r="B15" s="248"/>
      <c r="C15" s="248"/>
      <c r="D15" s="249"/>
      <c r="E15" s="283">
        <f>IF('Baseline Data'!$B$9="Novem Carbon",'Novem Product Fuel Data'!T46,IF('Baseline Data'!$B$9="Novem Energy",'Novem Product Fuel Data'!T45,0))</f>
        <v>0</v>
      </c>
      <c r="F15" s="250" t="str">
        <f t="shared" si="0"/>
        <v/>
      </c>
      <c r="G15" s="251" t="str">
        <f t="shared" si="1"/>
        <v/>
      </c>
      <c r="H15" s="252" t="str">
        <f>IF(E15=0,"",IF(C15="Migrated",F15,F15/(1-LOOKUP(C15,'Target Setting Rules'!$B$30:$B$42,'Target Setting Rules'!$C$30:$C$42))))</f>
        <v/>
      </c>
      <c r="I15" s="275" t="str">
        <f>IF($E15=0,"",IF($C15="Migrated","Input",LOOKUP($C15,'Target Setting Rules'!$D$30:$P$30,'Target Setting Rules'!$D$36:$P$36)))</f>
        <v/>
      </c>
      <c r="J15" s="254" t="str">
        <f t="shared" si="2"/>
        <v/>
      </c>
      <c r="K15" s="255" t="str">
        <f>IF($E15=0,"",IF(I15="Input","Provide target %",LOOKUP(2014,'Target Setting Rules'!$B$30:$B$42,'Target Setting Rules'!$C$30:$C$42)))</f>
        <v/>
      </c>
      <c r="L15" s="275" t="str">
        <f>IF($E15=0,"",IF($C15="Migrated","Input",LOOKUP($C15,'Target Setting Rules'!$D$30:$P$30,'Target Setting Rules'!$D$38:$P$38)))</f>
        <v/>
      </c>
      <c r="M15" s="254" t="str">
        <f t="shared" si="3"/>
        <v/>
      </c>
      <c r="N15" s="255" t="str">
        <f>IF($E15=0,"",IF(L15="Input","Provide target %",LOOKUP(2016,'Target Setting Rules'!$B$30:$B$42,'Target Setting Rules'!$C$30:$C$42)))</f>
        <v/>
      </c>
      <c r="O15" s="275" t="str">
        <f>IF($E15=0,"",IF($C15="Migrated","Input",LOOKUP($C15,'Target Setting Rules'!$D$30:$P$30,'Target Setting Rules'!$D$40:$P$40)))</f>
        <v/>
      </c>
      <c r="P15" s="254" t="str">
        <f t="shared" si="4"/>
        <v/>
      </c>
      <c r="Q15" s="255" t="str">
        <f>IF($E15=0,"",IF(O15="Input","Provide target %",LOOKUP(2018,'Target Setting Rules'!$B$30:$B$42,'Target Setting Rules'!$C$30:$C$42)))</f>
        <v/>
      </c>
      <c r="R15" s="275" t="str">
        <f>IF($E15=0,"",IF($C15="Migrated","Input",LOOKUP($C15,'Target Setting Rules'!$D$30:$P$30,'Target Setting Rules'!$D$42:$P$42)))</f>
        <v/>
      </c>
      <c r="S15" s="254" t="str">
        <f t="shared" si="5"/>
        <v/>
      </c>
      <c r="T15" s="256" t="str">
        <f>IF($E15=0,"",IF(R15="Input","Provide target %",LOOKUP(2020,'Target Setting Rules'!$B$30:$B$42,'Target Setting Rules'!$C$30:$C$42)))</f>
        <v/>
      </c>
    </row>
    <row r="16" spans="1:20" s="210" customFormat="1" ht="14.25" x14ac:dyDescent="0.2">
      <c r="A16" s="284">
        <f>'Novem Product Fuel Data'!$W$19</f>
        <v>0</v>
      </c>
      <c r="B16" s="248"/>
      <c r="C16" s="248"/>
      <c r="D16" s="249"/>
      <c r="E16" s="283">
        <f>IF('Baseline Data'!$B$9="Novem Carbon",'Novem Product Fuel Data'!W46,IF('Baseline Data'!$B$9="Novem Energy",'Novem Product Fuel Data'!W45,0))</f>
        <v>0</v>
      </c>
      <c r="F16" s="250" t="str">
        <f t="shared" si="0"/>
        <v/>
      </c>
      <c r="G16" s="251" t="str">
        <f t="shared" si="1"/>
        <v/>
      </c>
      <c r="H16" s="252" t="str">
        <f>IF(E16=0,"",IF(C16="Migrated",F16,F16/(1-LOOKUP(C16,'Target Setting Rules'!$B$30:$B$42,'Target Setting Rules'!$C$30:$C$42))))</f>
        <v/>
      </c>
      <c r="I16" s="275" t="str">
        <f>IF($E16=0,"",IF($C16="Migrated","Input",LOOKUP($C16,'Target Setting Rules'!$D$30:$P$30,'Target Setting Rules'!$D$36:$P$36)))</f>
        <v/>
      </c>
      <c r="J16" s="254" t="str">
        <f t="shared" si="2"/>
        <v/>
      </c>
      <c r="K16" s="255" t="str">
        <f>IF($E16=0,"",IF(I16="Input","Provide target %",LOOKUP(2014,'Target Setting Rules'!$B$30:$B$42,'Target Setting Rules'!$C$30:$C$42)))</f>
        <v/>
      </c>
      <c r="L16" s="275" t="str">
        <f>IF($E16=0,"",IF($C16="Migrated","Input",LOOKUP($C16,'Target Setting Rules'!$D$30:$P$30,'Target Setting Rules'!$D$38:$P$38)))</f>
        <v/>
      </c>
      <c r="M16" s="254" t="str">
        <f t="shared" si="3"/>
        <v/>
      </c>
      <c r="N16" s="255" t="str">
        <f>IF($E16=0,"",IF(L16="Input","Provide target %",LOOKUP(2016,'Target Setting Rules'!$B$30:$B$42,'Target Setting Rules'!$C$30:$C$42)))</f>
        <v/>
      </c>
      <c r="O16" s="275" t="str">
        <f>IF($E16=0,"",IF($C16="Migrated","Input",LOOKUP($C16,'Target Setting Rules'!$D$30:$P$30,'Target Setting Rules'!$D$40:$P$40)))</f>
        <v/>
      </c>
      <c r="P16" s="254" t="str">
        <f t="shared" si="4"/>
        <v/>
      </c>
      <c r="Q16" s="255" t="str">
        <f>IF($E16=0,"",IF(O16="Input","Provide target %",LOOKUP(2018,'Target Setting Rules'!$B$30:$B$42,'Target Setting Rules'!$C$30:$C$42)))</f>
        <v/>
      </c>
      <c r="R16" s="275" t="str">
        <f>IF($E16=0,"",IF($C16="Migrated","Input",LOOKUP($C16,'Target Setting Rules'!$D$30:$P$30,'Target Setting Rules'!$D$42:$P$42)))</f>
        <v/>
      </c>
      <c r="S16" s="254" t="str">
        <f t="shared" si="5"/>
        <v/>
      </c>
      <c r="T16" s="256" t="str">
        <f>IF($E16=0,"",IF(R16="Input","Provide target %",LOOKUP(2020,'Target Setting Rules'!$B$30:$B$42,'Target Setting Rules'!$C$30:$C$42)))</f>
        <v/>
      </c>
    </row>
    <row r="17" spans="1:20" s="210" customFormat="1" ht="14.25" x14ac:dyDescent="0.2">
      <c r="A17" s="284">
        <f>'Novem Product Fuel Data'!$Z$19</f>
        <v>0</v>
      </c>
      <c r="B17" s="248"/>
      <c r="C17" s="248"/>
      <c r="D17" s="249"/>
      <c r="E17" s="283">
        <f>IF('Baseline Data'!$B$9="Novem Carbon",'Novem Product Fuel Data'!Z46,IF('Baseline Data'!$B$9="Novem Energy",'Novem Product Fuel Data'!Z45,0))</f>
        <v>0</v>
      </c>
      <c r="F17" s="250" t="str">
        <f t="shared" si="0"/>
        <v/>
      </c>
      <c r="G17" s="251" t="str">
        <f t="shared" si="1"/>
        <v/>
      </c>
      <c r="H17" s="252" t="str">
        <f>IF(E17=0,"",IF(C17="Migrated",F17,F17/(1-LOOKUP(C17,'Target Setting Rules'!$B$30:$B$42,'Target Setting Rules'!$C$30:$C$42))))</f>
        <v/>
      </c>
      <c r="I17" s="275" t="str">
        <f>IF($E17=0,"",IF($C17="Migrated","Input",LOOKUP($C17,'Target Setting Rules'!$D$30:$P$30,'Target Setting Rules'!$D$36:$P$36)))</f>
        <v/>
      </c>
      <c r="J17" s="254" t="str">
        <f t="shared" si="2"/>
        <v/>
      </c>
      <c r="K17" s="255" t="str">
        <f>IF($E17=0,"",IF(I17="Input","Provide target %",LOOKUP(2014,'Target Setting Rules'!$B$30:$B$42,'Target Setting Rules'!$C$30:$C$42)))</f>
        <v/>
      </c>
      <c r="L17" s="275" t="str">
        <f>IF($E17=0,"",IF($C17="Migrated","Input",LOOKUP($C17,'Target Setting Rules'!$D$30:$P$30,'Target Setting Rules'!$D$38:$P$38)))</f>
        <v/>
      </c>
      <c r="M17" s="254" t="str">
        <f t="shared" si="3"/>
        <v/>
      </c>
      <c r="N17" s="255" t="str">
        <f>IF($E17=0,"",IF(L17="Input","Provide target %",LOOKUP(2016,'Target Setting Rules'!$B$30:$B$42,'Target Setting Rules'!$C$30:$C$42)))</f>
        <v/>
      </c>
      <c r="O17" s="275" t="str">
        <f>IF($E17=0,"",IF($C17="Migrated","Input",LOOKUP($C17,'Target Setting Rules'!$D$30:$P$30,'Target Setting Rules'!$D$40:$P$40)))</f>
        <v/>
      </c>
      <c r="P17" s="254" t="str">
        <f t="shared" si="4"/>
        <v/>
      </c>
      <c r="Q17" s="255" t="str">
        <f>IF($E17=0,"",IF(O17="Input","Provide target %",LOOKUP(2018,'Target Setting Rules'!$B$30:$B$42,'Target Setting Rules'!$C$30:$C$42)))</f>
        <v/>
      </c>
      <c r="R17" s="275" t="str">
        <f>IF($E17=0,"",IF($C17="Migrated","Input",LOOKUP($C17,'Target Setting Rules'!$D$30:$P$30,'Target Setting Rules'!$D$42:$P$42)))</f>
        <v/>
      </c>
      <c r="S17" s="254" t="str">
        <f t="shared" si="5"/>
        <v/>
      </c>
      <c r="T17" s="256" t="str">
        <f>IF($E17=0,"",IF(R17="Input","Provide target %",LOOKUP(2020,'Target Setting Rules'!$B$30:$B$42,'Target Setting Rules'!$C$30:$C$42)))</f>
        <v/>
      </c>
    </row>
    <row r="18" spans="1:20" s="210" customFormat="1" ht="14.25" x14ac:dyDescent="0.2">
      <c r="A18" s="284">
        <f>'Novem Product Fuel Data'!$AC$19</f>
        <v>0</v>
      </c>
      <c r="B18" s="248"/>
      <c r="C18" s="248"/>
      <c r="D18" s="249"/>
      <c r="E18" s="283">
        <f>IF('Baseline Data'!$B$9="Novem Carbon",'Novem Product Fuel Data'!AC46,IF('Baseline Data'!$B$9="Novem Energy",'Novem Product Fuel Data'!AC45,0))</f>
        <v>0</v>
      </c>
      <c r="F18" s="250" t="str">
        <f t="shared" si="0"/>
        <v/>
      </c>
      <c r="G18" s="251" t="str">
        <f t="shared" si="1"/>
        <v/>
      </c>
      <c r="H18" s="252" t="str">
        <f>IF(E18=0,"",IF(C18="Migrated",F18,F18/(1-LOOKUP(C18,'Target Setting Rules'!$B$30:$B$42,'Target Setting Rules'!$C$30:$C$42))))</f>
        <v/>
      </c>
      <c r="I18" s="275" t="str">
        <f>IF($E18=0,"",IF($C18="Migrated","Input",LOOKUP($C18,'Target Setting Rules'!$D$30:$P$30,'Target Setting Rules'!$D$36:$P$36)))</f>
        <v/>
      </c>
      <c r="J18" s="254" t="str">
        <f t="shared" si="2"/>
        <v/>
      </c>
      <c r="K18" s="255" t="str">
        <f>IF($E18=0,"",IF(I18="Input","Provide target %",LOOKUP(2014,'Target Setting Rules'!$B$30:$B$42,'Target Setting Rules'!$C$30:$C$42)))</f>
        <v/>
      </c>
      <c r="L18" s="275" t="str">
        <f>IF($E18=0,"",IF($C18="Migrated","Input",LOOKUP($C18,'Target Setting Rules'!$D$30:$P$30,'Target Setting Rules'!$D$38:$P$38)))</f>
        <v/>
      </c>
      <c r="M18" s="254" t="str">
        <f t="shared" si="3"/>
        <v/>
      </c>
      <c r="N18" s="255" t="str">
        <f>IF($E18=0,"",IF(L18="Input","Provide target %",LOOKUP(2016,'Target Setting Rules'!$B$30:$B$42,'Target Setting Rules'!$C$30:$C$42)))</f>
        <v/>
      </c>
      <c r="O18" s="275" t="str">
        <f>IF($E18=0,"",IF($C18="Migrated","Input",LOOKUP($C18,'Target Setting Rules'!$D$30:$P$30,'Target Setting Rules'!$D$40:$P$40)))</f>
        <v/>
      </c>
      <c r="P18" s="254" t="str">
        <f t="shared" si="4"/>
        <v/>
      </c>
      <c r="Q18" s="255" t="str">
        <f>IF($E18=0,"",IF(O18="Input","Provide target %",LOOKUP(2018,'Target Setting Rules'!$B$30:$B$42,'Target Setting Rules'!$C$30:$C$42)))</f>
        <v/>
      </c>
      <c r="R18" s="275" t="str">
        <f>IF($E18=0,"",IF($C18="Migrated","Input",LOOKUP($C18,'Target Setting Rules'!$D$30:$P$30,'Target Setting Rules'!$D$42:$P$42)))</f>
        <v/>
      </c>
      <c r="S18" s="254" t="str">
        <f t="shared" si="5"/>
        <v/>
      </c>
      <c r="T18" s="256" t="str">
        <f>IF($E18=0,"",IF(R18="Input","Provide target %",LOOKUP(2020,'Target Setting Rules'!$B$30:$B$42,'Target Setting Rules'!$C$30:$C$42)))</f>
        <v/>
      </c>
    </row>
    <row r="19" spans="1:20" s="210" customFormat="1" ht="14.25" x14ac:dyDescent="0.2">
      <c r="A19" s="284">
        <f>'Novem Product Fuel Data'!$AF$19</f>
        <v>0</v>
      </c>
      <c r="B19" s="248"/>
      <c r="C19" s="248"/>
      <c r="D19" s="249"/>
      <c r="E19" s="283">
        <f>IF('Baseline Data'!$B$9="Novem Carbon",'Novem Product Fuel Data'!AF46,IF('Baseline Data'!$B$9="Novem Energy",'Novem Product Fuel Data'!AF45,0))</f>
        <v>0</v>
      </c>
      <c r="F19" s="250" t="str">
        <f t="shared" si="0"/>
        <v/>
      </c>
      <c r="G19" s="251" t="str">
        <f t="shared" si="1"/>
        <v/>
      </c>
      <c r="H19" s="252" t="str">
        <f>IF(E19=0,"",IF(C19="Migrated",F19,F19/(1-LOOKUP(C19,'Target Setting Rules'!$B$30:$B$42,'Target Setting Rules'!$C$30:$C$42))))</f>
        <v/>
      </c>
      <c r="I19" s="275" t="str">
        <f>IF($E19=0,"",IF($C19="Migrated","Input",LOOKUP($C19,'Target Setting Rules'!$D$30:$P$30,'Target Setting Rules'!$D$36:$P$36)))</f>
        <v/>
      </c>
      <c r="J19" s="254" t="str">
        <f t="shared" si="2"/>
        <v/>
      </c>
      <c r="K19" s="255" t="str">
        <f>IF($E19=0,"",IF(I19="Input","Provide target %",LOOKUP(2014,'Target Setting Rules'!$B$30:$B$42,'Target Setting Rules'!$C$30:$C$42)))</f>
        <v/>
      </c>
      <c r="L19" s="275" t="str">
        <f>IF($E19=0,"",IF($C19="Migrated","Input",LOOKUP($C19,'Target Setting Rules'!$D$30:$P$30,'Target Setting Rules'!$D$38:$P$38)))</f>
        <v/>
      </c>
      <c r="M19" s="254" t="str">
        <f t="shared" si="3"/>
        <v/>
      </c>
      <c r="N19" s="255" t="str">
        <f>IF($E19=0,"",IF(L19="Input","Provide target %",LOOKUP(2016,'Target Setting Rules'!$B$30:$B$42,'Target Setting Rules'!$C$30:$C$42)))</f>
        <v/>
      </c>
      <c r="O19" s="275" t="str">
        <f>IF($E19=0,"",IF($C19="Migrated","Input",LOOKUP($C19,'Target Setting Rules'!$D$30:$P$30,'Target Setting Rules'!$D$40:$P$40)))</f>
        <v/>
      </c>
      <c r="P19" s="254" t="str">
        <f t="shared" si="4"/>
        <v/>
      </c>
      <c r="Q19" s="255" t="str">
        <f>IF($E19=0,"",IF(O19="Input","Provide target %",LOOKUP(2018,'Target Setting Rules'!$B$30:$B$42,'Target Setting Rules'!$C$30:$C$42)))</f>
        <v/>
      </c>
      <c r="R19" s="275" t="str">
        <f>IF($E19=0,"",IF($C19="Migrated","Input",LOOKUP($C19,'Target Setting Rules'!$D$30:$P$30,'Target Setting Rules'!$D$42:$P$42)))</f>
        <v/>
      </c>
      <c r="S19" s="254" t="str">
        <f t="shared" si="5"/>
        <v/>
      </c>
      <c r="T19" s="256" t="str">
        <f>IF($E19=0,"",IF(R19="Input","Provide target %",LOOKUP(2020,'Target Setting Rules'!$B$30:$B$42,'Target Setting Rules'!$C$30:$C$42)))</f>
        <v/>
      </c>
    </row>
    <row r="20" spans="1:20" s="210" customFormat="1" ht="14.25" x14ac:dyDescent="0.2">
      <c r="A20" s="284">
        <f>'Novem Product Fuel Data'!$AI$19</f>
        <v>0</v>
      </c>
      <c r="B20" s="248"/>
      <c r="C20" s="248"/>
      <c r="D20" s="249"/>
      <c r="E20" s="283">
        <f>IF('Baseline Data'!$B$9="Novem Carbon",'Novem Product Fuel Data'!AI46,IF('Baseline Data'!$B$9="Novem Energy",'Novem Product Fuel Data'!AI45,0))</f>
        <v>0</v>
      </c>
      <c r="F20" s="250" t="str">
        <f t="shared" si="0"/>
        <v/>
      </c>
      <c r="G20" s="251" t="str">
        <f t="shared" si="1"/>
        <v/>
      </c>
      <c r="H20" s="252" t="str">
        <f>IF(E20=0,"",IF(C20="Migrated",F20,F20/(1-LOOKUP(C20,'Target Setting Rules'!$B$30:$B$42,'Target Setting Rules'!$C$30:$C$42))))</f>
        <v/>
      </c>
      <c r="I20" s="275" t="str">
        <f>IF($E20=0,"",IF($C20="Migrated","Input",LOOKUP($C20,'Target Setting Rules'!$D$30:$P$30,'Target Setting Rules'!$D$36:$P$36)))</f>
        <v/>
      </c>
      <c r="J20" s="254" t="str">
        <f t="shared" si="2"/>
        <v/>
      </c>
      <c r="K20" s="255" t="str">
        <f>IF($E20=0,"",IF(I20="Input","Provide target %",LOOKUP(2014,'Target Setting Rules'!$B$30:$B$42,'Target Setting Rules'!$C$30:$C$42)))</f>
        <v/>
      </c>
      <c r="L20" s="275" t="str">
        <f>IF($E20=0,"",IF($C20="Migrated","Input",LOOKUP($C20,'Target Setting Rules'!$D$30:$P$30,'Target Setting Rules'!$D$38:$P$38)))</f>
        <v/>
      </c>
      <c r="M20" s="254" t="str">
        <f t="shared" si="3"/>
        <v/>
      </c>
      <c r="N20" s="255" t="str">
        <f>IF($E20=0,"",IF(L20="Input","Provide target %",LOOKUP(2016,'Target Setting Rules'!$B$30:$B$42,'Target Setting Rules'!$C$30:$C$42)))</f>
        <v/>
      </c>
      <c r="O20" s="275" t="str">
        <f>IF($E20=0,"",IF($C20="Migrated","Input",LOOKUP($C20,'Target Setting Rules'!$D$30:$P$30,'Target Setting Rules'!$D$40:$P$40)))</f>
        <v/>
      </c>
      <c r="P20" s="254" t="str">
        <f t="shared" si="4"/>
        <v/>
      </c>
      <c r="Q20" s="255" t="str">
        <f>IF($E20=0,"",IF(O20="Input","Provide target %",LOOKUP(2018,'Target Setting Rules'!$B$30:$B$42,'Target Setting Rules'!$C$30:$C$42)))</f>
        <v/>
      </c>
      <c r="R20" s="275" t="str">
        <f>IF($E20=0,"",IF($C20="Migrated","Input",LOOKUP($C20,'Target Setting Rules'!$D$30:$P$30,'Target Setting Rules'!$D$42:$P$42)))</f>
        <v/>
      </c>
      <c r="S20" s="254" t="str">
        <f t="shared" si="5"/>
        <v/>
      </c>
      <c r="T20" s="256" t="str">
        <f>IF($E20=0,"",IF(R20="Input","Provide target %",LOOKUP(2020,'Target Setting Rules'!$B$30:$B$42,'Target Setting Rules'!$C$30:$C$42)))</f>
        <v/>
      </c>
    </row>
    <row r="21" spans="1:20" s="210" customFormat="1" ht="14.25" x14ac:dyDescent="0.2">
      <c r="A21" s="284">
        <f>'Novem Product Fuel Data'!$AL$19</f>
        <v>0</v>
      </c>
      <c r="B21" s="248"/>
      <c r="C21" s="248"/>
      <c r="D21" s="249"/>
      <c r="E21" s="283">
        <f>IF('Baseline Data'!$B$9="Novem Carbon",'Novem Product Fuel Data'!AL46,IF('Baseline Data'!$B$9="Novem Energy",'Novem Product Fuel Data'!AL45,0))</f>
        <v>0</v>
      </c>
      <c r="F21" s="250" t="str">
        <f t="shared" si="0"/>
        <v/>
      </c>
      <c r="G21" s="251" t="str">
        <f t="shared" si="1"/>
        <v/>
      </c>
      <c r="H21" s="252" t="str">
        <f>IF(E21=0,"",IF(C21="Migrated",F21,F21/(1-LOOKUP(C21,'Target Setting Rules'!$B$30:$B$42,'Target Setting Rules'!$C$30:$C$42))))</f>
        <v/>
      </c>
      <c r="I21" s="275" t="str">
        <f>IF($E21=0,"",IF($C21="Migrated","Input",LOOKUP($C21,'Target Setting Rules'!$D$30:$P$30,'Target Setting Rules'!$D$36:$P$36)))</f>
        <v/>
      </c>
      <c r="J21" s="254" t="str">
        <f t="shared" si="2"/>
        <v/>
      </c>
      <c r="K21" s="255" t="str">
        <f>IF($E21=0,"",IF(I21="Input","Provide target %",LOOKUP(2014,'Target Setting Rules'!$B$30:$B$42,'Target Setting Rules'!$C$30:$C$42)))</f>
        <v/>
      </c>
      <c r="L21" s="275" t="str">
        <f>IF($E21=0,"",IF($C21="Migrated","Input",LOOKUP($C21,'Target Setting Rules'!$D$30:$P$30,'Target Setting Rules'!$D$38:$P$38)))</f>
        <v/>
      </c>
      <c r="M21" s="254" t="str">
        <f t="shared" si="3"/>
        <v/>
      </c>
      <c r="N21" s="255" t="str">
        <f>IF($E21=0,"",IF(L21="Input","Provide target %",LOOKUP(2016,'Target Setting Rules'!$B$30:$B$42,'Target Setting Rules'!$C$30:$C$42)))</f>
        <v/>
      </c>
      <c r="O21" s="275" t="str">
        <f>IF($E21=0,"",IF($C21="Migrated","Input",LOOKUP($C21,'Target Setting Rules'!$D$30:$P$30,'Target Setting Rules'!$D$40:$P$40)))</f>
        <v/>
      </c>
      <c r="P21" s="254" t="str">
        <f t="shared" si="4"/>
        <v/>
      </c>
      <c r="Q21" s="255" t="str">
        <f>IF($E21=0,"",IF(O21="Input","Provide target %",LOOKUP(2018,'Target Setting Rules'!$B$30:$B$42,'Target Setting Rules'!$C$30:$C$42)))</f>
        <v/>
      </c>
      <c r="R21" s="275" t="str">
        <f>IF($E21=0,"",IF($C21="Migrated","Input",LOOKUP($C21,'Target Setting Rules'!$D$30:$P$30,'Target Setting Rules'!$D$42:$P$42)))</f>
        <v/>
      </c>
      <c r="S21" s="254" t="str">
        <f t="shared" si="5"/>
        <v/>
      </c>
      <c r="T21" s="256" t="str">
        <f>IF($E21=0,"",IF(R21="Input","Provide target %",LOOKUP(2020,'Target Setting Rules'!$B$30:$B$42,'Target Setting Rules'!$C$30:$C$42)))</f>
        <v/>
      </c>
    </row>
    <row r="22" spans="1:20" s="210" customFormat="1" ht="14.25" x14ac:dyDescent="0.2">
      <c r="A22" s="284">
        <f>'Novem Product Fuel Data'!$AO$19</f>
        <v>0</v>
      </c>
      <c r="B22" s="248"/>
      <c r="C22" s="248"/>
      <c r="D22" s="249"/>
      <c r="E22" s="283">
        <f>IF('Baseline Data'!$B$9="Novem Carbon",'Novem Product Fuel Data'!AO46,IF('Baseline Data'!$B$9="Novem Energy",'Novem Product Fuel Data'!AO45,0))</f>
        <v>0</v>
      </c>
      <c r="F22" s="250" t="str">
        <f t="shared" si="0"/>
        <v/>
      </c>
      <c r="G22" s="251" t="str">
        <f t="shared" si="1"/>
        <v/>
      </c>
      <c r="H22" s="252" t="str">
        <f>IF(E22=0,"",IF(C22="Migrated",F22,F22/(1-LOOKUP(C22,'Target Setting Rules'!$B$30:$B$42,'Target Setting Rules'!$C$30:$C$42))))</f>
        <v/>
      </c>
      <c r="I22" s="275" t="str">
        <f>IF($E22=0,"",IF($C22="Migrated","Input",LOOKUP($C22,'Target Setting Rules'!$D$30:$P$30,'Target Setting Rules'!$D$36:$P$36)))</f>
        <v/>
      </c>
      <c r="J22" s="254" t="str">
        <f t="shared" si="2"/>
        <v/>
      </c>
      <c r="K22" s="255" t="str">
        <f>IF($E22=0,"",IF(I22="Input","Provide target %",LOOKUP(2014,'Target Setting Rules'!$B$30:$B$42,'Target Setting Rules'!$C$30:$C$42)))</f>
        <v/>
      </c>
      <c r="L22" s="275" t="str">
        <f>IF($E22=0,"",IF($C22="Migrated","Input",LOOKUP($C22,'Target Setting Rules'!$D$30:$P$30,'Target Setting Rules'!$D$38:$P$38)))</f>
        <v/>
      </c>
      <c r="M22" s="254" t="str">
        <f t="shared" si="3"/>
        <v/>
      </c>
      <c r="N22" s="255" t="str">
        <f>IF($E22=0,"",IF(L22="Input","Provide target %",LOOKUP(2016,'Target Setting Rules'!$B$30:$B$42,'Target Setting Rules'!$C$30:$C$42)))</f>
        <v/>
      </c>
      <c r="O22" s="275" t="str">
        <f>IF($E22=0,"",IF($C22="Migrated","Input",LOOKUP($C22,'Target Setting Rules'!$D$30:$P$30,'Target Setting Rules'!$D$40:$P$40)))</f>
        <v/>
      </c>
      <c r="P22" s="254" t="str">
        <f t="shared" si="4"/>
        <v/>
      </c>
      <c r="Q22" s="255" t="str">
        <f>IF($E22=0,"",IF(O22="Input","Provide target %",LOOKUP(2018,'Target Setting Rules'!$B$30:$B$42,'Target Setting Rules'!$C$30:$C$42)))</f>
        <v/>
      </c>
      <c r="R22" s="275" t="str">
        <f>IF($E22=0,"",IF($C22="Migrated","Input",LOOKUP($C22,'Target Setting Rules'!$D$30:$P$30,'Target Setting Rules'!$D$42:$P$42)))</f>
        <v/>
      </c>
      <c r="S22" s="254" t="str">
        <f t="shared" si="5"/>
        <v/>
      </c>
      <c r="T22" s="256" t="str">
        <f>IF($E22=0,"",IF(R22="Input","Provide target %",LOOKUP(2020,'Target Setting Rules'!$B$30:$B$42,'Target Setting Rules'!$C$30:$C$42)))</f>
        <v/>
      </c>
    </row>
    <row r="23" spans="1:20" s="210" customFormat="1" ht="14.25" x14ac:dyDescent="0.2">
      <c r="A23" s="284">
        <f>'Novem Product Fuel Data'!$AR$19</f>
        <v>0</v>
      </c>
      <c r="B23" s="248"/>
      <c r="C23" s="248"/>
      <c r="D23" s="257"/>
      <c r="E23" s="283">
        <f>IF('Baseline Data'!$B$9="Novem Carbon",'Novem Product Fuel Data'!AR46,IF('Baseline Data'!$B$9="Novem Energy",'Novem Product Fuel Data'!AR45,0))</f>
        <v>0</v>
      </c>
      <c r="F23" s="250" t="str">
        <f t="shared" si="0"/>
        <v/>
      </c>
      <c r="G23" s="251" t="str">
        <f t="shared" si="1"/>
        <v/>
      </c>
      <c r="H23" s="252" t="str">
        <f>IF(E23=0,"",IF(C23="Migrated",F23,F23/(1-LOOKUP(C23,'Target Setting Rules'!$B$30:$B$42,'Target Setting Rules'!$C$30:$C$42))))</f>
        <v/>
      </c>
      <c r="I23" s="275" t="str">
        <f>IF($E23=0,"",IF($C23="Migrated","Input",LOOKUP($C23,'Target Setting Rules'!$D$30:$P$30,'Target Setting Rules'!$D$36:$P$36)))</f>
        <v/>
      </c>
      <c r="J23" s="254" t="str">
        <f t="shared" si="2"/>
        <v/>
      </c>
      <c r="K23" s="255" t="str">
        <f>IF($E23=0,"",IF(I23="Input","Provide target %",LOOKUP(2014,'Target Setting Rules'!$B$30:$B$42,'Target Setting Rules'!$C$30:$C$42)))</f>
        <v/>
      </c>
      <c r="L23" s="275" t="str">
        <f>IF($E23=0,"",IF($C23="Migrated","Input",LOOKUP($C23,'Target Setting Rules'!$D$30:$P$30,'Target Setting Rules'!$D$38:$P$38)))</f>
        <v/>
      </c>
      <c r="M23" s="254" t="str">
        <f t="shared" si="3"/>
        <v/>
      </c>
      <c r="N23" s="255" t="str">
        <f>IF($E23=0,"",IF(L23="Input","Provide target %",LOOKUP(2016,'Target Setting Rules'!$B$30:$B$42,'Target Setting Rules'!$C$30:$C$42)))</f>
        <v/>
      </c>
      <c r="O23" s="275" t="str">
        <f>IF($E23=0,"",IF($C23="Migrated","Input",LOOKUP($C23,'Target Setting Rules'!$D$30:$P$30,'Target Setting Rules'!$D$40:$P$40)))</f>
        <v/>
      </c>
      <c r="P23" s="254" t="str">
        <f t="shared" si="4"/>
        <v/>
      </c>
      <c r="Q23" s="255" t="str">
        <f>IF($E23=0,"",IF(O23="Input","Provide target %",LOOKUP(2018,'Target Setting Rules'!$B$30:$B$42,'Target Setting Rules'!$C$30:$C$42)))</f>
        <v/>
      </c>
      <c r="R23" s="275" t="str">
        <f>IF($E23=0,"",IF($C23="Migrated","Input",LOOKUP($C23,'Target Setting Rules'!$D$30:$P$30,'Target Setting Rules'!$D$42:$P$42)))</f>
        <v/>
      </c>
      <c r="S23" s="254" t="str">
        <f t="shared" si="5"/>
        <v/>
      </c>
      <c r="T23" s="256" t="str">
        <f>IF($E23=0,"",IF(R23="Input","Provide target %",LOOKUP(2020,'Target Setting Rules'!$B$30:$B$42,'Target Setting Rules'!$C$30:$C$42)))</f>
        <v/>
      </c>
    </row>
    <row r="24" spans="1:20" s="210" customFormat="1" ht="14.25" x14ac:dyDescent="0.2">
      <c r="A24" s="284">
        <f>'Novem Product Fuel Data'!$AU$19</f>
        <v>0</v>
      </c>
      <c r="B24" s="248"/>
      <c r="C24" s="248"/>
      <c r="D24" s="257"/>
      <c r="E24" s="283">
        <f>IF('Baseline Data'!$B$9="Novem Carbon",'Novem Product Fuel Data'!AU46,IF('Baseline Data'!$B$9="Novem Energy",'Novem Product Fuel Data'!AU45,0))</f>
        <v>0</v>
      </c>
      <c r="F24" s="250" t="str">
        <f t="shared" si="0"/>
        <v/>
      </c>
      <c r="G24" s="251" t="str">
        <f t="shared" si="1"/>
        <v/>
      </c>
      <c r="H24" s="252" t="str">
        <f>IF(E24=0,"",IF(C24="Migrated",F24,F24/(1-LOOKUP(C24,'Target Setting Rules'!$B$30:$B$42,'Target Setting Rules'!$C$30:$C$42))))</f>
        <v/>
      </c>
      <c r="I24" s="275" t="str">
        <f>IF($E24=0,"",IF($C24="Migrated","Input",LOOKUP($C24,'Target Setting Rules'!$D$30:$P$30,'Target Setting Rules'!$D$36:$P$36)))</f>
        <v/>
      </c>
      <c r="J24" s="254" t="str">
        <f t="shared" si="2"/>
        <v/>
      </c>
      <c r="K24" s="255" t="str">
        <f>IF($E24=0,"",IF(I24="Input","Provide target %",LOOKUP(2014,'Target Setting Rules'!$B$30:$B$42,'Target Setting Rules'!$C$30:$C$42)))</f>
        <v/>
      </c>
      <c r="L24" s="275" t="str">
        <f>IF($E24=0,"",IF($C24="Migrated","Input",LOOKUP($C24,'Target Setting Rules'!$D$30:$P$30,'Target Setting Rules'!$D$38:$P$38)))</f>
        <v/>
      </c>
      <c r="M24" s="254" t="str">
        <f t="shared" si="3"/>
        <v/>
      </c>
      <c r="N24" s="255" t="str">
        <f>IF($E24=0,"",IF(L24="Input","Provide target %",LOOKUP(2016,'Target Setting Rules'!$B$30:$B$42,'Target Setting Rules'!$C$30:$C$42)))</f>
        <v/>
      </c>
      <c r="O24" s="275" t="str">
        <f>IF($E24=0,"",IF($C24="Migrated","Input",LOOKUP($C24,'Target Setting Rules'!$D$30:$P$30,'Target Setting Rules'!$D$40:$P$40)))</f>
        <v/>
      </c>
      <c r="P24" s="254" t="str">
        <f t="shared" si="4"/>
        <v/>
      </c>
      <c r="Q24" s="255" t="str">
        <f>IF($E24=0,"",IF(O24="Input","Provide target %",LOOKUP(2018,'Target Setting Rules'!$B$30:$B$42,'Target Setting Rules'!$C$30:$C$42)))</f>
        <v/>
      </c>
      <c r="R24" s="275" t="str">
        <f>IF($E24=0,"",IF($C24="Migrated","Input",LOOKUP($C24,'Target Setting Rules'!$D$30:$P$30,'Target Setting Rules'!$D$42:$P$42)))</f>
        <v/>
      </c>
      <c r="S24" s="254" t="str">
        <f t="shared" si="5"/>
        <v/>
      </c>
      <c r="T24" s="256" t="str">
        <f>IF($E24=0,"",IF(R24="Input","Provide target %",LOOKUP(2020,'Target Setting Rules'!$B$30:$B$42,'Target Setting Rules'!$C$30:$C$42)))</f>
        <v/>
      </c>
    </row>
    <row r="25" spans="1:20" s="210" customFormat="1" ht="14.25" x14ac:dyDescent="0.2">
      <c r="A25" s="284">
        <f>'Novem Product Fuel Data'!$AX$19</f>
        <v>0</v>
      </c>
      <c r="B25" s="248"/>
      <c r="C25" s="248"/>
      <c r="D25" s="257"/>
      <c r="E25" s="283">
        <f>IF('Baseline Data'!$B$9="Novem Carbon",'Novem Product Fuel Data'!AX46,IF('Baseline Data'!$B$9="Novem Energy",'Novem Product Fuel Data'!AX45,0))</f>
        <v>0</v>
      </c>
      <c r="F25" s="250" t="str">
        <f t="shared" si="0"/>
        <v/>
      </c>
      <c r="G25" s="251" t="str">
        <f t="shared" si="1"/>
        <v/>
      </c>
      <c r="H25" s="252" t="str">
        <f>IF(E25=0,"",IF(C25="Migrated",F25,F25/(1-LOOKUP(C25,'Target Setting Rules'!$B$30:$B$42,'Target Setting Rules'!$C$30:$C$42))))</f>
        <v/>
      </c>
      <c r="I25" s="275" t="str">
        <f>IF($E25=0,"",IF($C25="Migrated","Input",LOOKUP($C25,'Target Setting Rules'!$D$30:$P$30,'Target Setting Rules'!$D$36:$P$36)))</f>
        <v/>
      </c>
      <c r="J25" s="254" t="str">
        <f t="shared" si="2"/>
        <v/>
      </c>
      <c r="K25" s="255" t="str">
        <f>IF($E25=0,"",IF(I25="Input","Provide target %",LOOKUP(2014,'Target Setting Rules'!$B$30:$B$42,'Target Setting Rules'!$C$30:$C$42)))</f>
        <v/>
      </c>
      <c r="L25" s="275" t="str">
        <f>IF($E25=0,"",IF($C25="Migrated","Input",LOOKUP($C25,'Target Setting Rules'!$D$30:$P$30,'Target Setting Rules'!$D$38:$P$38)))</f>
        <v/>
      </c>
      <c r="M25" s="254" t="str">
        <f t="shared" si="3"/>
        <v/>
      </c>
      <c r="N25" s="255" t="str">
        <f>IF($E25=0,"",IF(L25="Input","Provide target %",LOOKUP(2016,'Target Setting Rules'!$B$30:$B$42,'Target Setting Rules'!$C$30:$C$42)))</f>
        <v/>
      </c>
      <c r="O25" s="275" t="str">
        <f>IF($E25=0,"",IF($C25="Migrated","Input",LOOKUP($C25,'Target Setting Rules'!$D$30:$P$30,'Target Setting Rules'!$D$40:$P$40)))</f>
        <v/>
      </c>
      <c r="P25" s="254" t="str">
        <f t="shared" si="4"/>
        <v/>
      </c>
      <c r="Q25" s="255" t="str">
        <f>IF($E25=0,"",IF(O25="Input","Provide target %",LOOKUP(2018,'Target Setting Rules'!$B$30:$B$42,'Target Setting Rules'!$C$30:$C$42)))</f>
        <v/>
      </c>
      <c r="R25" s="275" t="str">
        <f>IF($E25=0,"",IF($C25="Migrated","Input",LOOKUP($C25,'Target Setting Rules'!$D$30:$P$30,'Target Setting Rules'!$D$42:$P$42)))</f>
        <v/>
      </c>
      <c r="S25" s="254" t="str">
        <f t="shared" si="5"/>
        <v/>
      </c>
      <c r="T25" s="256" t="str">
        <f>IF($E25=0,"",IF(R25="Input","Provide target %",LOOKUP(2020,'Target Setting Rules'!$B$30:$B$42,'Target Setting Rules'!$C$30:$C$42)))</f>
        <v/>
      </c>
    </row>
    <row r="26" spans="1:20" s="210" customFormat="1" ht="14.25" x14ac:dyDescent="0.2">
      <c r="A26" s="284">
        <f>'Novem Product Fuel Data'!$BA$19</f>
        <v>0</v>
      </c>
      <c r="B26" s="248"/>
      <c r="C26" s="248"/>
      <c r="D26" s="257"/>
      <c r="E26" s="283">
        <f>IF('Baseline Data'!$B$9="Novem Carbon",'Novem Product Fuel Data'!BA46,IF('Baseline Data'!$B$9="Novem Energy",'Novem Product Fuel Data'!BA45,0))</f>
        <v>0</v>
      </c>
      <c r="F26" s="250" t="str">
        <f t="shared" si="0"/>
        <v/>
      </c>
      <c r="G26" s="251" t="str">
        <f t="shared" si="1"/>
        <v/>
      </c>
      <c r="H26" s="252" t="str">
        <f>IF(E26=0,"",IF(C26="Migrated",F26,F26/(1-LOOKUP(C26,'Target Setting Rules'!$B$30:$B$42,'Target Setting Rules'!$C$30:$C$42))))</f>
        <v/>
      </c>
      <c r="I26" s="275" t="str">
        <f>IF($E26=0,"",IF($C26="Migrated","Input",LOOKUP($C26,'Target Setting Rules'!$D$30:$P$30,'Target Setting Rules'!$D$36:$P$36)))</f>
        <v/>
      </c>
      <c r="J26" s="254" t="str">
        <f t="shared" si="2"/>
        <v/>
      </c>
      <c r="K26" s="255" t="str">
        <f>IF($E26=0,"",IF(I26="Input","Provide target %",LOOKUP(2014,'Target Setting Rules'!$B$30:$B$42,'Target Setting Rules'!$C$30:$C$42)))</f>
        <v/>
      </c>
      <c r="L26" s="275" t="str">
        <f>IF($E26=0,"",IF($C26="Migrated","Input",LOOKUP($C26,'Target Setting Rules'!$D$30:$P$30,'Target Setting Rules'!$D$38:$P$38)))</f>
        <v/>
      </c>
      <c r="M26" s="254" t="str">
        <f t="shared" si="3"/>
        <v/>
      </c>
      <c r="N26" s="255" t="str">
        <f>IF($E26=0,"",IF(L26="Input","Provide target %",LOOKUP(2016,'Target Setting Rules'!$B$30:$B$42,'Target Setting Rules'!$C$30:$C$42)))</f>
        <v/>
      </c>
      <c r="O26" s="275" t="str">
        <f>IF($E26=0,"",IF($C26="Migrated","Input",LOOKUP($C26,'Target Setting Rules'!$D$30:$P$30,'Target Setting Rules'!$D$40:$P$40)))</f>
        <v/>
      </c>
      <c r="P26" s="254" t="str">
        <f t="shared" si="4"/>
        <v/>
      </c>
      <c r="Q26" s="255" t="str">
        <f>IF($E26=0,"",IF(O26="Input","Provide target %",LOOKUP(2018,'Target Setting Rules'!$B$30:$B$42,'Target Setting Rules'!$C$30:$C$42)))</f>
        <v/>
      </c>
      <c r="R26" s="275" t="str">
        <f>IF($E26=0,"",IF($C26="Migrated","Input",LOOKUP($C26,'Target Setting Rules'!$D$30:$P$30,'Target Setting Rules'!$D$42:$P$42)))</f>
        <v/>
      </c>
      <c r="S26" s="254" t="str">
        <f t="shared" si="5"/>
        <v/>
      </c>
      <c r="T26" s="256" t="str">
        <f>IF($E26=0,"",IF(R26="Input","Provide target %",LOOKUP(2020,'Target Setting Rules'!$B$30:$B$42,'Target Setting Rules'!$C$30:$C$42)))</f>
        <v/>
      </c>
    </row>
    <row r="27" spans="1:20" s="210" customFormat="1" ht="14.25" x14ac:dyDescent="0.2">
      <c r="A27" s="284">
        <f>'Novem Product Fuel Data'!$BD$19</f>
        <v>0</v>
      </c>
      <c r="B27" s="248"/>
      <c r="C27" s="248"/>
      <c r="D27" s="257"/>
      <c r="E27" s="283">
        <f>IF('Baseline Data'!$B$9="Novem Carbon",'Novem Product Fuel Data'!BD46,IF('Baseline Data'!$B$9="Novem Energy",'Novem Product Fuel Data'!BD45,0))</f>
        <v>0</v>
      </c>
      <c r="F27" s="250" t="str">
        <f t="shared" si="0"/>
        <v/>
      </c>
      <c r="G27" s="251" t="str">
        <f t="shared" si="1"/>
        <v/>
      </c>
      <c r="H27" s="252" t="str">
        <f>IF(E27=0,"",IF(C27="Migrated",F27,F27/(1-LOOKUP(C27,'Target Setting Rules'!$B$30:$B$42,'Target Setting Rules'!$C$30:$C$42))))</f>
        <v/>
      </c>
      <c r="I27" s="275" t="str">
        <f>IF($E27=0,"",IF($C27="Migrated","Input",LOOKUP($C27,'Target Setting Rules'!$D$30:$P$30,'Target Setting Rules'!$D$36:$P$36)))</f>
        <v/>
      </c>
      <c r="J27" s="254" t="str">
        <f t="shared" si="2"/>
        <v/>
      </c>
      <c r="K27" s="255" t="str">
        <f>IF($E27=0,"",IF(I27="Input","Provide target %",LOOKUP(2014,'Target Setting Rules'!$B$30:$B$42,'Target Setting Rules'!$C$30:$C$42)))</f>
        <v/>
      </c>
      <c r="L27" s="275" t="str">
        <f>IF($E27=0,"",IF($C27="Migrated","Input",LOOKUP($C27,'Target Setting Rules'!$D$30:$P$30,'Target Setting Rules'!$D$38:$P$38)))</f>
        <v/>
      </c>
      <c r="M27" s="254" t="str">
        <f t="shared" si="3"/>
        <v/>
      </c>
      <c r="N27" s="255" t="str">
        <f>IF($E27=0,"",IF(L27="Input","Provide target %",LOOKUP(2016,'Target Setting Rules'!$B$30:$B$42,'Target Setting Rules'!$C$30:$C$42)))</f>
        <v/>
      </c>
      <c r="O27" s="275" t="str">
        <f>IF($E27=0,"",IF($C27="Migrated","Input",LOOKUP($C27,'Target Setting Rules'!$D$30:$P$30,'Target Setting Rules'!$D$40:$P$40)))</f>
        <v/>
      </c>
      <c r="P27" s="254" t="str">
        <f t="shared" si="4"/>
        <v/>
      </c>
      <c r="Q27" s="255" t="str">
        <f>IF($E27=0,"",IF(O27="Input","Provide target %",LOOKUP(2018,'Target Setting Rules'!$B$30:$B$42,'Target Setting Rules'!$C$30:$C$42)))</f>
        <v/>
      </c>
      <c r="R27" s="275" t="str">
        <f>IF($E27=0,"",IF($C27="Migrated","Input",LOOKUP($C27,'Target Setting Rules'!$D$30:$P$30,'Target Setting Rules'!$D$42:$P$42)))</f>
        <v/>
      </c>
      <c r="S27" s="254" t="str">
        <f t="shared" si="5"/>
        <v/>
      </c>
      <c r="T27" s="256" t="str">
        <f>IF($E27=0,"",IF(R27="Input","Provide target %",LOOKUP(2020,'Target Setting Rules'!$B$30:$B$42,'Target Setting Rules'!$C$30:$C$42)))</f>
        <v/>
      </c>
    </row>
    <row r="28" spans="1:20" s="210" customFormat="1" ht="14.25" x14ac:dyDescent="0.2">
      <c r="A28" s="284">
        <f>'Novem Product Fuel Data'!$BG$19</f>
        <v>0</v>
      </c>
      <c r="B28" s="248"/>
      <c r="C28" s="248"/>
      <c r="D28" s="257"/>
      <c r="E28" s="283">
        <f>IF('Baseline Data'!$B$9="Novem Carbon",'Novem Product Fuel Data'!BG46,IF('Baseline Data'!$B$9="Novem Energy",'Novem Product Fuel Data'!BG45,0))</f>
        <v>0</v>
      </c>
      <c r="F28" s="250" t="str">
        <f t="shared" si="0"/>
        <v/>
      </c>
      <c r="G28" s="251" t="str">
        <f t="shared" si="1"/>
        <v/>
      </c>
      <c r="H28" s="252" t="str">
        <f>IF(E28=0,"",IF(C28="Migrated",F28,F28/(1-LOOKUP(C28,'Target Setting Rules'!$B$30:$B$42,'Target Setting Rules'!$C$30:$C$42))))</f>
        <v/>
      </c>
      <c r="I28" s="275" t="str">
        <f>IF($E28=0,"",IF($C28="Migrated","Input",LOOKUP($C28,'Target Setting Rules'!$D$30:$P$30,'Target Setting Rules'!$D$36:$P$36)))</f>
        <v/>
      </c>
      <c r="J28" s="254" t="str">
        <f t="shared" si="2"/>
        <v/>
      </c>
      <c r="K28" s="255" t="str">
        <f>IF($E28=0,"",IF(I28="Input","Provide target %",LOOKUP(2014,'Target Setting Rules'!$B$30:$B$42,'Target Setting Rules'!$C$30:$C$42)))</f>
        <v/>
      </c>
      <c r="L28" s="275" t="str">
        <f>IF($E28=0,"",IF($C28="Migrated","Input",LOOKUP($C28,'Target Setting Rules'!$D$30:$P$30,'Target Setting Rules'!$D$38:$P$38)))</f>
        <v/>
      </c>
      <c r="M28" s="254" t="str">
        <f t="shared" si="3"/>
        <v/>
      </c>
      <c r="N28" s="255" t="str">
        <f>IF($E28=0,"",IF(L28="Input","Provide target %",LOOKUP(2016,'Target Setting Rules'!$B$30:$B$42,'Target Setting Rules'!$C$30:$C$42)))</f>
        <v/>
      </c>
      <c r="O28" s="275" t="str">
        <f>IF($E28=0,"",IF($C28="Migrated","Input",LOOKUP($C28,'Target Setting Rules'!$D$30:$P$30,'Target Setting Rules'!$D$40:$P$40)))</f>
        <v/>
      </c>
      <c r="P28" s="254" t="str">
        <f t="shared" si="4"/>
        <v/>
      </c>
      <c r="Q28" s="255" t="str">
        <f>IF($E28=0,"",IF(O28="Input","Provide target %",LOOKUP(2018,'Target Setting Rules'!$B$30:$B$42,'Target Setting Rules'!$C$30:$C$42)))</f>
        <v/>
      </c>
      <c r="R28" s="275" t="str">
        <f>IF($E28=0,"",IF($C28="Migrated","Input",LOOKUP($C28,'Target Setting Rules'!$D$30:$P$30,'Target Setting Rules'!$D$42:$P$42)))</f>
        <v/>
      </c>
      <c r="S28" s="254" t="str">
        <f t="shared" si="5"/>
        <v/>
      </c>
      <c r="T28" s="256" t="str">
        <f>IF($E28=0,"",IF(R28="Input","Provide target %",LOOKUP(2020,'Target Setting Rules'!$B$30:$B$42,'Target Setting Rules'!$C$30:$C$42)))</f>
        <v/>
      </c>
    </row>
    <row r="29" spans="1:20" s="210" customFormat="1" ht="14.25" x14ac:dyDescent="0.2">
      <c r="A29" s="284">
        <f>'Novem Product Fuel Data'!$BJ$19</f>
        <v>0</v>
      </c>
      <c r="B29" s="248"/>
      <c r="C29" s="248"/>
      <c r="D29" s="257"/>
      <c r="E29" s="283">
        <f>IF('Baseline Data'!$B$9="Novem Carbon",'Novem Product Fuel Data'!BJ46,IF('Baseline Data'!$B$9="Novem Energy",'Novem Product Fuel Data'!BJ45,0))</f>
        <v>0</v>
      </c>
      <c r="F29" s="250" t="str">
        <f t="shared" si="0"/>
        <v/>
      </c>
      <c r="G29" s="251" t="str">
        <f t="shared" si="1"/>
        <v/>
      </c>
      <c r="H29" s="252" t="str">
        <f>IF(E29=0,"",IF(C29="Migrated",F29,F29/(1-LOOKUP(C29,'Target Setting Rules'!$B$30:$B$42,'Target Setting Rules'!$C$30:$C$42))))</f>
        <v/>
      </c>
      <c r="I29" s="275" t="str">
        <f>IF($E29=0,"",IF($C29="Migrated","Input",LOOKUP($C29,'Target Setting Rules'!$D$30:$P$30,'Target Setting Rules'!$D$36:$P$36)))</f>
        <v/>
      </c>
      <c r="J29" s="254" t="str">
        <f t="shared" si="2"/>
        <v/>
      </c>
      <c r="K29" s="255" t="str">
        <f>IF($E29=0,"",IF(I29="Input","Provide target %",LOOKUP(2014,'Target Setting Rules'!$B$30:$B$42,'Target Setting Rules'!$C$30:$C$42)))</f>
        <v/>
      </c>
      <c r="L29" s="275" t="str">
        <f>IF($E29=0,"",IF($C29="Migrated","Input",LOOKUP($C29,'Target Setting Rules'!$D$30:$P$30,'Target Setting Rules'!$D$38:$P$38)))</f>
        <v/>
      </c>
      <c r="M29" s="254" t="str">
        <f t="shared" si="3"/>
        <v/>
      </c>
      <c r="N29" s="255" t="str">
        <f>IF($E29=0,"",IF(L29="Input","Provide target %",LOOKUP(2016,'Target Setting Rules'!$B$30:$B$42,'Target Setting Rules'!$C$30:$C$42)))</f>
        <v/>
      </c>
      <c r="O29" s="275" t="str">
        <f>IF($E29=0,"",IF($C29="Migrated","Input",LOOKUP($C29,'Target Setting Rules'!$D$30:$P$30,'Target Setting Rules'!$D$40:$P$40)))</f>
        <v/>
      </c>
      <c r="P29" s="254" t="str">
        <f t="shared" si="4"/>
        <v/>
      </c>
      <c r="Q29" s="255" t="str">
        <f>IF($E29=0,"",IF(O29="Input","Provide target %",LOOKUP(2018,'Target Setting Rules'!$B$30:$B$42,'Target Setting Rules'!$C$30:$C$42)))</f>
        <v/>
      </c>
      <c r="R29" s="275" t="str">
        <f>IF($E29=0,"",IF($C29="Migrated","Input",LOOKUP($C29,'Target Setting Rules'!$D$30:$P$30,'Target Setting Rules'!$D$42:$P$42)))</f>
        <v/>
      </c>
      <c r="S29" s="254" t="str">
        <f t="shared" si="5"/>
        <v/>
      </c>
      <c r="T29" s="256" t="str">
        <f>IF($E29=0,"",IF(R29="Input","Provide target %",LOOKUP(2020,'Target Setting Rules'!$B$30:$B$42,'Target Setting Rules'!$C$30:$C$42)))</f>
        <v/>
      </c>
    </row>
    <row r="30" spans="1:20" s="210" customFormat="1" ht="14.25" x14ac:dyDescent="0.2">
      <c r="A30" s="284">
        <f>'Novem Product Fuel Data'!$BM$19</f>
        <v>0</v>
      </c>
      <c r="B30" s="248"/>
      <c r="C30" s="248"/>
      <c r="D30" s="257"/>
      <c r="E30" s="283">
        <f>IF('Baseline Data'!$B$9="Novem Carbon",'Novem Product Fuel Data'!BM46,IF('Baseline Data'!$B$9="Novem Energy",'Novem Product Fuel Data'!BM45,0))</f>
        <v>0</v>
      </c>
      <c r="F30" s="250" t="str">
        <f t="shared" si="0"/>
        <v/>
      </c>
      <c r="G30" s="251" t="str">
        <f t="shared" si="1"/>
        <v/>
      </c>
      <c r="H30" s="252" t="str">
        <f>IF(E30=0,"",IF(C30="Migrated",F30,F30/(1-LOOKUP(C30,'Target Setting Rules'!$B$30:$B$42,'Target Setting Rules'!$C$30:$C$42))))</f>
        <v/>
      </c>
      <c r="I30" s="275" t="str">
        <f>IF($E30=0,"",IF($C30="Migrated","Input",LOOKUP($C30,'Target Setting Rules'!$D$30:$P$30,'Target Setting Rules'!$D$36:$P$36)))</f>
        <v/>
      </c>
      <c r="J30" s="254" t="str">
        <f t="shared" si="2"/>
        <v/>
      </c>
      <c r="K30" s="255" t="str">
        <f>IF($E30=0,"",IF(I30="Input","Provide target %",LOOKUP(2014,'Target Setting Rules'!$B$30:$B$42,'Target Setting Rules'!$C$30:$C$42)))</f>
        <v/>
      </c>
      <c r="L30" s="275" t="str">
        <f>IF($E30=0,"",IF($C30="Migrated","Input",LOOKUP($C30,'Target Setting Rules'!$D$30:$P$30,'Target Setting Rules'!$D$38:$P$38)))</f>
        <v/>
      </c>
      <c r="M30" s="254" t="str">
        <f t="shared" si="3"/>
        <v/>
      </c>
      <c r="N30" s="255" t="str">
        <f>IF($E30=0,"",IF(L30="Input","Provide target %",LOOKUP(2016,'Target Setting Rules'!$B$30:$B$42,'Target Setting Rules'!$C$30:$C$42)))</f>
        <v/>
      </c>
      <c r="O30" s="275" t="str">
        <f>IF($E30=0,"",IF($C30="Migrated","Input",LOOKUP($C30,'Target Setting Rules'!$D$30:$P$30,'Target Setting Rules'!$D$40:$P$40)))</f>
        <v/>
      </c>
      <c r="P30" s="254" t="str">
        <f t="shared" si="4"/>
        <v/>
      </c>
      <c r="Q30" s="255" t="str">
        <f>IF($E30=0,"",IF(O30="Input","Provide target %",LOOKUP(2018,'Target Setting Rules'!$B$30:$B$42,'Target Setting Rules'!$C$30:$C$42)))</f>
        <v/>
      </c>
      <c r="R30" s="275" t="str">
        <f>IF($E30=0,"",IF($C30="Migrated","Input",LOOKUP($C30,'Target Setting Rules'!$D$30:$P$30,'Target Setting Rules'!$D$42:$P$42)))</f>
        <v/>
      </c>
      <c r="S30" s="254" t="str">
        <f t="shared" si="5"/>
        <v/>
      </c>
      <c r="T30" s="256" t="str">
        <f>IF($E30=0,"",IF(R30="Input","Provide target %",LOOKUP(2020,'Target Setting Rules'!$B$30:$B$42,'Target Setting Rules'!$C$30:$C$42)))</f>
        <v/>
      </c>
    </row>
    <row r="31" spans="1:20" s="210" customFormat="1" ht="14.25" x14ac:dyDescent="0.2">
      <c r="A31" s="211" t="s">
        <v>229</v>
      </c>
      <c r="B31" s="213"/>
      <c r="C31" s="213"/>
      <c r="D31" s="274">
        <f>SUMIF($B11:$B30,"Yes",D11:D30)</f>
        <v>0</v>
      </c>
      <c r="E31" s="456"/>
      <c r="F31" s="457"/>
      <c r="G31" s="259"/>
      <c r="H31" s="259"/>
      <c r="I31" s="260"/>
      <c r="J31" s="456"/>
      <c r="K31" s="458"/>
      <c r="L31" s="260"/>
      <c r="M31" s="456"/>
      <c r="N31" s="458"/>
      <c r="O31" s="260"/>
      <c r="P31" s="456"/>
      <c r="Q31" s="458"/>
      <c r="R31" s="260"/>
      <c r="S31" s="456"/>
      <c r="T31" s="457"/>
    </row>
    <row r="32" spans="1:20" s="210" customFormat="1" ht="14.25" x14ac:dyDescent="0.2">
      <c r="A32" s="211" t="s">
        <v>230</v>
      </c>
      <c r="B32" s="213"/>
      <c r="C32" s="213"/>
      <c r="D32" s="258">
        <f>'Baseline Data'!$B$13</f>
        <v>0</v>
      </c>
      <c r="E32" s="456"/>
      <c r="F32" s="457"/>
      <c r="G32" s="259"/>
      <c r="H32" s="259"/>
      <c r="I32" s="260"/>
      <c r="J32" s="456"/>
      <c r="K32" s="458"/>
      <c r="L32" s="260"/>
      <c r="M32" s="456"/>
      <c r="N32" s="458"/>
      <c r="O32" s="260"/>
      <c r="P32" s="456"/>
      <c r="Q32" s="458"/>
      <c r="R32" s="260"/>
      <c r="S32" s="456"/>
      <c r="T32" s="457"/>
    </row>
    <row r="33" spans="1:20" s="210" customFormat="1" ht="14.25" x14ac:dyDescent="0.2">
      <c r="A33" s="211" t="str">
        <f>IF('Baseline Data'!B9="Novem Carbon","TU total carbon for production mix","TU total energy for production mix")</f>
        <v>TU total energy for production mix</v>
      </c>
      <c r="B33" s="213"/>
      <c r="C33" s="213"/>
      <c r="D33" s="212"/>
      <c r="E33" s="254">
        <f>SUMIF($B11:$B30,"Yes",E11:E30)</f>
        <v>0</v>
      </c>
      <c r="F33" s="261"/>
      <c r="G33" s="262"/>
      <c r="H33" s="262"/>
      <c r="I33" s="260"/>
      <c r="J33" s="254">
        <f>SUMIF($B11:$B30,"Yes",J11:J30)</f>
        <v>0</v>
      </c>
      <c r="K33" s="252"/>
      <c r="L33" s="260"/>
      <c r="M33" s="254">
        <f>SUM(M11:M30)</f>
        <v>0</v>
      </c>
      <c r="N33" s="252"/>
      <c r="O33" s="260"/>
      <c r="P33" s="254">
        <f>SUM(P11:P30)</f>
        <v>0</v>
      </c>
      <c r="Q33" s="252"/>
      <c r="R33" s="260"/>
      <c r="S33" s="254">
        <f>SUM(S11:S30)</f>
        <v>0</v>
      </c>
      <c r="T33" s="263"/>
    </row>
    <row r="34" spans="1:20" s="210" customFormat="1" ht="14.25" x14ac:dyDescent="0.2">
      <c r="A34" s="211" t="str">
        <f>IF('Baseline Data'!B9="Novem Carbon","TU Carbon Target","TU Energy Target")</f>
        <v>TU Energy Target</v>
      </c>
      <c r="B34" s="213"/>
      <c r="C34" s="213"/>
      <c r="D34" s="213"/>
      <c r="E34" s="254">
        <f>IF('Baseline Data'!B9="NOVEM Carbon",'Baseline Data'!H49,'Baseline Data'!B19)</f>
        <v>0</v>
      </c>
      <c r="F34" s="264"/>
      <c r="G34" s="262"/>
      <c r="H34" s="262"/>
      <c r="I34" s="260"/>
      <c r="J34" s="254" t="e">
        <f>(1-'Stringency Tests'!#REF!)*E34</f>
        <v>#REF!</v>
      </c>
      <c r="K34" s="252"/>
      <c r="L34" s="260"/>
      <c r="M34" s="254" t="e">
        <f>(1-'Stringency Tests'!#REF!)*E34</f>
        <v>#REF!</v>
      </c>
      <c r="N34" s="252"/>
      <c r="O34" s="260"/>
      <c r="P34" s="254" t="e">
        <f>(1-'Stringency Tests'!#REF!)*E34</f>
        <v>#REF!</v>
      </c>
      <c r="Q34" s="252"/>
      <c r="R34" s="260"/>
      <c r="S34" s="254" t="e">
        <f>(1-'Stringency Tests'!#REF!)*E34</f>
        <v>#REF!</v>
      </c>
      <c r="T34" s="263"/>
    </row>
    <row r="35" spans="1:20" s="210" customFormat="1" ht="14.25" x14ac:dyDescent="0.2">
      <c r="A35" s="211" t="s">
        <v>223</v>
      </c>
      <c r="B35" s="213"/>
      <c r="C35" s="213"/>
      <c r="D35" s="213"/>
      <c r="E35" s="213"/>
      <c r="F35" s="214"/>
      <c r="G35" s="213"/>
      <c r="H35" s="213"/>
      <c r="I35" s="253" t="e">
        <f>($E33-J33)/$E33</f>
        <v>#DIV/0!</v>
      </c>
      <c r="J35" s="459"/>
      <c r="K35" s="459"/>
      <c r="L35" s="253" t="e">
        <f>($E33-M33)/$E33</f>
        <v>#DIV/0!</v>
      </c>
      <c r="M35" s="460"/>
      <c r="N35" s="460"/>
      <c r="O35" s="253" t="e">
        <f>($E33-P33)/$E33</f>
        <v>#DIV/0!</v>
      </c>
      <c r="P35" s="460"/>
      <c r="Q35" s="460"/>
      <c r="R35" s="253" t="e">
        <f>($E33-S33)/$E33</f>
        <v>#DIV/0!</v>
      </c>
      <c r="S35" s="460"/>
      <c r="T35" s="461"/>
    </row>
    <row r="36" spans="1:20" s="210" customFormat="1" thickBot="1" x14ac:dyDescent="0.25">
      <c r="A36" s="215" t="s">
        <v>224</v>
      </c>
      <c r="B36" s="216"/>
      <c r="C36" s="216"/>
      <c r="D36" s="216"/>
      <c r="E36" s="216"/>
      <c r="F36" s="217"/>
      <c r="G36" s="216"/>
      <c r="H36" s="216"/>
      <c r="I36" s="265" t="e">
        <f>'Stringency Tests'!#REF!</f>
        <v>#REF!</v>
      </c>
      <c r="J36" s="453"/>
      <c r="K36" s="453"/>
      <c r="L36" s="265" t="e">
        <f>'Stringency Tests'!#REF!</f>
        <v>#REF!</v>
      </c>
      <c r="M36" s="454"/>
      <c r="N36" s="454"/>
      <c r="O36" s="265" t="e">
        <f>'Stringency Tests'!#REF!</f>
        <v>#REF!</v>
      </c>
      <c r="P36" s="454"/>
      <c r="Q36" s="454"/>
      <c r="R36" s="265" t="e">
        <f>'Stringency Tests'!#REF!</f>
        <v>#REF!</v>
      </c>
      <c r="S36" s="454"/>
      <c r="T36" s="455"/>
    </row>
    <row r="37" spans="1:20" s="210" customFormat="1" ht="99.75" customHeight="1" x14ac:dyDescent="0.2">
      <c r="A37" s="218"/>
      <c r="B37" s="218"/>
      <c r="C37" s="218"/>
      <c r="D37" s="218"/>
      <c r="E37" s="218"/>
      <c r="F37" s="218"/>
      <c r="G37" s="218"/>
      <c r="H37" s="218"/>
      <c r="I37" s="219"/>
      <c r="J37" s="218"/>
      <c r="K37" s="218"/>
      <c r="L37" s="219"/>
      <c r="M37" s="218"/>
      <c r="N37" s="218"/>
      <c r="O37" s="219"/>
      <c r="P37" s="218"/>
      <c r="Q37" s="218"/>
      <c r="R37" s="219"/>
      <c r="S37" s="218"/>
      <c r="T37" s="218"/>
    </row>
  </sheetData>
  <sheetProtection password="CF99" sheet="1" objects="1" scenarios="1"/>
  <mergeCells count="27">
    <mergeCell ref="A1:I1"/>
    <mergeCell ref="A2:I2"/>
    <mergeCell ref="A5:I5"/>
    <mergeCell ref="I9:K9"/>
    <mergeCell ref="G9:H9"/>
    <mergeCell ref="A3:I4"/>
    <mergeCell ref="O9:Q9"/>
    <mergeCell ref="R9:T9"/>
    <mergeCell ref="E31:F31"/>
    <mergeCell ref="J31:K31"/>
    <mergeCell ref="M31:N31"/>
    <mergeCell ref="P31:Q31"/>
    <mergeCell ref="S31:T31"/>
    <mergeCell ref="L9:N9"/>
    <mergeCell ref="J36:K36"/>
    <mergeCell ref="M36:N36"/>
    <mergeCell ref="P36:Q36"/>
    <mergeCell ref="S36:T36"/>
    <mergeCell ref="E32:F32"/>
    <mergeCell ref="J32:K32"/>
    <mergeCell ref="M32:N32"/>
    <mergeCell ref="P32:Q32"/>
    <mergeCell ref="S32:T32"/>
    <mergeCell ref="J35:K35"/>
    <mergeCell ref="M35:N35"/>
    <mergeCell ref="P35:Q35"/>
    <mergeCell ref="S35:T35"/>
  </mergeCells>
  <conditionalFormatting sqref="R35">
    <cfRule type="expression" dxfId="63" priority="71">
      <formula>ROUND((R35-R36),3)&lt;&gt;0</formula>
    </cfRule>
  </conditionalFormatting>
  <conditionalFormatting sqref="L35">
    <cfRule type="expression" dxfId="62" priority="73">
      <formula>ROUND((L35-L36),3)&lt;&gt;0</formula>
    </cfRule>
  </conditionalFormatting>
  <conditionalFormatting sqref="O35">
    <cfRule type="expression" dxfId="61" priority="72">
      <formula>ROUND((O35-O36),3)&lt;&gt;0</formula>
    </cfRule>
  </conditionalFormatting>
  <conditionalFormatting sqref="J3">
    <cfRule type="cellIs" dxfId="60" priority="68" stopIfTrue="1" operator="equal">
      <formula>"Yes"</formula>
    </cfRule>
  </conditionalFormatting>
  <conditionalFormatting sqref="E33 M33:N33 P33:Q33 S33:T33 J33:K33">
    <cfRule type="expression" dxfId="59" priority="63">
      <formula>ROUND((E34-E33),3)&lt;&gt;0</formula>
    </cfRule>
    <cfRule type="expression" dxfId="58" priority="67">
      <formula>ROUND((E34-E33),4)&lt;&gt;0</formula>
    </cfRule>
  </conditionalFormatting>
  <conditionalFormatting sqref="I35 L35 O35 R35">
    <cfRule type="expression" dxfId="57" priority="61">
      <formula>ROUND((I35-I36),3)&lt;&gt;0</formula>
    </cfRule>
    <cfRule type="expression" dxfId="56" priority="74">
      <formula>ROUND((I35-I36),4)&lt;&gt;0</formula>
    </cfRule>
  </conditionalFormatting>
  <conditionalFormatting sqref="L11:L30 O11:O30 R11:R30 I11:I30">
    <cfRule type="expression" dxfId="55" priority="52">
      <formula>$C11="Migrated"</formula>
    </cfRule>
  </conditionalFormatting>
  <conditionalFormatting sqref="J4">
    <cfRule type="cellIs" dxfId="54" priority="44" stopIfTrue="1" operator="equal">
      <formula>"Yes"</formula>
    </cfRule>
  </conditionalFormatting>
  <conditionalFormatting sqref="D31">
    <cfRule type="expression" dxfId="53" priority="42">
      <formula>ROUND((D32-D31),3)&lt;&gt;0</formula>
    </cfRule>
    <cfRule type="expression" dxfId="52" priority="43">
      <formula>ROUND((D32-D31),4)&lt;&gt;0</formula>
    </cfRule>
  </conditionalFormatting>
  <conditionalFormatting sqref="E11">
    <cfRule type="expression" dxfId="51" priority="41">
      <formula>E11=0</formula>
    </cfRule>
  </conditionalFormatting>
  <conditionalFormatting sqref="E12">
    <cfRule type="expression" dxfId="50" priority="40">
      <formula>E12=0</formula>
    </cfRule>
  </conditionalFormatting>
  <conditionalFormatting sqref="A11">
    <cfRule type="expression" dxfId="49" priority="38">
      <formula>A11=0</formula>
    </cfRule>
  </conditionalFormatting>
  <conditionalFormatting sqref="A12">
    <cfRule type="expression" dxfId="48" priority="37">
      <formula>A12=0</formula>
    </cfRule>
  </conditionalFormatting>
  <conditionalFormatting sqref="A13">
    <cfRule type="expression" dxfId="47" priority="36">
      <formula>A13=0</formula>
    </cfRule>
  </conditionalFormatting>
  <conditionalFormatting sqref="A14">
    <cfRule type="expression" dxfId="46" priority="35">
      <formula>A14=0</formula>
    </cfRule>
  </conditionalFormatting>
  <conditionalFormatting sqref="A15">
    <cfRule type="expression" dxfId="45" priority="34">
      <formula>A15=0</formula>
    </cfRule>
  </conditionalFormatting>
  <conditionalFormatting sqref="A16">
    <cfRule type="expression" dxfId="44" priority="33">
      <formula>A16=0</formula>
    </cfRule>
  </conditionalFormatting>
  <conditionalFormatting sqref="A17">
    <cfRule type="expression" dxfId="43" priority="32">
      <formula>A17=0</formula>
    </cfRule>
  </conditionalFormatting>
  <conditionalFormatting sqref="A18">
    <cfRule type="expression" dxfId="42" priority="31">
      <formula>A18=0</formula>
    </cfRule>
  </conditionalFormatting>
  <conditionalFormatting sqref="A19">
    <cfRule type="expression" dxfId="41" priority="30">
      <formula>A19=0</formula>
    </cfRule>
  </conditionalFormatting>
  <conditionalFormatting sqref="A20">
    <cfRule type="expression" dxfId="40" priority="29">
      <formula>A20=0</formula>
    </cfRule>
  </conditionalFormatting>
  <conditionalFormatting sqref="A21">
    <cfRule type="expression" dxfId="39" priority="28">
      <formula>A21=0</formula>
    </cfRule>
  </conditionalFormatting>
  <conditionalFormatting sqref="A22">
    <cfRule type="expression" dxfId="38" priority="27">
      <formula>A22=0</formula>
    </cfRule>
  </conditionalFormatting>
  <conditionalFormatting sqref="A23">
    <cfRule type="expression" dxfId="37" priority="26">
      <formula>A23=0</formula>
    </cfRule>
  </conditionalFormatting>
  <conditionalFormatting sqref="A24">
    <cfRule type="expression" dxfId="36" priority="25">
      <formula>A24=0</formula>
    </cfRule>
  </conditionalFormatting>
  <conditionalFormatting sqref="A25">
    <cfRule type="expression" dxfId="35" priority="24">
      <formula>A25=0</formula>
    </cfRule>
  </conditionalFormatting>
  <conditionalFormatting sqref="A26">
    <cfRule type="expression" dxfId="34" priority="23">
      <formula>A26=0</formula>
    </cfRule>
  </conditionalFormatting>
  <conditionalFormatting sqref="A27">
    <cfRule type="expression" dxfId="33" priority="22">
      <formula>A27=0</formula>
    </cfRule>
  </conditionalFormatting>
  <conditionalFormatting sqref="A28">
    <cfRule type="expression" dxfId="32" priority="21">
      <formula>A28=0</formula>
    </cfRule>
  </conditionalFormatting>
  <conditionalFormatting sqref="A29">
    <cfRule type="expression" dxfId="31" priority="20">
      <formula>A29=0</formula>
    </cfRule>
  </conditionalFormatting>
  <conditionalFormatting sqref="A30">
    <cfRule type="expression" dxfId="30" priority="19">
      <formula>A30=0</formula>
    </cfRule>
  </conditionalFormatting>
  <conditionalFormatting sqref="E13">
    <cfRule type="expression" dxfId="29" priority="18">
      <formula>E13=0</formula>
    </cfRule>
  </conditionalFormatting>
  <conditionalFormatting sqref="E14">
    <cfRule type="expression" dxfId="28" priority="17">
      <formula>E14=0</formula>
    </cfRule>
  </conditionalFormatting>
  <conditionalFormatting sqref="E15">
    <cfRule type="expression" dxfId="27" priority="16">
      <formula>E15=0</formula>
    </cfRule>
  </conditionalFormatting>
  <conditionalFormatting sqref="E16">
    <cfRule type="expression" dxfId="26" priority="15">
      <formula>E16=0</formula>
    </cfRule>
  </conditionalFormatting>
  <conditionalFormatting sqref="E17">
    <cfRule type="expression" dxfId="25" priority="14">
      <formula>E17=0</formula>
    </cfRule>
  </conditionalFormatting>
  <conditionalFormatting sqref="E18">
    <cfRule type="expression" dxfId="24" priority="13">
      <formula>E18=0</formula>
    </cfRule>
  </conditionalFormatting>
  <conditionalFormatting sqref="E19">
    <cfRule type="expression" dxfId="23" priority="12">
      <formula>E19=0</formula>
    </cfRule>
  </conditionalFormatting>
  <conditionalFormatting sqref="E20">
    <cfRule type="expression" dxfId="22" priority="11">
      <formula>E20=0</formula>
    </cfRule>
  </conditionalFormatting>
  <conditionalFormatting sqref="E21">
    <cfRule type="expression" dxfId="21" priority="10">
      <formula>E21=0</formula>
    </cfRule>
  </conditionalFormatting>
  <conditionalFormatting sqref="E22">
    <cfRule type="expression" dxfId="20" priority="9">
      <formula>E22=0</formula>
    </cfRule>
  </conditionalFormatting>
  <conditionalFormatting sqref="E23">
    <cfRule type="expression" dxfId="19" priority="8">
      <formula>E23=0</formula>
    </cfRule>
  </conditionalFormatting>
  <conditionalFormatting sqref="E24">
    <cfRule type="expression" dxfId="18" priority="7">
      <formula>E24=0</formula>
    </cfRule>
  </conditionalFormatting>
  <conditionalFormatting sqref="E25">
    <cfRule type="expression" dxfId="17" priority="6">
      <formula>E25=0</formula>
    </cfRule>
  </conditionalFormatting>
  <conditionalFormatting sqref="E26">
    <cfRule type="expression" dxfId="16" priority="5">
      <formula>E26=0</formula>
    </cfRule>
  </conditionalFormatting>
  <conditionalFormatting sqref="E27">
    <cfRule type="expression" dxfId="15" priority="4">
      <formula>E27=0</formula>
    </cfRule>
  </conditionalFormatting>
  <conditionalFormatting sqref="E28">
    <cfRule type="expression" dxfId="14" priority="3">
      <formula>E28=0</formula>
    </cfRule>
  </conditionalFormatting>
  <conditionalFormatting sqref="E29">
    <cfRule type="expression" dxfId="13" priority="2">
      <formula>E29=0</formula>
    </cfRule>
  </conditionalFormatting>
  <conditionalFormatting sqref="E30">
    <cfRule type="expression" dxfId="12" priority="1">
      <formula>E30=0</formula>
    </cfRule>
  </conditionalFormatting>
  <dataValidations count="2">
    <dataValidation type="list" allowBlank="1" showInputMessage="1" showErrorMessage="1" sqref="B11:B30">
      <formula1>"Yes, No"</formula1>
    </dataValidation>
    <dataValidation type="list" allowBlank="1" showInputMessage="1" showErrorMessage="1" sqref="C11:C30">
      <formula1>"Migrated, 2008, 2009, 2010, 2011, 2012, 2013, 2014, 2015, 2016, 2017, 2018, 2019, 2020"</formula1>
    </dataValidation>
  </dataValidations>
  <pageMargins left="0.7" right="0.7" top="0.75" bottom="0.75" header="0.3" footer="0.3"/>
  <pageSetup paperSize="9" orientation="portrait"/>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39997558519241921"/>
    <pageSetUpPr fitToPage="1"/>
  </sheetPr>
  <dimension ref="A1:V79"/>
  <sheetViews>
    <sheetView zoomScale="80" zoomScaleNormal="80" workbookViewId="0">
      <pane ySplit="5" topLeftCell="A6" activePane="bottomLeft" state="frozen"/>
      <selection pane="bottomLeft" sqref="A1:B1"/>
    </sheetView>
  </sheetViews>
  <sheetFormatPr defaultRowHeight="15" x14ac:dyDescent="0.25"/>
  <cols>
    <col min="1" max="3" width="40.7109375" customWidth="1"/>
    <col min="4" max="4" width="23.28515625" customWidth="1"/>
    <col min="5" max="9" width="18.7109375" style="288" customWidth="1"/>
    <col min="10" max="10" width="16.7109375" style="288" customWidth="1"/>
    <col min="11" max="11" width="16.7109375" customWidth="1"/>
    <col min="12" max="12" width="22.5703125" customWidth="1"/>
    <col min="13" max="13" width="15.28515625" hidden="1" customWidth="1"/>
    <col min="14" max="14" width="16.7109375" hidden="1" customWidth="1"/>
    <col min="15" max="15" width="17.85546875" hidden="1" customWidth="1"/>
    <col min="16" max="21" width="0" hidden="1" customWidth="1"/>
    <col min="22" max="22" width="29.5703125" customWidth="1"/>
  </cols>
  <sheetData>
    <row r="1" spans="1:22" ht="30.75" thickBot="1" x14ac:dyDescent="0.3">
      <c r="A1" s="489" t="s">
        <v>321</v>
      </c>
      <c r="B1" s="490"/>
      <c r="C1" s="305" t="s">
        <v>60</v>
      </c>
      <c r="D1" s="306"/>
      <c r="E1" s="307"/>
      <c r="F1" s="307"/>
      <c r="G1" s="307"/>
      <c r="H1" s="307"/>
      <c r="I1" s="307"/>
      <c r="J1" s="307"/>
      <c r="K1" s="306"/>
      <c r="L1" s="306"/>
      <c r="M1" s="306"/>
      <c r="N1" s="306"/>
      <c r="O1" s="306"/>
      <c r="P1" s="306"/>
      <c r="Q1" s="306"/>
      <c r="R1" s="306"/>
      <c r="S1" s="306"/>
      <c r="T1" s="306"/>
      <c r="U1" s="306"/>
      <c r="V1" s="308"/>
    </row>
    <row r="2" spans="1:22" ht="21" thickBot="1" x14ac:dyDescent="0.35">
      <c r="A2" s="491" t="s">
        <v>98</v>
      </c>
      <c r="B2" s="492"/>
      <c r="C2" s="309" t="s">
        <v>61</v>
      </c>
      <c r="D2" s="310"/>
      <c r="E2" s="310" t="str">
        <f>'Instructions '!$A$58</f>
        <v>Workbook Version: OM Issue 6.1 Data Centres</v>
      </c>
      <c r="F2" s="310"/>
      <c r="G2" s="310"/>
      <c r="H2" s="310"/>
      <c r="I2" s="310"/>
      <c r="J2" s="311"/>
      <c r="K2" s="312"/>
      <c r="L2" s="310"/>
      <c r="M2" s="312"/>
      <c r="N2" s="312"/>
      <c r="O2" s="312"/>
      <c r="P2" s="312"/>
      <c r="Q2" s="312"/>
      <c r="R2" s="312"/>
      <c r="S2" s="312"/>
      <c r="T2" s="312"/>
      <c r="U2" s="312"/>
      <c r="V2" s="313"/>
    </row>
    <row r="3" spans="1:22" ht="30.75" customHeight="1" thickBot="1" x14ac:dyDescent="0.35">
      <c r="A3" s="493" t="s">
        <v>329</v>
      </c>
      <c r="B3" s="494"/>
      <c r="C3" s="314" t="s">
        <v>62</v>
      </c>
      <c r="D3" s="310"/>
      <c r="E3" s="310" t="str">
        <f>'Instructions '!$A$59</f>
        <v>Workbook date: 4/5/17 (includes stringency test)</v>
      </c>
      <c r="F3" s="310"/>
      <c r="G3" s="310"/>
      <c r="H3" s="310"/>
      <c r="I3" s="310"/>
      <c r="J3" s="311"/>
      <c r="K3" s="312"/>
      <c r="L3" s="310"/>
      <c r="M3" s="312"/>
      <c r="N3" s="312"/>
      <c r="O3" s="312"/>
      <c r="P3" s="312"/>
      <c r="Q3" s="312"/>
      <c r="R3" s="312"/>
      <c r="S3" s="312"/>
      <c r="T3" s="312"/>
      <c r="U3" s="312"/>
      <c r="V3" s="313"/>
    </row>
    <row r="4" spans="1:22" ht="30.75" customHeight="1" thickBot="1" x14ac:dyDescent="0.35">
      <c r="A4" s="493" t="s">
        <v>330</v>
      </c>
      <c r="B4" s="494"/>
      <c r="C4" s="315" t="s">
        <v>63</v>
      </c>
      <c r="D4" s="310"/>
      <c r="E4" s="311"/>
      <c r="F4" s="311"/>
      <c r="G4" s="311"/>
      <c r="H4" s="311"/>
      <c r="I4" s="311"/>
      <c r="J4" s="311"/>
      <c r="K4" s="312"/>
      <c r="L4" s="310"/>
      <c r="M4" s="312"/>
      <c r="N4" s="312"/>
      <c r="O4" s="312"/>
      <c r="P4" s="312"/>
      <c r="Q4" s="312"/>
      <c r="R4" s="312"/>
      <c r="S4" s="312"/>
      <c r="T4" s="312"/>
      <c r="U4" s="312"/>
      <c r="V4" s="313"/>
    </row>
    <row r="5" spans="1:22" ht="30.75" customHeight="1" thickBot="1" x14ac:dyDescent="0.35">
      <c r="A5" s="495" t="s">
        <v>331</v>
      </c>
      <c r="B5" s="496"/>
      <c r="C5" s="316" t="s">
        <v>106</v>
      </c>
      <c r="D5" s="310"/>
      <c r="E5" s="311"/>
      <c r="F5" s="311"/>
      <c r="G5" s="311"/>
      <c r="H5" s="311"/>
      <c r="I5" s="311"/>
      <c r="J5" s="311"/>
      <c r="K5" s="312"/>
      <c r="L5" s="310"/>
      <c r="M5" s="312"/>
      <c r="N5" s="312"/>
      <c r="O5" s="312"/>
      <c r="P5" s="312"/>
      <c r="Q5" s="312"/>
      <c r="R5" s="312"/>
      <c r="S5" s="312"/>
      <c r="T5" s="312"/>
      <c r="U5" s="312"/>
      <c r="V5" s="313"/>
    </row>
    <row r="6" spans="1:22" ht="62.25" customHeight="1" x14ac:dyDescent="0.3">
      <c r="A6" s="317"/>
      <c r="B6" s="318"/>
      <c r="C6" s="312"/>
      <c r="D6" s="310"/>
      <c r="E6" s="311"/>
      <c r="F6" s="311"/>
      <c r="G6" s="311"/>
      <c r="H6" s="311"/>
      <c r="I6" s="311"/>
      <c r="J6" s="311"/>
      <c r="K6" s="312"/>
      <c r="L6" s="310"/>
      <c r="M6" s="312"/>
      <c r="N6" s="312"/>
      <c r="O6" s="312"/>
      <c r="P6" s="312"/>
      <c r="Q6" s="312"/>
      <c r="R6" s="312"/>
      <c r="S6" s="312"/>
      <c r="T6" s="312"/>
      <c r="U6" s="312"/>
      <c r="V6" s="313"/>
    </row>
    <row r="7" spans="1:22" ht="30.75" customHeight="1" x14ac:dyDescent="0.3">
      <c r="A7" s="319" t="s">
        <v>112</v>
      </c>
      <c r="B7" s="319" t="s">
        <v>322</v>
      </c>
      <c r="C7" s="319" t="s">
        <v>323</v>
      </c>
      <c r="D7" s="319" t="s">
        <v>324</v>
      </c>
      <c r="E7" s="311"/>
      <c r="F7" s="311"/>
      <c r="G7" s="311"/>
      <c r="H7" s="311"/>
      <c r="I7" s="311"/>
      <c r="J7" s="311"/>
      <c r="K7" s="312"/>
      <c r="L7" s="310"/>
      <c r="M7" s="312"/>
      <c r="N7" s="312"/>
      <c r="O7" s="312"/>
      <c r="P7" s="312"/>
      <c r="Q7" s="312"/>
      <c r="R7" s="312"/>
      <c r="S7" s="312"/>
      <c r="T7" s="312"/>
      <c r="U7" s="312"/>
      <c r="V7" s="313"/>
    </row>
    <row r="8" spans="1:22" ht="114.75" customHeight="1" x14ac:dyDescent="0.3">
      <c r="A8" s="481" t="s">
        <v>371</v>
      </c>
      <c r="B8" s="417" t="s">
        <v>375</v>
      </c>
      <c r="C8" s="482" t="s">
        <v>384</v>
      </c>
      <c r="D8" s="482" t="s">
        <v>327</v>
      </c>
      <c r="E8" s="311"/>
      <c r="F8" s="311"/>
      <c r="G8" s="311"/>
      <c r="H8" s="311"/>
      <c r="I8" s="311"/>
      <c r="J8" s="311"/>
      <c r="K8" s="312"/>
      <c r="L8" s="310"/>
      <c r="M8" s="312"/>
      <c r="N8" s="312"/>
      <c r="O8" s="312"/>
      <c r="P8" s="312"/>
      <c r="Q8" s="312"/>
      <c r="R8" s="312"/>
      <c r="S8" s="312"/>
      <c r="T8" s="312"/>
      <c r="U8" s="312"/>
      <c r="V8" s="313"/>
    </row>
    <row r="9" spans="1:22" ht="20.25" customHeight="1" x14ac:dyDescent="0.3">
      <c r="A9" s="481"/>
      <c r="B9" s="486" t="s">
        <v>376</v>
      </c>
      <c r="C9" s="482"/>
      <c r="D9" s="482"/>
      <c r="E9" s="311"/>
      <c r="F9" s="311"/>
      <c r="G9" s="311"/>
      <c r="H9" s="311"/>
      <c r="I9" s="311"/>
      <c r="J9" s="311"/>
      <c r="K9" s="312"/>
      <c r="L9" s="310"/>
      <c r="M9" s="312"/>
      <c r="N9" s="312"/>
      <c r="O9" s="312"/>
      <c r="P9" s="312"/>
      <c r="Q9" s="312"/>
      <c r="R9" s="312"/>
      <c r="S9" s="312"/>
      <c r="T9" s="312"/>
      <c r="U9" s="312"/>
      <c r="V9" s="313"/>
    </row>
    <row r="10" spans="1:22" ht="49.5" customHeight="1" x14ac:dyDescent="0.3">
      <c r="A10" s="481"/>
      <c r="B10" s="487"/>
      <c r="C10" s="482"/>
      <c r="D10" s="482"/>
      <c r="E10" s="311"/>
      <c r="F10" s="311"/>
      <c r="G10" s="311"/>
      <c r="H10" s="311"/>
      <c r="I10" s="311"/>
      <c r="J10" s="311"/>
      <c r="K10" s="312"/>
      <c r="L10" s="310"/>
      <c r="M10" s="312"/>
      <c r="N10" s="312"/>
      <c r="O10" s="312"/>
      <c r="P10" s="312"/>
      <c r="Q10" s="312"/>
      <c r="R10" s="312"/>
      <c r="S10" s="312"/>
      <c r="T10" s="312"/>
      <c r="U10" s="312"/>
      <c r="V10" s="313"/>
    </row>
    <row r="11" spans="1:22" ht="20.25" customHeight="1" x14ac:dyDescent="0.3">
      <c r="A11" s="483" t="s">
        <v>372</v>
      </c>
      <c r="B11" s="486" t="s">
        <v>377</v>
      </c>
      <c r="C11" s="482" t="s">
        <v>383</v>
      </c>
      <c r="D11" s="482" t="s">
        <v>382</v>
      </c>
      <c r="E11" s="311"/>
      <c r="F11" s="311"/>
      <c r="G11" s="311"/>
      <c r="H11" s="311"/>
      <c r="I11" s="311"/>
      <c r="J11" s="311"/>
      <c r="K11" s="312"/>
      <c r="L11" s="310"/>
      <c r="M11" s="312"/>
      <c r="N11" s="312"/>
      <c r="O11" s="312"/>
      <c r="P11" s="312"/>
      <c r="Q11" s="312"/>
      <c r="R11" s="312"/>
      <c r="S11" s="312"/>
      <c r="T11" s="312"/>
      <c r="U11" s="312"/>
      <c r="V11" s="313"/>
    </row>
    <row r="12" spans="1:22" ht="20.25" customHeight="1" x14ac:dyDescent="0.3">
      <c r="A12" s="484"/>
      <c r="B12" s="488"/>
      <c r="C12" s="482"/>
      <c r="D12" s="482"/>
      <c r="E12" s="311"/>
      <c r="F12" s="311"/>
      <c r="G12" s="311"/>
      <c r="H12" s="311"/>
      <c r="I12" s="311"/>
      <c r="J12" s="311"/>
      <c r="K12" s="312"/>
      <c r="L12" s="310"/>
      <c r="M12" s="312"/>
      <c r="N12" s="312"/>
      <c r="O12" s="312"/>
      <c r="P12" s="312"/>
      <c r="Q12" s="312"/>
      <c r="R12" s="312"/>
      <c r="S12" s="312"/>
      <c r="T12" s="312"/>
      <c r="U12" s="312"/>
      <c r="V12" s="313"/>
    </row>
    <row r="13" spans="1:22" ht="69" customHeight="1" x14ac:dyDescent="0.3">
      <c r="A13" s="485"/>
      <c r="B13" s="487"/>
      <c r="C13" s="482"/>
      <c r="D13" s="482"/>
      <c r="E13" s="311"/>
      <c r="F13" s="311"/>
      <c r="G13" s="311"/>
      <c r="H13" s="311"/>
      <c r="I13" s="311"/>
      <c r="J13" s="311"/>
      <c r="K13" s="312"/>
      <c r="L13" s="310"/>
      <c r="M13" s="312"/>
      <c r="N13" s="312"/>
      <c r="O13" s="312"/>
      <c r="P13" s="312"/>
      <c r="Q13" s="312"/>
      <c r="R13" s="312"/>
      <c r="S13" s="312"/>
      <c r="T13" s="312"/>
      <c r="U13" s="312"/>
      <c r="V13" s="313"/>
    </row>
    <row r="14" spans="1:22" ht="30.75" customHeight="1" x14ac:dyDescent="0.3">
      <c r="A14" s="483" t="s">
        <v>373</v>
      </c>
      <c r="B14" s="486" t="s">
        <v>378</v>
      </c>
      <c r="C14" s="482" t="s">
        <v>381</v>
      </c>
      <c r="D14" s="482" t="s">
        <v>382</v>
      </c>
      <c r="E14" s="311"/>
      <c r="F14" s="311"/>
      <c r="G14" s="311"/>
      <c r="H14" s="311"/>
      <c r="I14" s="311"/>
      <c r="J14" s="311"/>
      <c r="K14" s="312"/>
      <c r="L14" s="310"/>
      <c r="M14" s="312"/>
      <c r="N14" s="312"/>
      <c r="O14" s="312"/>
      <c r="P14" s="312"/>
      <c r="Q14" s="312"/>
      <c r="R14" s="312"/>
      <c r="S14" s="312"/>
      <c r="T14" s="312"/>
      <c r="U14" s="312"/>
      <c r="V14" s="313"/>
    </row>
    <row r="15" spans="1:22" ht="30.75" customHeight="1" x14ac:dyDescent="0.3">
      <c r="A15" s="484"/>
      <c r="B15" s="488"/>
      <c r="C15" s="482"/>
      <c r="D15" s="482"/>
      <c r="E15" s="311"/>
      <c r="F15" s="311"/>
      <c r="G15" s="311"/>
      <c r="H15" s="311"/>
      <c r="I15" s="311"/>
      <c r="J15" s="311"/>
      <c r="K15" s="312"/>
      <c r="L15" s="310"/>
      <c r="M15" s="312"/>
      <c r="N15" s="312"/>
      <c r="O15" s="312"/>
      <c r="P15" s="312"/>
      <c r="Q15" s="312"/>
      <c r="R15" s="312"/>
      <c r="S15" s="312"/>
      <c r="T15" s="312"/>
      <c r="U15" s="312"/>
      <c r="V15" s="313"/>
    </row>
    <row r="16" spans="1:22" ht="30.75" customHeight="1" x14ac:dyDescent="0.3">
      <c r="A16" s="484"/>
      <c r="B16" s="488"/>
      <c r="C16" s="482"/>
      <c r="D16" s="482"/>
      <c r="E16" s="311"/>
      <c r="F16" s="311"/>
      <c r="G16" s="311"/>
      <c r="H16" s="311"/>
      <c r="I16" s="311"/>
      <c r="J16" s="311"/>
      <c r="K16" s="312"/>
      <c r="L16" s="310"/>
      <c r="M16" s="312"/>
      <c r="N16" s="312"/>
      <c r="O16" s="312"/>
      <c r="P16" s="312"/>
      <c r="Q16" s="312"/>
      <c r="R16" s="312"/>
      <c r="S16" s="312"/>
      <c r="T16" s="312"/>
      <c r="U16" s="312"/>
      <c r="V16" s="313"/>
    </row>
    <row r="17" spans="1:22" ht="30.75" customHeight="1" x14ac:dyDescent="0.3">
      <c r="A17" s="485"/>
      <c r="B17" s="487"/>
      <c r="C17" s="482"/>
      <c r="D17" s="482"/>
      <c r="E17" s="311"/>
      <c r="F17" s="311"/>
      <c r="G17" s="311"/>
      <c r="H17" s="311"/>
      <c r="I17" s="311"/>
      <c r="J17" s="311"/>
      <c r="K17" s="312"/>
      <c r="L17" s="310"/>
      <c r="M17" s="312"/>
      <c r="N17" s="312"/>
      <c r="O17" s="312"/>
      <c r="P17" s="312"/>
      <c r="Q17" s="312"/>
      <c r="R17" s="312"/>
      <c r="S17" s="312"/>
      <c r="T17" s="312"/>
      <c r="U17" s="312"/>
      <c r="V17" s="313"/>
    </row>
    <row r="18" spans="1:22" ht="89.25" customHeight="1" x14ac:dyDescent="0.3">
      <c r="A18" s="416" t="s">
        <v>374</v>
      </c>
      <c r="B18" s="418" t="s">
        <v>379</v>
      </c>
      <c r="C18" s="414" t="s">
        <v>380</v>
      </c>
      <c r="D18" s="414"/>
      <c r="E18" s="311"/>
      <c r="F18" s="311"/>
      <c r="G18" s="311"/>
      <c r="H18" s="311"/>
      <c r="I18" s="311"/>
      <c r="J18" s="311"/>
      <c r="K18" s="312"/>
      <c r="L18" s="310"/>
      <c r="M18" s="312"/>
      <c r="N18" s="312"/>
      <c r="O18" s="312"/>
      <c r="P18" s="312"/>
      <c r="Q18" s="312"/>
      <c r="R18" s="312"/>
      <c r="S18" s="312"/>
      <c r="T18" s="312"/>
      <c r="U18" s="312"/>
      <c r="V18" s="313"/>
    </row>
    <row r="19" spans="1:22" ht="30.75" customHeight="1" thickBot="1" x14ac:dyDescent="0.35">
      <c r="A19" s="317"/>
      <c r="B19" s="320"/>
      <c r="C19" s="312"/>
      <c r="D19" s="310"/>
      <c r="E19" s="311"/>
      <c r="F19" s="311"/>
      <c r="G19" s="311"/>
      <c r="H19" s="311"/>
      <c r="I19" s="311"/>
      <c r="J19" s="311"/>
      <c r="K19" s="312"/>
      <c r="L19" s="310"/>
      <c r="M19" s="312"/>
      <c r="N19" s="312"/>
      <c r="O19" s="312"/>
      <c r="P19" s="312"/>
      <c r="Q19" s="312"/>
      <c r="R19" s="312"/>
      <c r="S19" s="312"/>
      <c r="T19" s="312"/>
      <c r="U19" s="312"/>
      <c r="V19" s="313"/>
    </row>
    <row r="20" spans="1:22" ht="15.75" customHeight="1" thickBot="1" x14ac:dyDescent="0.35">
      <c r="A20" s="321" t="s">
        <v>325</v>
      </c>
      <c r="B20" s="361" t="s">
        <v>336</v>
      </c>
      <c r="C20" s="312"/>
      <c r="D20" s="310"/>
      <c r="E20" s="311"/>
      <c r="F20" s="311"/>
      <c r="G20" s="311"/>
      <c r="H20" s="311"/>
      <c r="I20" s="311"/>
      <c r="J20" s="311"/>
      <c r="K20" s="312"/>
      <c r="L20" s="310"/>
      <c r="M20" s="312"/>
      <c r="N20" s="312"/>
      <c r="O20" s="312"/>
      <c r="P20" s="312"/>
      <c r="Q20" s="312"/>
      <c r="R20" s="312"/>
      <c r="S20" s="312"/>
      <c r="T20" s="312"/>
      <c r="U20" s="312"/>
      <c r="V20" s="313"/>
    </row>
    <row r="21" spans="1:22" ht="31.5" customHeight="1" thickBot="1" x14ac:dyDescent="0.3">
      <c r="A21" s="322" t="s">
        <v>326</v>
      </c>
      <c r="B21" s="361" t="s">
        <v>336</v>
      </c>
      <c r="C21" s="312"/>
      <c r="D21" s="312"/>
      <c r="E21" s="311"/>
      <c r="F21" s="311"/>
      <c r="G21" s="311"/>
      <c r="H21" s="311"/>
      <c r="I21" s="311"/>
      <c r="J21" s="311"/>
      <c r="K21" s="312"/>
      <c r="L21" s="312"/>
      <c r="M21" s="312"/>
      <c r="N21" s="312"/>
      <c r="O21" s="312"/>
      <c r="P21" s="312"/>
      <c r="Q21" s="312"/>
      <c r="R21" s="312"/>
      <c r="S21" s="312"/>
      <c r="T21" s="312"/>
      <c r="U21" s="312"/>
      <c r="V21" s="313"/>
    </row>
    <row r="22" spans="1:22" ht="15.75" thickBot="1" x14ac:dyDescent="0.3">
      <c r="A22" s="321" t="s">
        <v>320</v>
      </c>
      <c r="B22" s="362" t="s">
        <v>370</v>
      </c>
      <c r="C22" s="323" t="str">
        <f>IF(B22="TP2",2016,IF(B22="TP3",2018,IF(B22="TP4",2020,"")))</f>
        <v/>
      </c>
      <c r="D22" s="312"/>
      <c r="E22" s="311"/>
      <c r="F22" s="311"/>
      <c r="G22" s="311"/>
      <c r="H22" s="311"/>
      <c r="I22" s="311"/>
      <c r="J22" s="311"/>
      <c r="K22" s="312"/>
      <c r="L22" s="312"/>
      <c r="M22" s="312"/>
      <c r="N22" s="312"/>
      <c r="O22" s="312"/>
      <c r="P22" s="312"/>
      <c r="Q22" s="312"/>
      <c r="R22" s="312"/>
      <c r="S22" s="312"/>
      <c r="T22" s="312"/>
      <c r="U22" s="312"/>
      <c r="V22" s="313"/>
    </row>
    <row r="23" spans="1:22" ht="15.75" thickBot="1" x14ac:dyDescent="0.3">
      <c r="A23" s="324"/>
      <c r="B23" s="312"/>
      <c r="C23" s="312"/>
      <c r="D23" s="312"/>
      <c r="E23" s="311"/>
      <c r="F23" s="311"/>
      <c r="G23" s="311"/>
      <c r="H23" s="311"/>
      <c r="I23" s="311"/>
      <c r="J23" s="311"/>
      <c r="K23" s="312"/>
      <c r="L23" s="312"/>
      <c r="M23" s="312"/>
      <c r="N23" s="312"/>
      <c r="O23" s="312"/>
      <c r="P23" s="312"/>
      <c r="Q23" s="312"/>
      <c r="R23" s="312"/>
      <c r="S23" s="312"/>
      <c r="T23" s="312"/>
      <c r="U23" s="312"/>
      <c r="V23" s="313"/>
    </row>
    <row r="24" spans="1:22" ht="30.75" customHeight="1" thickBot="1" x14ac:dyDescent="0.3">
      <c r="A24" s="479" t="str">
        <f>IF(B20="Please Select","Please make selection in Cell B20",IF(OR(B20="1a",B20="1b"),"Check on Performance for most recent completed TP",IF(OR(B20=2,B20=3),"Check on Performance for recent 12 months of data",IF(B20=4, "Stringency test does not apply"))))</f>
        <v>Please make selection in Cell B20</v>
      </c>
      <c r="B24" s="480"/>
      <c r="C24" s="323" t="str">
        <f>IF(OR(B20="1a",B20="1b"),IF(B22="TP2","TP1",IF(B22="TP3","TP2",IF(B22="TP4","TP3","Please select TP"))),IF(OR(B20=2,B20=3),B21,""))</f>
        <v/>
      </c>
      <c r="D24" s="325" t="e">
        <f>IF(C24&lt;C22-2,"Please check you should use scenario 1",IF(C24&lt;C22-1,"Please check you may be able to use Scenario 1",""))</f>
        <v>#VALUE!</v>
      </c>
      <c r="E24" s="311"/>
      <c r="F24" s="311"/>
      <c r="G24" s="311"/>
      <c r="H24" s="311"/>
      <c r="I24" s="311"/>
      <c r="J24" s="311"/>
      <c r="K24" s="312"/>
      <c r="L24" s="312"/>
      <c r="M24" s="312"/>
      <c r="N24" s="312"/>
      <c r="O24" s="312"/>
      <c r="P24" s="312"/>
      <c r="Q24" s="312"/>
      <c r="R24" s="312"/>
      <c r="S24" s="312"/>
      <c r="T24" s="312"/>
      <c r="U24" s="312"/>
      <c r="V24" s="313"/>
    </row>
    <row r="25" spans="1:22" ht="15.75" hidden="1" customHeight="1" thickBot="1" x14ac:dyDescent="0.3">
      <c r="A25" s="324"/>
      <c r="B25" s="312"/>
      <c r="C25" s="363" t="str">
        <f>IF(OR(B20="1a",B20="1b"),C22-2,IF(OR(B20=2,B20=3),B21,""))</f>
        <v/>
      </c>
      <c r="D25" s="312"/>
      <c r="E25" s="311"/>
      <c r="F25" s="311"/>
      <c r="G25" s="311"/>
      <c r="H25" s="311"/>
      <c r="I25" s="311"/>
      <c r="J25" s="311"/>
      <c r="K25" s="312"/>
      <c r="L25" s="312"/>
      <c r="M25" s="312"/>
      <c r="N25" s="312"/>
      <c r="O25" s="312"/>
      <c r="P25" s="312"/>
      <c r="Q25" s="312"/>
      <c r="R25" s="312"/>
      <c r="S25" s="312"/>
      <c r="T25" s="312"/>
      <c r="U25" s="312"/>
      <c r="V25" s="313"/>
    </row>
    <row r="26" spans="1:22" ht="15.75" hidden="1" customHeight="1" thickBot="1" x14ac:dyDescent="0.3">
      <c r="A26" s="326" t="str">
        <f>IF(OR('Baseline Data'!B9="Absolute Energy",'Baseline Data'!B9="Absolute Carbon"),IF(B20=4,"","Absolute Target complete this table"),"")</f>
        <v/>
      </c>
      <c r="B26" s="327" t="str">
        <f>IF(OR('Baseline Data'!B9="Absolute Energy",'Baseline Data'!B9="Absolute Carbon"),IF(B20="Please Select","Please make selection in Cell B20",IF(OR(B20="1a",B20="1b"),IF(OR('Baseline Data'!B9="Absolute Carbon",'Baseline Data'!B9="Relative Carbon",'Baseline Data'!B9="Novem Carbon"),"Carbon in last TP","Energy in last TP"),IF(OR(B20=2,B20=3),IF(OR('Baseline Data'!B9="Absolute Carbon",'Baseline Data'!B9="Relative Carbon",'Baseline Data'!B9="Novem Carbon"),"Carbon in recent 12 months","Energy in recent 12 months"),IF(B20=4,"Stringency test does not apply")))),"")</f>
        <v/>
      </c>
      <c r="C26" s="328"/>
      <c r="D26" s="329"/>
      <c r="E26" s="330"/>
      <c r="F26" s="330"/>
      <c r="G26" s="330"/>
      <c r="H26" s="330"/>
      <c r="I26" s="330"/>
      <c r="J26" s="330"/>
      <c r="K26" s="331"/>
      <c r="L26" s="331"/>
      <c r="M26" s="312"/>
      <c r="N26" s="312"/>
      <c r="O26" s="312"/>
      <c r="P26" s="312"/>
      <c r="Q26" s="312"/>
      <c r="R26" s="312"/>
      <c r="S26" s="312"/>
      <c r="T26" s="312"/>
      <c r="U26" s="312"/>
      <c r="V26" s="313"/>
    </row>
    <row r="27" spans="1:22" ht="15.75" hidden="1" customHeight="1" thickBot="1" x14ac:dyDescent="0.3">
      <c r="A27" s="326" t="str">
        <f>IF(OR('Baseline Data'!B9="Absolute Energy",'Baseline Data'!B9="Absolute Carbon"),IF(OR(B20="1a",B20=2),"Existing TU",IF(OR(B20="1b",B20=3),"New TU","")),"")</f>
        <v/>
      </c>
      <c r="B27" s="293" t="e">
        <f>60000*(1-#REF!)-0.01</f>
        <v>#REF!</v>
      </c>
      <c r="C27" s="328"/>
      <c r="D27" s="332" t="s">
        <v>332</v>
      </c>
      <c r="E27" s="330"/>
      <c r="F27" s="330"/>
      <c r="G27" s="330"/>
      <c r="H27" s="330"/>
      <c r="I27" s="330"/>
      <c r="J27" s="330"/>
      <c r="K27" s="331"/>
      <c r="L27" s="331"/>
      <c r="M27" s="312"/>
      <c r="N27" s="312"/>
      <c r="O27" s="312"/>
      <c r="P27" s="312"/>
      <c r="Q27" s="312"/>
      <c r="R27" s="312"/>
      <c r="S27" s="312"/>
      <c r="T27" s="312"/>
      <c r="U27" s="312"/>
      <c r="V27" s="313"/>
    </row>
    <row r="28" spans="1:22" ht="15.75" hidden="1" customHeight="1" thickBot="1" x14ac:dyDescent="0.3">
      <c r="A28" s="326" t="str">
        <f>IF(OR('Baseline Data'!B9="Absolute Energy",'Baseline Data'!B9="Absolute Carbon"),IF(OR(B20="1a",B20=2),"Joining Facilities",""),"")</f>
        <v/>
      </c>
      <c r="B28" s="293"/>
      <c r="C28" s="328"/>
      <c r="D28" s="329"/>
      <c r="E28" s="330"/>
      <c r="F28" s="330"/>
      <c r="G28" s="330"/>
      <c r="H28" s="330"/>
      <c r="I28" s="330"/>
      <c r="J28" s="330"/>
      <c r="K28" s="331"/>
      <c r="L28" s="331"/>
      <c r="M28" s="312"/>
      <c r="N28" s="312"/>
      <c r="O28" s="312"/>
      <c r="P28" s="312"/>
      <c r="Q28" s="312"/>
      <c r="R28" s="312"/>
      <c r="S28" s="312"/>
      <c r="T28" s="312"/>
      <c r="U28" s="312"/>
      <c r="V28" s="313"/>
    </row>
    <row r="29" spans="1:22" ht="15.75" hidden="1" customHeight="1" thickBot="1" x14ac:dyDescent="0.3">
      <c r="A29" s="326" t="str">
        <f>IF(OR('Baseline Data'!B9="Absolute Energy",'Baseline Data'!B9="Absolute Carbon"),IF(OR(B20="1a",B20=2),"Leaving Facilities",""),"")</f>
        <v/>
      </c>
      <c r="B29" s="293"/>
      <c r="C29" s="328"/>
      <c r="D29" s="329"/>
      <c r="E29" s="330"/>
      <c r="F29" s="330"/>
      <c r="G29" s="330"/>
      <c r="H29" s="330"/>
      <c r="I29" s="330"/>
      <c r="J29" s="330"/>
      <c r="K29" s="331"/>
      <c r="L29" s="331"/>
      <c r="M29" s="312"/>
      <c r="N29" s="312"/>
      <c r="O29" s="312"/>
      <c r="P29" s="312"/>
      <c r="Q29" s="312"/>
      <c r="R29" s="312"/>
      <c r="S29" s="312"/>
      <c r="T29" s="312"/>
      <c r="U29" s="312"/>
      <c r="V29" s="313"/>
    </row>
    <row r="30" spans="1:22" ht="18.75" hidden="1" customHeight="1" thickBot="1" x14ac:dyDescent="0.3">
      <c r="A30" s="326" t="str">
        <f>IF(OR('Baseline Data'!B9="Absolute Energy",'Baseline Data'!B9="Absolute Carbon"),IF(B20=4,"","TU Performance"),"")</f>
        <v/>
      </c>
      <c r="B30" s="333" t="str">
        <f>IF(OR('Baseline Data'!B9="Absolute Energy",'Baseline Data'!B9="Absolute Carbon"),IF(OR(B20="1a",B20="1b"),SUM(B27:B29),SUM(B27:B29)*2),"")</f>
        <v/>
      </c>
      <c r="C30" s="334" t="str">
        <f>IF(OR('Baseline Data'!B9="Absolute Energy",'Baseline Data'!B9="Absolute Carbon"),IF(C22="","",IF(B30&lt;VLOOKUP(C22,#REF!,3,FALSE),"TP4 target tightened", "TP4 target not tightened")),"")</f>
        <v/>
      </c>
      <c r="D30" s="329"/>
      <c r="E30" s="330"/>
      <c r="F30" s="330"/>
      <c r="G30" s="330"/>
      <c r="H30" s="330"/>
      <c r="I30" s="330"/>
      <c r="J30" s="330"/>
      <c r="K30" s="331"/>
      <c r="L30" s="331"/>
      <c r="M30" s="312"/>
      <c r="N30" s="312"/>
      <c r="O30" s="312"/>
      <c r="P30" s="312"/>
      <c r="Q30" s="312"/>
      <c r="R30" s="312"/>
      <c r="S30" s="312"/>
      <c r="T30" s="312"/>
      <c r="U30" s="312"/>
      <c r="V30" s="313"/>
    </row>
    <row r="31" spans="1:22" ht="18.75" hidden="1" customHeight="1" thickBot="1" x14ac:dyDescent="0.3">
      <c r="A31" s="326" t="str">
        <f>IF(OR('Baseline Data'!B9="Absolute Energy",'Baseline Data'!B9="Absolute Carbon"),IF(B20=4,"","Adjustment ratio"),"")</f>
        <v/>
      </c>
      <c r="B31" s="333" t="str">
        <f>IF(OR('Baseline Data'!B9="Absolute Energy",'Baseline Data'!B9="Absolute Carbon"),IF(C30="TP4 target tightened",B30/VLOOKUP(C25,#REF!,3,FALSE),1),"")</f>
        <v/>
      </c>
      <c r="C31" s="335"/>
      <c r="D31" s="329"/>
      <c r="E31" s="330"/>
      <c r="F31" s="330"/>
      <c r="G31" s="330"/>
      <c r="H31" s="330"/>
      <c r="I31" s="330"/>
      <c r="J31" s="330"/>
      <c r="K31" s="331"/>
      <c r="L31" s="331"/>
      <c r="M31" s="312"/>
      <c r="N31" s="312"/>
      <c r="O31" s="312"/>
      <c r="P31" s="312"/>
      <c r="Q31" s="312"/>
      <c r="R31" s="312"/>
      <c r="S31" s="312"/>
      <c r="T31" s="312"/>
      <c r="U31" s="312"/>
      <c r="V31" s="313"/>
    </row>
    <row r="32" spans="1:22" ht="15.75" thickBot="1" x14ac:dyDescent="0.3">
      <c r="A32" s="312"/>
      <c r="B32" s="328"/>
      <c r="C32" s="328"/>
      <c r="D32" s="329"/>
      <c r="E32" s="330"/>
      <c r="F32" s="330"/>
      <c r="G32" s="330"/>
      <c r="H32" s="330"/>
      <c r="I32" s="330"/>
      <c r="J32" s="330"/>
      <c r="K32" s="331"/>
      <c r="L32" s="331"/>
      <c r="M32" s="312"/>
      <c r="N32" s="312"/>
      <c r="O32" s="312"/>
      <c r="P32" s="312"/>
      <c r="Q32" s="312"/>
      <c r="R32" s="312"/>
      <c r="S32" s="312"/>
      <c r="T32" s="312"/>
      <c r="U32" s="312"/>
      <c r="V32" s="313"/>
    </row>
    <row r="33" spans="1:22" ht="30.75" customHeight="1" thickBot="1" x14ac:dyDescent="0.3">
      <c r="A33" s="326" t="str">
        <f>IF(OR('Baseline Data'!B9="Relative Energy",'Baseline Data'!B9="Relative Carbon"),IF(B20=4,"","Relative Target complete this table"),"")</f>
        <v>Relative Target complete this table</v>
      </c>
      <c r="B33" s="327" t="str">
        <f>IF(OR('Baseline Data'!B9="Relative Energy",'Baseline Data'!B9="Relative Carbon"),IF(B20="Please Select","Please make selection in Cell B20",IF(OR(B20="1a",B20="1b"),IF(OR('Baseline Data'!B9="Absolute Carbon",'Baseline Data'!B9="Relative Carbon",'Baseline Data'!B9="Novem Carbon"),"Carbon in last TP","Energy in last TP"),IF(OR(B20=2,B20=3),IF(OR('Baseline Data'!B9="Absolute Carbon",'Baseline Data'!B9="Relative Carbon",'Baseline Data'!B9="Novem Carbon"),"Carbon in recent 12 months","Energy in recent 12 months"),IF(B20=4,"Stringency test does not apply")))),"")</f>
        <v>Please make selection in Cell B20</v>
      </c>
      <c r="C33" s="327" t="str">
        <f>IF(OR('Baseline Data'!B9="Relative Energy",'Baseline Data'!B9="Relative Carbon"),IF(B20="Please Select","Please make selection in Cell B20",IF(OR(B20="1a",B20="1b"),"Throughput in last TP",IF(OR(B20=2,B20=3),"Throughput in recent 12 months",IF(B20=4,"Stringency test does not apply")))),"")</f>
        <v>Please make selection in Cell B20</v>
      </c>
      <c r="D33" s="336"/>
      <c r="E33" s="337"/>
      <c r="F33" s="337"/>
      <c r="G33" s="337"/>
      <c r="H33" s="337"/>
      <c r="I33" s="337"/>
      <c r="J33" s="338"/>
      <c r="K33" s="338"/>
      <c r="L33" s="338"/>
      <c r="M33" s="312"/>
      <c r="N33" s="312"/>
      <c r="O33" s="312"/>
      <c r="P33" s="312"/>
      <c r="Q33" s="312"/>
      <c r="R33" s="312"/>
      <c r="S33" s="312"/>
      <c r="T33" s="312"/>
      <c r="U33" s="312"/>
      <c r="V33" s="313"/>
    </row>
    <row r="34" spans="1:22" ht="15" customHeight="1" thickBot="1" x14ac:dyDescent="0.3">
      <c r="A34" s="326" t="str">
        <f>IF(OR('Baseline Data'!B9="Relative Energy",'Baseline Data'!B9="Relative Carbon"),IF(OR(B20="1a",B20=2),"Existing TU",IF(OR(B20="1b",B20=3),"New TU","")),"")</f>
        <v/>
      </c>
      <c r="B34" s="293"/>
      <c r="C34" s="293"/>
      <c r="D34" s="339"/>
      <c r="E34" s="338"/>
      <c r="F34" s="338"/>
      <c r="G34" s="338"/>
      <c r="H34" s="338"/>
      <c r="I34" s="338"/>
      <c r="J34" s="338"/>
      <c r="K34" s="338"/>
      <c r="L34" s="338"/>
      <c r="M34" s="312"/>
      <c r="N34" s="312"/>
      <c r="O34" s="312"/>
      <c r="P34" s="312"/>
      <c r="Q34" s="312"/>
      <c r="R34" s="312"/>
      <c r="S34" s="312"/>
      <c r="T34" s="312"/>
      <c r="U34" s="312"/>
      <c r="V34" s="313"/>
    </row>
    <row r="35" spans="1:22" ht="15" customHeight="1" thickBot="1" x14ac:dyDescent="0.3">
      <c r="A35" s="326" t="str">
        <f>IF(OR('Baseline Data'!B9="Relative Energy",'Baseline Data'!B9="Relative Carbon"),IF(OR(B20="1a",B20=2),"Joining Facilities",""),"")</f>
        <v/>
      </c>
      <c r="B35" s="293"/>
      <c r="C35" s="293"/>
      <c r="D35" s="320"/>
      <c r="E35" s="340"/>
      <c r="F35" s="340"/>
      <c r="G35" s="340"/>
      <c r="H35" s="340"/>
      <c r="I35" s="340"/>
      <c r="J35" s="340"/>
      <c r="K35" s="341"/>
      <c r="L35" s="341"/>
      <c r="M35" s="312"/>
      <c r="N35" s="312"/>
      <c r="O35" s="312"/>
      <c r="P35" s="312"/>
      <c r="Q35" s="312"/>
      <c r="R35" s="312"/>
      <c r="S35" s="312"/>
      <c r="T35" s="312"/>
      <c r="U35" s="312"/>
      <c r="V35" s="313"/>
    </row>
    <row r="36" spans="1:22" ht="15.75" thickBot="1" x14ac:dyDescent="0.3">
      <c r="A36" s="326" t="str">
        <f>IF(OR('Baseline Data'!B9="Relative Energy",'Baseline Data'!B9="Relative Carbon"),IF(OR(B20="1a",B20=2),"Leaving Facilities (use negative values)",""),"")</f>
        <v/>
      </c>
      <c r="B36" s="293"/>
      <c r="C36" s="293"/>
      <c r="D36" s="320"/>
      <c r="E36" s="337"/>
      <c r="F36" s="337"/>
      <c r="G36" s="337"/>
      <c r="H36" s="337"/>
      <c r="I36" s="337"/>
      <c r="J36" s="342"/>
      <c r="K36" s="329"/>
      <c r="L36" s="331"/>
      <c r="M36" s="312"/>
      <c r="N36" s="312"/>
      <c r="O36" s="312"/>
      <c r="P36" s="312"/>
      <c r="Q36" s="312"/>
      <c r="R36" s="312"/>
      <c r="S36" s="312"/>
      <c r="T36" s="312"/>
      <c r="U36" s="312"/>
      <c r="V36" s="313"/>
    </row>
    <row r="37" spans="1:22" ht="15.75" thickBot="1" x14ac:dyDescent="0.3">
      <c r="A37" s="326" t="str">
        <f>IF(OR('Baseline Data'!B9="Relative Energy",'Baseline Data'!B9="Relative Carbon"),IF(OR(B20="1a",B20=2),"Revised TU",IF(OR(B20="1b",B20=3),"New TU","")),"")</f>
        <v/>
      </c>
      <c r="B37" s="333">
        <f>SUM(B34:B36)</f>
        <v>0</v>
      </c>
      <c r="C37" s="333">
        <f>SUM(C34:C36)</f>
        <v>0</v>
      </c>
      <c r="D37" s="343"/>
      <c r="E37" s="330"/>
      <c r="F37" s="330"/>
      <c r="G37" s="330"/>
      <c r="H37" s="330"/>
      <c r="I37" s="330"/>
      <c r="J37" s="330"/>
      <c r="K37" s="331"/>
      <c r="L37" s="331"/>
      <c r="M37" s="312"/>
      <c r="N37" s="312"/>
      <c r="O37" s="312"/>
      <c r="P37" s="312"/>
      <c r="Q37" s="312"/>
      <c r="R37" s="312"/>
      <c r="S37" s="312"/>
      <c r="T37" s="312"/>
      <c r="U37" s="312"/>
      <c r="V37" s="313"/>
    </row>
    <row r="38" spans="1:22" ht="18.75" thickBot="1" x14ac:dyDescent="0.3">
      <c r="A38" s="326" t="str">
        <f>IF(OR('Baseline Data'!B9="Relative Energy",'Baseline Data'!B9="Relative Carbon"),IF(B20=4,"","TU Performance SEC"),"")</f>
        <v>TU Performance SEC</v>
      </c>
      <c r="B38" s="344" t="str">
        <f>IF(C37=0,"",B37/C37)</f>
        <v/>
      </c>
      <c r="C38" s="334" t="str">
        <f>IF(OR('Baseline Data'!B9="Relative Energy",'Baseline Data'!B9="Relative Carbon"),IF(C22="","",IF(B38&lt;VLOOKUP(C22,B60:G69,6,FALSE),"TP4 target tightened", "TP4 target not tightened")),"")</f>
        <v/>
      </c>
      <c r="D38" s="345"/>
      <c r="E38" s="330"/>
      <c r="F38" s="330"/>
      <c r="G38" s="330"/>
      <c r="H38" s="330"/>
      <c r="I38" s="330"/>
      <c r="J38" s="330"/>
      <c r="K38" s="331"/>
      <c r="L38" s="331"/>
      <c r="M38" s="312"/>
      <c r="N38" s="312"/>
      <c r="O38" s="312"/>
      <c r="P38" s="312"/>
      <c r="Q38" s="312"/>
      <c r="R38" s="312"/>
      <c r="S38" s="312"/>
      <c r="T38" s="312"/>
      <c r="U38" s="312"/>
      <c r="V38" s="313"/>
    </row>
    <row r="39" spans="1:22" ht="18.75" thickBot="1" x14ac:dyDescent="0.3">
      <c r="A39" s="309" t="str">
        <f>IF(OR('Baseline Data'!B9="Relative Energy",'Baseline Data'!B9="Relative Carbon"),IF(B20=4,"","Adjustment ratio"),"")</f>
        <v>Adjustment ratio</v>
      </c>
      <c r="B39" s="344">
        <f>IF(OR('Baseline Data'!B9="Relative Energy",'Baseline Data'!B9="Relative Carbon"),IF(C38="TP4 target tightened",((B37-C37*1000)/$B$51)/VLOOKUP(C25,B60:H69,7,FALSE),1),"")</f>
        <v>1</v>
      </c>
      <c r="C39" s="335"/>
      <c r="D39" s="345"/>
      <c r="E39" s="330"/>
      <c r="F39" s="330"/>
      <c r="G39" s="330"/>
      <c r="H39" s="330"/>
      <c r="I39" s="330"/>
      <c r="J39" s="330"/>
      <c r="K39" s="331"/>
      <c r="L39" s="331"/>
      <c r="M39" s="312"/>
      <c r="N39" s="312"/>
      <c r="O39" s="312"/>
      <c r="P39" s="312"/>
      <c r="Q39" s="312"/>
      <c r="R39" s="312"/>
      <c r="S39" s="312"/>
      <c r="T39" s="312"/>
      <c r="U39" s="312"/>
      <c r="V39" s="313"/>
    </row>
    <row r="40" spans="1:22" ht="15.75" hidden="1" thickBot="1" x14ac:dyDescent="0.3">
      <c r="A40" s="312"/>
      <c r="B40" s="328"/>
      <c r="C40" s="328"/>
      <c r="D40" s="329"/>
      <c r="E40" s="330"/>
      <c r="F40" s="330"/>
      <c r="G40" s="330"/>
      <c r="H40" s="330"/>
      <c r="I40" s="330"/>
      <c r="J40" s="330"/>
      <c r="K40" s="331"/>
      <c r="L40" s="331"/>
      <c r="M40" s="312"/>
      <c r="N40" s="312"/>
      <c r="O40" s="312"/>
      <c r="P40" s="312"/>
      <c r="Q40" s="312"/>
      <c r="R40" s="312"/>
      <c r="S40" s="312"/>
      <c r="T40" s="312"/>
      <c r="U40" s="312"/>
      <c r="V40" s="313"/>
    </row>
    <row r="41" spans="1:22" ht="15.75" hidden="1" thickBot="1" x14ac:dyDescent="0.3">
      <c r="A41" s="326" t="str">
        <f>IF(OR('Baseline Data'!B9="Novem Energy",'Baseline Data'!B9="Novem Carbon"),IF(B20=4,"","Novem Target complete this table"),"")</f>
        <v/>
      </c>
      <c r="B41" s="327" t="str">
        <f>IF(OR('Baseline Data'!B9="Novem Energy",'Baseline Data'!B9="Novem Carbon"),IF(B20="Please Select","Please make selection in Cell B20",IF(OR(B20="1a",B20="1b"),IF(OR('Baseline Data'!B9="Absolute Carbon",'Baseline Data'!B9="Relative Carbon",'Baseline Data'!B9="Novem Carbon"),"Carbon % Target in last TP","Energy % Target in last TP"),IF(OR(B20=2,B20=3),IF(OR('Baseline Data'!B9="Absolute Carbon",'Baseline Data'!B9="Relative Carbon",'Baseline Data'!B9="Novem Carbon"),"Carbon % Target in recent 12 months","Energy % Target in recent 12 months"),IF(B20=4,"Stringency test does not apply")))),"")</f>
        <v/>
      </c>
      <c r="C41" s="328"/>
      <c r="D41" s="329"/>
      <c r="E41" s="330"/>
      <c r="F41" s="330"/>
      <c r="G41" s="330"/>
      <c r="H41" s="330"/>
      <c r="I41" s="330"/>
      <c r="J41" s="330"/>
      <c r="K41" s="331"/>
      <c r="L41" s="331"/>
      <c r="M41" s="312"/>
      <c r="N41" s="312"/>
      <c r="O41" s="312"/>
      <c r="P41" s="312"/>
      <c r="Q41" s="312"/>
      <c r="R41" s="312"/>
      <c r="S41" s="312"/>
      <c r="T41" s="312"/>
      <c r="U41" s="312"/>
      <c r="V41" s="313"/>
    </row>
    <row r="42" spans="1:22" ht="18.75" hidden="1" thickBot="1" x14ac:dyDescent="0.3">
      <c r="A42" s="326" t="str">
        <f>IF(OR('Baseline Data'!B9="Absolute Carbon",'Baseline Data'!B9="Relative Carbon",'Baseline Data'!B9="Absolute Energy",'Baseline Data'!B9="Relative Energy"),"",IF(B20=4,"","TU Performance %"))</f>
        <v/>
      </c>
      <c r="B42" s="304">
        <v>0.27510000000000001</v>
      </c>
      <c r="C42" s="334" t="str">
        <f>IF(OR('Baseline Data'!B9="Novem Energy",'Baseline Data'!B9="Novem Carbon"),IF(C22="","",IF(B42&gt;VLOOKUP(C22,#REF!,2,FALSE),"TP4 target tightened", "TP4 target not tightened")),"")</f>
        <v/>
      </c>
      <c r="D42" s="329"/>
      <c r="E42" s="330" t="s">
        <v>328</v>
      </c>
      <c r="F42" s="330"/>
      <c r="G42" s="330"/>
      <c r="H42" s="330"/>
      <c r="I42" s="330"/>
      <c r="J42" s="330"/>
      <c r="K42" s="331"/>
      <c r="L42" s="331"/>
      <c r="M42" s="312"/>
      <c r="N42" s="312"/>
      <c r="O42" s="312"/>
      <c r="P42" s="312"/>
      <c r="Q42" s="312"/>
      <c r="R42" s="312"/>
      <c r="S42" s="312"/>
      <c r="T42" s="312"/>
      <c r="U42" s="312"/>
      <c r="V42" s="313"/>
    </row>
    <row r="43" spans="1:22" ht="15.75" hidden="1" thickBot="1" x14ac:dyDescent="0.3">
      <c r="A43" s="309" t="str">
        <f>IF(OR('Baseline Data'!B9="Novem Energy",'Baseline Data'!B9="Novem Carbon"),IF(B20=4,"","Adjustment ratio"),"")</f>
        <v/>
      </c>
      <c r="B43" s="344" t="str">
        <f>IF(OR('Baseline Data'!B9="Novem Energy",'Baseline Data'!B9="Novem Carbon"),IF(C42="TP4 target tightened",B42/VLOOKUP(C25,#REF!,2,FALSE),1),"")</f>
        <v/>
      </c>
      <c r="C43" s="328"/>
      <c r="D43" s="329"/>
      <c r="E43" s="330"/>
      <c r="F43" s="330"/>
      <c r="G43" s="330"/>
      <c r="H43" s="330"/>
      <c r="I43" s="330"/>
      <c r="J43" s="330"/>
      <c r="K43" s="331"/>
      <c r="L43" s="331"/>
      <c r="M43" s="312"/>
      <c r="N43" s="312"/>
      <c r="O43" s="312"/>
      <c r="P43" s="312"/>
      <c r="Q43" s="312"/>
      <c r="R43" s="312"/>
      <c r="S43" s="312"/>
      <c r="T43" s="312"/>
      <c r="U43" s="312"/>
      <c r="V43" s="313"/>
    </row>
    <row r="44" spans="1:22" hidden="1" x14ac:dyDescent="0.25">
      <c r="A44" s="312"/>
      <c r="B44" s="328"/>
      <c r="C44" s="328"/>
      <c r="D44" s="329"/>
      <c r="E44" s="330"/>
      <c r="F44" s="330"/>
      <c r="G44" s="330"/>
      <c r="H44" s="330"/>
      <c r="I44" s="330"/>
      <c r="J44" s="330"/>
      <c r="K44" s="331"/>
      <c r="L44" s="331"/>
      <c r="M44" s="312"/>
      <c r="N44" s="312"/>
      <c r="O44" s="312"/>
      <c r="P44" s="312"/>
      <c r="Q44" s="312"/>
      <c r="R44" s="312"/>
      <c r="S44" s="312"/>
      <c r="T44" s="312"/>
      <c r="U44" s="312"/>
      <c r="V44" s="313"/>
    </row>
    <row r="45" spans="1:22" hidden="1" x14ac:dyDescent="0.25">
      <c r="A45" s="324"/>
      <c r="B45" s="328"/>
      <c r="C45" s="328"/>
      <c r="D45" s="345"/>
      <c r="E45" s="330"/>
      <c r="F45" s="330"/>
      <c r="G45" s="330"/>
      <c r="H45" s="330"/>
      <c r="I45" s="330"/>
      <c r="J45" s="330"/>
      <c r="K45" s="331"/>
      <c r="L45" s="331"/>
      <c r="M45" s="312"/>
      <c r="N45" s="312"/>
      <c r="O45" s="312"/>
      <c r="P45" s="312"/>
      <c r="Q45" s="312"/>
      <c r="R45" s="312"/>
      <c r="S45" s="312"/>
      <c r="T45" s="312"/>
      <c r="U45" s="312"/>
      <c r="V45" s="313"/>
    </row>
    <row r="46" spans="1:22" hidden="1" x14ac:dyDescent="0.25">
      <c r="A46" s="346"/>
      <c r="B46" s="345"/>
      <c r="C46" s="328"/>
      <c r="D46" s="345"/>
      <c r="E46" s="330"/>
      <c r="F46" s="330"/>
      <c r="G46" s="330"/>
      <c r="H46" s="330"/>
      <c r="I46" s="330"/>
      <c r="J46" s="330"/>
      <c r="K46" s="331"/>
      <c r="L46" s="331"/>
      <c r="M46" s="312"/>
      <c r="N46" s="312"/>
      <c r="O46" s="312"/>
      <c r="P46" s="312"/>
      <c r="Q46" s="312"/>
      <c r="R46" s="312"/>
      <c r="S46" s="312"/>
      <c r="T46" s="312"/>
      <c r="U46" s="312"/>
      <c r="V46" s="313"/>
    </row>
    <row r="47" spans="1:22" ht="15.75" thickBot="1" x14ac:dyDescent="0.3">
      <c r="A47" s="347"/>
      <c r="B47" s="348"/>
      <c r="C47" s="348"/>
      <c r="D47" s="348"/>
      <c r="E47" s="349"/>
      <c r="F47" s="349"/>
      <c r="G47" s="349"/>
      <c r="H47" s="349"/>
      <c r="I47" s="349"/>
      <c r="J47" s="349"/>
      <c r="K47" s="348"/>
      <c r="L47" s="348"/>
      <c r="M47" s="348"/>
      <c r="N47" s="348"/>
      <c r="O47" s="348"/>
      <c r="P47" s="348"/>
      <c r="Q47" s="348"/>
      <c r="R47" s="348"/>
      <c r="S47" s="348"/>
      <c r="T47" s="348"/>
      <c r="U47" s="348"/>
      <c r="V47" s="350"/>
    </row>
    <row r="48" spans="1:22" ht="33.75" customHeight="1" thickBot="1" x14ac:dyDescent="0.3">
      <c r="A48" s="398" t="s">
        <v>362</v>
      </c>
      <c r="B48" s="312"/>
      <c r="C48" s="312"/>
      <c r="D48" s="312"/>
      <c r="E48" s="311"/>
      <c r="F48" s="311"/>
      <c r="G48" s="311"/>
      <c r="H48" s="311"/>
      <c r="I48" s="311"/>
      <c r="J48" s="311"/>
      <c r="K48" s="312"/>
      <c r="L48" s="312"/>
      <c r="M48" s="312"/>
      <c r="N48" s="312"/>
      <c r="O48" s="312"/>
      <c r="P48" s="312"/>
      <c r="Q48" s="312"/>
      <c r="R48" s="312"/>
      <c r="S48" s="312"/>
      <c r="T48" s="312"/>
      <c r="U48" s="312"/>
      <c r="V48" s="308"/>
    </row>
    <row r="49" spans="1:22" ht="18.75" hidden="1" customHeight="1" thickBot="1" x14ac:dyDescent="0.3">
      <c r="A49" s="351" t="s">
        <v>68</v>
      </c>
      <c r="B49" s="352"/>
      <c r="C49" s="312"/>
      <c r="D49" s="312"/>
      <c r="E49" s="311"/>
      <c r="F49" s="311"/>
      <c r="G49" s="311"/>
      <c r="H49" s="311"/>
      <c r="I49" s="311"/>
      <c r="J49" s="311"/>
      <c r="K49" s="312"/>
      <c r="L49" s="312"/>
      <c r="M49" s="312"/>
      <c r="N49" s="312"/>
      <c r="O49" s="312"/>
      <c r="P49" s="312"/>
      <c r="Q49" s="312"/>
      <c r="R49" s="312"/>
      <c r="S49" s="312"/>
      <c r="T49" s="312"/>
      <c r="U49" s="312"/>
      <c r="V49" s="313"/>
    </row>
    <row r="50" spans="1:22" ht="15.75" thickBot="1" x14ac:dyDescent="0.3">
      <c r="A50" s="353" t="str">
        <f>'Baseline Data'!A10</f>
        <v>Target Unit Base Year</v>
      </c>
      <c r="B50" s="354" t="str">
        <f>'Baseline Data'!B10</f>
        <v>Please select</v>
      </c>
      <c r="C50" s="312"/>
      <c r="D50" s="312"/>
      <c r="E50" s="311"/>
      <c r="F50" s="311"/>
      <c r="G50" s="311"/>
      <c r="H50" s="311"/>
      <c r="I50" s="311"/>
      <c r="J50" s="311"/>
      <c r="K50" s="312"/>
      <c r="L50" s="312"/>
      <c r="M50" s="312"/>
      <c r="N50" s="312"/>
      <c r="O50" s="312"/>
      <c r="P50" s="312"/>
      <c r="Q50" s="312"/>
      <c r="R50" s="312"/>
      <c r="S50" s="312"/>
      <c r="T50" s="312"/>
      <c r="U50" s="312"/>
      <c r="V50" s="313"/>
    </row>
    <row r="51" spans="1:22" ht="30.75" thickBot="1" x14ac:dyDescent="0.3">
      <c r="A51" s="355" t="str">
        <f>'Baseline Data'!A14</f>
        <v>Throughput in BY (Adjusted if facility(s) have CHP in the EUETS)</v>
      </c>
      <c r="B51" s="302">
        <f>IF('Facility Data'!E63=0,'Facility Data'!$E$62,'Facility Data'!E65)</f>
        <v>0</v>
      </c>
      <c r="C51" s="312"/>
      <c r="D51" s="312"/>
      <c r="E51" s="311"/>
      <c r="F51" s="311"/>
      <c r="G51" s="311"/>
      <c r="H51" s="311"/>
      <c r="I51" s="311"/>
      <c r="J51" s="311"/>
      <c r="K51" s="312"/>
      <c r="L51" s="312"/>
      <c r="M51" s="312"/>
      <c r="N51" s="312"/>
      <c r="O51" s="312"/>
      <c r="P51" s="312"/>
      <c r="Q51" s="312"/>
      <c r="R51" s="312"/>
      <c r="S51" s="312"/>
      <c r="T51" s="312"/>
      <c r="U51" s="312"/>
      <c r="V51" s="313"/>
    </row>
    <row r="52" spans="1:22" ht="30.75" thickBot="1" x14ac:dyDescent="0.3">
      <c r="A52" s="355" t="str">
        <f>'Facility Data'!$A$73</f>
        <v>Please input TU Base Year in Baseline Data Tab</v>
      </c>
      <c r="B52" s="302">
        <f>'Facility Data'!$E$73</f>
        <v>0</v>
      </c>
      <c r="C52" s="312"/>
      <c r="D52" s="312"/>
      <c r="E52" s="311"/>
      <c r="F52" s="311"/>
      <c r="G52" s="311"/>
      <c r="H52" s="311"/>
      <c r="I52" s="311"/>
      <c r="J52" s="311"/>
      <c r="K52" s="312"/>
      <c r="L52" s="312"/>
      <c r="M52" s="312"/>
      <c r="N52" s="312"/>
      <c r="O52" s="312"/>
      <c r="P52" s="312"/>
      <c r="Q52" s="312"/>
      <c r="R52" s="312"/>
      <c r="S52" s="312"/>
      <c r="T52" s="312"/>
      <c r="U52" s="312"/>
      <c r="V52" s="313"/>
    </row>
    <row r="53" spans="1:22" ht="30.75" thickBot="1" x14ac:dyDescent="0.3">
      <c r="A53" s="309" t="s">
        <v>145</v>
      </c>
      <c r="B53" s="356">
        <f>'Baseline Data'!$B$20</f>
        <v>0</v>
      </c>
      <c r="C53" s="312"/>
      <c r="D53" s="312"/>
      <c r="E53" s="311"/>
      <c r="F53" s="311"/>
      <c r="G53" s="311"/>
      <c r="H53" s="311"/>
      <c r="I53" s="311"/>
      <c r="J53" s="311"/>
      <c r="K53" s="312"/>
      <c r="L53" s="312"/>
      <c r="M53" s="312"/>
      <c r="N53" s="312"/>
      <c r="O53" s="312"/>
      <c r="P53" s="312"/>
      <c r="Q53" s="312"/>
      <c r="R53" s="312"/>
      <c r="S53" s="312"/>
      <c r="T53" s="312"/>
      <c r="U53" s="312"/>
      <c r="V53" s="313"/>
    </row>
    <row r="54" spans="1:22" ht="15.75" thickBot="1" x14ac:dyDescent="0.3">
      <c r="A54" s="353" t="str">
        <f>'Facility Data'!$A$70</f>
        <v>Equivalent PUE in 2011 (PUEx1000)</v>
      </c>
      <c r="B54" s="302" t="e">
        <f>'Facility Data'!$E$70</f>
        <v>#DIV/0!</v>
      </c>
      <c r="C54" s="312"/>
      <c r="D54" s="312"/>
      <c r="E54" s="311"/>
      <c r="F54" s="311"/>
      <c r="G54" s="311"/>
      <c r="H54" s="311"/>
      <c r="I54" s="311"/>
      <c r="J54" s="311"/>
      <c r="K54" s="312"/>
      <c r="L54" s="312"/>
      <c r="M54" s="312"/>
      <c r="N54" s="312"/>
      <c r="O54" s="312"/>
      <c r="P54" s="312"/>
      <c r="Q54" s="312"/>
      <c r="R54" s="312"/>
      <c r="S54" s="312"/>
      <c r="T54" s="312"/>
      <c r="U54" s="312"/>
      <c r="V54" s="313"/>
    </row>
    <row r="55" spans="1:22" ht="31.5" customHeight="1" thickBot="1" x14ac:dyDescent="0.3">
      <c r="A55" s="353" t="str">
        <f>'Facility Data'!$A$74</f>
        <v>Please input TU Base Year in Baseline Data Tab</v>
      </c>
      <c r="B55" s="302" t="e">
        <f>'Facility Data'!E74</f>
        <v>#DIV/0!</v>
      </c>
      <c r="C55" s="357"/>
      <c r="D55" s="312"/>
      <c r="E55" s="311"/>
      <c r="F55" s="311"/>
      <c r="G55" s="311"/>
      <c r="H55" s="311"/>
      <c r="I55" s="311"/>
      <c r="J55" s="311"/>
      <c r="K55" s="312"/>
      <c r="L55" s="312"/>
      <c r="M55" s="312"/>
      <c r="N55" s="312"/>
      <c r="O55" s="312"/>
      <c r="P55" s="312"/>
      <c r="Q55" s="312"/>
      <c r="R55" s="312"/>
      <c r="S55" s="312"/>
      <c r="T55" s="312"/>
      <c r="U55" s="312"/>
      <c r="V55" s="313"/>
    </row>
    <row r="56" spans="1:22" ht="15.75" thickBot="1" x14ac:dyDescent="0.3">
      <c r="A56" s="309" t="s">
        <v>126</v>
      </c>
      <c r="B56" s="393" t="e">
        <f>IF(OR('Baseline Data'!B9="Absolute Energy",'Baseline Data'!B9="Absolute Carbon"),1-'Baseline Data'!B19/(('Baseline Data'!B19*'Baseline Data'!C21+1)/'Baseline Data'!C21),IF(OR('Baseline Data'!B9="Relative Energy",'Baseline Data'!B9="Relative Carbon"),1-('Baseline Data'!B19/'Baseline Data'!B14)/((('Baseline Data'!B19*'Baseline Data'!C21+1)/'Baseline Data'!C21)/(('Baseline Data'!B14*'Baseline Data'!C22-1)/'Baseline Data'!C22)),1-'Baseline Data'!B19/(('Baseline Data'!B19*'Baseline Data'!C21+1)/'Baseline Data'!C21)))</f>
        <v>#DIV/0!</v>
      </c>
      <c r="C56" s="357"/>
      <c r="D56" s="312"/>
      <c r="E56" s="311"/>
      <c r="F56" s="311"/>
      <c r="G56" s="311"/>
      <c r="H56" s="311"/>
      <c r="I56" s="311"/>
      <c r="J56" s="311"/>
      <c r="K56" s="312"/>
      <c r="L56" s="312"/>
      <c r="M56" s="312"/>
      <c r="N56" s="312"/>
      <c r="O56" s="312"/>
      <c r="P56" s="312"/>
      <c r="Q56" s="312"/>
      <c r="R56" s="312"/>
      <c r="S56" s="312"/>
      <c r="T56" s="312"/>
      <c r="U56" s="312"/>
      <c r="V56" s="313"/>
    </row>
    <row r="57" spans="1:22" x14ac:dyDescent="0.25">
      <c r="A57" s="389"/>
      <c r="B57" s="390"/>
      <c r="C57" s="387"/>
      <c r="D57" s="312"/>
      <c r="E57" s="311"/>
      <c r="F57" s="311"/>
      <c r="G57" s="311"/>
      <c r="H57" s="311"/>
      <c r="I57" s="311"/>
      <c r="J57" s="311"/>
      <c r="K57" s="312"/>
      <c r="L57" s="312"/>
      <c r="M57" s="312"/>
      <c r="N57" s="312"/>
      <c r="O57" s="312"/>
      <c r="P57" s="312"/>
      <c r="Q57" s="312"/>
      <c r="R57" s="312"/>
      <c r="S57" s="312"/>
      <c r="T57" s="312"/>
      <c r="U57" s="312"/>
      <c r="V57" s="313"/>
    </row>
    <row r="58" spans="1:22" ht="15.75" thickBot="1" x14ac:dyDescent="0.3">
      <c r="A58" s="391"/>
      <c r="B58" s="388"/>
      <c r="C58" s="387"/>
      <c r="D58" s="312"/>
      <c r="E58" s="311"/>
      <c r="F58" s="311"/>
      <c r="G58" s="311"/>
      <c r="H58" s="311"/>
      <c r="I58" s="311"/>
      <c r="J58" s="311"/>
      <c r="K58" s="312"/>
      <c r="L58" s="312"/>
      <c r="M58" s="312"/>
      <c r="N58" s="312"/>
      <c r="O58" s="312"/>
      <c r="P58" s="312"/>
      <c r="Q58" s="312"/>
      <c r="R58" s="312"/>
      <c r="S58" s="312"/>
      <c r="T58" s="312"/>
      <c r="U58" s="312"/>
      <c r="V58" s="313"/>
    </row>
    <row r="59" spans="1:22" ht="46.5" customHeight="1" thickBot="1" x14ac:dyDescent="0.3">
      <c r="A59" s="399"/>
      <c r="B59" s="358" t="s">
        <v>94</v>
      </c>
      <c r="C59" s="358" t="s">
        <v>167</v>
      </c>
      <c r="D59" s="358" t="s">
        <v>346</v>
      </c>
      <c r="E59" s="358" t="s">
        <v>352</v>
      </c>
      <c r="F59" s="358" t="str">
        <f>"Target % Improvement in TU BY of "&amp;B50&amp;""</f>
        <v>Target % Improvement in TU BY of Please select</v>
      </c>
      <c r="G59" s="358" t="s">
        <v>351</v>
      </c>
      <c r="H59" s="358" t="s">
        <v>353</v>
      </c>
      <c r="I59" s="358" t="s">
        <v>118</v>
      </c>
      <c r="J59" s="358" t="s">
        <v>347</v>
      </c>
      <c r="K59" s="400"/>
      <c r="L59" s="400"/>
      <c r="M59" s="400"/>
      <c r="N59" s="400"/>
      <c r="O59" s="329"/>
      <c r="P59" s="329"/>
      <c r="Q59" s="401"/>
      <c r="R59" s="402"/>
      <c r="S59" s="402"/>
      <c r="T59" s="402"/>
      <c r="U59" s="402"/>
      <c r="V59" s="401"/>
    </row>
    <row r="60" spans="1:22" ht="15" customHeight="1" thickBot="1" x14ac:dyDescent="0.3">
      <c r="A60" s="309" t="s">
        <v>348</v>
      </c>
      <c r="B60" s="358">
        <v>2011</v>
      </c>
      <c r="C60" s="403">
        <v>0</v>
      </c>
      <c r="D60" s="359" t="e">
        <f>(1-(C60*('Target Setting Rules'!$B$8*1000/('Target Setting Rules'!$B$8*1000-1000)*(($B$54-1000)/$B$54))))</f>
        <v>#DIV/0!</v>
      </c>
      <c r="E60" s="404" t="e">
        <f>1-D60</f>
        <v>#DIV/0!</v>
      </c>
      <c r="F60" s="404">
        <f>IF('Baseline Data'!$B$10&gt;B60,0,1-($C$72*(1-E60)))</f>
        <v>0</v>
      </c>
      <c r="G60" s="405" t="e">
        <f>$B$55*(1-F60)</f>
        <v>#DIV/0!</v>
      </c>
      <c r="H60" s="405" t="e">
        <f>(G60*$B$51-$B$51*1000)/$B$51</f>
        <v>#DIV/0!</v>
      </c>
      <c r="I60" s="405">
        <f>'Baseline Data'!$B$14*2</f>
        <v>0</v>
      </c>
      <c r="J60" s="404" t="e">
        <f t="shared" ref="J60:J62" si="0">ROUND(($B$55*(1-C60))/B$55-($B$55*(1-C60))/(B$55+B$56),3)</f>
        <v>#DIV/0!</v>
      </c>
      <c r="K60" s="406"/>
      <c r="L60" s="406"/>
      <c r="M60" s="406"/>
      <c r="N60" s="329"/>
      <c r="O60" s="329"/>
      <c r="P60" s="329"/>
      <c r="Q60" s="401"/>
      <c r="R60" s="402"/>
      <c r="S60" s="402"/>
      <c r="T60" s="402"/>
      <c r="U60" s="402"/>
      <c r="V60" s="401"/>
    </row>
    <row r="61" spans="1:22" ht="15" customHeight="1" thickBot="1" x14ac:dyDescent="0.3">
      <c r="A61" s="309"/>
      <c r="B61" s="358">
        <v>2012</v>
      </c>
      <c r="C61" s="392">
        <f>(C63-C60)*1/3</f>
        <v>3.3333333333333335E-3</v>
      </c>
      <c r="D61" s="359" t="e">
        <f>(1-(C61*('Target Setting Rules'!$B$8*1000/('Target Setting Rules'!$B$8*1000-1000)*(($B$54-1000)/$B$54))))</f>
        <v>#DIV/0!</v>
      </c>
      <c r="E61" s="404" t="e">
        <f>1-D61</f>
        <v>#DIV/0!</v>
      </c>
      <c r="F61" s="404">
        <f>IF('Baseline Data'!$B$10&gt;B61,0,1-($C$72*(1-E61)))</f>
        <v>0</v>
      </c>
      <c r="G61" s="405" t="e">
        <f t="shared" ref="G61:G69" si="1">$B$55*(1-F61)</f>
        <v>#DIV/0!</v>
      </c>
      <c r="H61" s="405" t="e">
        <f t="shared" ref="H61:H69" si="2">(G61*$B$51-$B$51*1000)/$B$51</f>
        <v>#DIV/0!</v>
      </c>
      <c r="I61" s="405">
        <f>'Baseline Data'!$B$14*2</f>
        <v>0</v>
      </c>
      <c r="J61" s="404" t="e">
        <f t="shared" si="0"/>
        <v>#DIV/0!</v>
      </c>
      <c r="K61" s="406"/>
      <c r="L61" s="406"/>
      <c r="M61" s="406"/>
      <c r="N61" s="407"/>
      <c r="O61" s="329"/>
      <c r="P61" s="329"/>
      <c r="Q61" s="401"/>
      <c r="R61" s="402"/>
      <c r="S61" s="402"/>
      <c r="T61" s="402"/>
      <c r="U61" s="408"/>
      <c r="V61" s="401"/>
    </row>
    <row r="62" spans="1:22" ht="15" customHeight="1" thickBot="1" x14ac:dyDescent="0.3">
      <c r="A62" s="309"/>
      <c r="B62" s="358">
        <v>2013</v>
      </c>
      <c r="C62" s="392">
        <f>(C63-C60)*2/3</f>
        <v>6.6666666666666671E-3</v>
      </c>
      <c r="D62" s="359" t="e">
        <f>(1-(C62*('Target Setting Rules'!$B$8*1000/('Target Setting Rules'!$B$8*1000-1000)*(($B$54-1000)/$B$54))))</f>
        <v>#DIV/0!</v>
      </c>
      <c r="E62" s="404" t="e">
        <f t="shared" ref="E62" si="3">1-D62</f>
        <v>#DIV/0!</v>
      </c>
      <c r="F62" s="404">
        <f>IF('Baseline Data'!$B$10&gt;B62,0,1-($C$72*(1-E62)))</f>
        <v>0</v>
      </c>
      <c r="G62" s="405" t="e">
        <f t="shared" si="1"/>
        <v>#DIV/0!</v>
      </c>
      <c r="H62" s="405" t="e">
        <f t="shared" si="2"/>
        <v>#DIV/0!</v>
      </c>
      <c r="I62" s="405">
        <f>'Baseline Data'!$B$14*2</f>
        <v>0</v>
      </c>
      <c r="J62" s="404" t="e">
        <f t="shared" si="0"/>
        <v>#DIV/0!</v>
      </c>
      <c r="K62" s="406"/>
      <c r="L62" s="406"/>
      <c r="M62" s="406"/>
      <c r="N62" s="407"/>
      <c r="O62" s="329"/>
      <c r="P62" s="329"/>
      <c r="Q62" s="401"/>
      <c r="R62" s="402"/>
      <c r="S62" s="402"/>
      <c r="T62" s="402"/>
      <c r="U62" s="408"/>
      <c r="V62" s="401"/>
    </row>
    <row r="63" spans="1:22" ht="15" customHeight="1" thickBot="1" x14ac:dyDescent="0.3">
      <c r="A63" s="309" t="s">
        <v>69</v>
      </c>
      <c r="B63" s="358">
        <v>2014</v>
      </c>
      <c r="C63" s="392">
        <f>'Target Setting Rules'!C12</f>
        <v>0.01</v>
      </c>
      <c r="D63" s="359" t="e">
        <f>(1-(C63*('Target Setting Rules'!$B$8*1000/('Target Setting Rules'!$B$8*1000-1000)*(($B$54-1000)/$B$54))))</f>
        <v>#DIV/0!</v>
      </c>
      <c r="E63" s="404" t="e">
        <f>1-D63</f>
        <v>#DIV/0!</v>
      </c>
      <c r="F63" s="404">
        <f>IF('Baseline Data'!$B$10&gt;B63,0,1-($C$72*(1-E63)))</f>
        <v>0</v>
      </c>
      <c r="G63" s="405" t="e">
        <f t="shared" si="1"/>
        <v>#DIV/0!</v>
      </c>
      <c r="H63" s="405" t="e">
        <f t="shared" si="2"/>
        <v>#DIV/0!</v>
      </c>
      <c r="I63" s="405">
        <f>'Baseline Data'!$B$14*2</f>
        <v>0</v>
      </c>
      <c r="J63" s="404" t="e">
        <f>ROUND(($B$55*(1-C63))/B$55-($B$55*(1-C63))/(B$55+B$56),3)</f>
        <v>#DIV/0!</v>
      </c>
      <c r="K63" s="406"/>
      <c r="L63" s="406"/>
      <c r="M63" s="406"/>
      <c r="N63" s="407"/>
      <c r="O63" s="329"/>
      <c r="P63" s="329"/>
      <c r="Q63" s="401"/>
      <c r="R63" s="402"/>
      <c r="S63" s="402"/>
      <c r="T63" s="402"/>
      <c r="U63" s="408"/>
      <c r="V63" s="401"/>
    </row>
    <row r="64" spans="1:22" ht="15" customHeight="1" thickBot="1" x14ac:dyDescent="0.3">
      <c r="A64" s="309"/>
      <c r="B64" s="358">
        <v>2015</v>
      </c>
      <c r="C64" s="392">
        <f>(C65-C63)/2+C63</f>
        <v>4.6665000000000005E-2</v>
      </c>
      <c r="D64" s="359" t="e">
        <f>(1-(C64*('Target Setting Rules'!$B$8*1000/('Target Setting Rules'!$B$8*1000-1000)*(($B$54-1000)/$B$54))))</f>
        <v>#DIV/0!</v>
      </c>
      <c r="E64" s="404" t="e">
        <f t="shared" ref="E64:E69" si="4">1-D64</f>
        <v>#DIV/0!</v>
      </c>
      <c r="F64" s="404">
        <f>IF('Baseline Data'!$B$10&gt;B64,0,1-($C$72*(1-E64)))</f>
        <v>0</v>
      </c>
      <c r="G64" s="405" t="e">
        <f t="shared" si="1"/>
        <v>#DIV/0!</v>
      </c>
      <c r="H64" s="405" t="e">
        <f t="shared" si="2"/>
        <v>#DIV/0!</v>
      </c>
      <c r="I64" s="405">
        <f>'Baseline Data'!$B$14*2</f>
        <v>0</v>
      </c>
      <c r="J64" s="404" t="e">
        <f t="shared" ref="J64:J69" si="5">ROUND(($B$55*(1-C64))/B$55-($B$55*(1-C64))/(B$55+B$56),3)</f>
        <v>#DIV/0!</v>
      </c>
      <c r="K64" s="406"/>
      <c r="L64" s="406"/>
      <c r="M64" s="406"/>
      <c r="N64" s="407"/>
      <c r="O64" s="329"/>
      <c r="P64" s="329"/>
      <c r="Q64" s="401"/>
      <c r="R64" s="402"/>
      <c r="S64" s="402"/>
      <c r="T64" s="402"/>
      <c r="U64" s="408"/>
      <c r="V64" s="401"/>
    </row>
    <row r="65" spans="1:22" ht="15" customHeight="1" thickBot="1" x14ac:dyDescent="0.3">
      <c r="A65" s="309" t="s">
        <v>70</v>
      </c>
      <c r="B65" s="358">
        <v>2016</v>
      </c>
      <c r="C65" s="392">
        <f>'Target Setting Rules'!C13</f>
        <v>8.3330000000000001E-2</v>
      </c>
      <c r="D65" s="359" t="e">
        <f>(1-(C65*('Target Setting Rules'!$B$8*1000/('Target Setting Rules'!$B$8*1000-1000)*(($B$54-1000)/$B$54))))</f>
        <v>#DIV/0!</v>
      </c>
      <c r="E65" s="404" t="e">
        <f t="shared" si="4"/>
        <v>#DIV/0!</v>
      </c>
      <c r="F65" s="404">
        <f>IF('Baseline Data'!$B$10&gt;B65,0,1-($C$72*(1-E65)))</f>
        <v>0</v>
      </c>
      <c r="G65" s="405" t="e">
        <f t="shared" si="1"/>
        <v>#DIV/0!</v>
      </c>
      <c r="H65" s="405" t="e">
        <f t="shared" si="2"/>
        <v>#DIV/0!</v>
      </c>
      <c r="I65" s="405">
        <f>'Baseline Data'!$B$14*2</f>
        <v>0</v>
      </c>
      <c r="J65" s="404" t="e">
        <f t="shared" si="5"/>
        <v>#DIV/0!</v>
      </c>
      <c r="K65" s="406"/>
      <c r="L65" s="406"/>
      <c r="M65" s="406"/>
      <c r="N65" s="407"/>
      <c r="O65" s="329"/>
      <c r="P65" s="329"/>
      <c r="Q65" s="401"/>
      <c r="R65" s="402"/>
      <c r="S65" s="402"/>
      <c r="T65" s="402"/>
      <c r="U65" s="408"/>
      <c r="V65" s="401"/>
    </row>
    <row r="66" spans="1:22" ht="15" customHeight="1" thickBot="1" x14ac:dyDescent="0.3">
      <c r="A66" s="309"/>
      <c r="B66" s="358">
        <v>2017</v>
      </c>
      <c r="C66" s="392">
        <f>(C67-C65)/2+C65</f>
        <v>0.11041500000000001</v>
      </c>
      <c r="D66" s="359" t="e">
        <f>(1-(C66*('Target Setting Rules'!$B$8*1000/('Target Setting Rules'!$B$8*1000-1000)*(($B$54-1000)/$B$54))))</f>
        <v>#DIV/0!</v>
      </c>
      <c r="E66" s="404" t="e">
        <f t="shared" si="4"/>
        <v>#DIV/0!</v>
      </c>
      <c r="F66" s="404">
        <f>IF('Baseline Data'!$B$10&gt;B66,0,1-($C$72*(1-E66)))</f>
        <v>0</v>
      </c>
      <c r="G66" s="405" t="e">
        <f t="shared" si="1"/>
        <v>#DIV/0!</v>
      </c>
      <c r="H66" s="405" t="e">
        <f t="shared" si="2"/>
        <v>#DIV/0!</v>
      </c>
      <c r="I66" s="405">
        <f>'Baseline Data'!$B$14*2</f>
        <v>0</v>
      </c>
      <c r="J66" s="404" t="e">
        <f t="shared" si="5"/>
        <v>#DIV/0!</v>
      </c>
      <c r="K66" s="406"/>
      <c r="L66" s="406"/>
      <c r="M66" s="406"/>
      <c r="N66" s="407"/>
      <c r="O66" s="329"/>
      <c r="P66" s="329"/>
      <c r="Q66" s="401"/>
      <c r="R66" s="402"/>
      <c r="S66" s="402"/>
      <c r="T66" s="402"/>
      <c r="U66" s="408"/>
      <c r="V66" s="401"/>
    </row>
    <row r="67" spans="1:22" ht="15" customHeight="1" thickBot="1" x14ac:dyDescent="0.3">
      <c r="A67" s="309" t="s">
        <v>71</v>
      </c>
      <c r="B67" s="358">
        <v>2018</v>
      </c>
      <c r="C67" s="392">
        <f>'Target Setting Rules'!C14</f>
        <v>0.13750000000000001</v>
      </c>
      <c r="D67" s="359" t="e">
        <f>(1-(C67*('Target Setting Rules'!$B$8*1000/('Target Setting Rules'!$B$8*1000-1000)*(($B$54-1000)/$B$54))))</f>
        <v>#DIV/0!</v>
      </c>
      <c r="E67" s="404" t="e">
        <f t="shared" si="4"/>
        <v>#DIV/0!</v>
      </c>
      <c r="F67" s="404">
        <f>IF('Baseline Data'!$B$10&gt;B67,0,1-($C$72*(1-E67)))</f>
        <v>0</v>
      </c>
      <c r="G67" s="405" t="e">
        <f t="shared" si="1"/>
        <v>#DIV/0!</v>
      </c>
      <c r="H67" s="405" t="e">
        <f t="shared" si="2"/>
        <v>#DIV/0!</v>
      </c>
      <c r="I67" s="405">
        <f>'Baseline Data'!$B$14*2</f>
        <v>0</v>
      </c>
      <c r="J67" s="404" t="e">
        <f t="shared" si="5"/>
        <v>#DIV/0!</v>
      </c>
      <c r="K67" s="406"/>
      <c r="L67" s="406"/>
      <c r="M67" s="406"/>
      <c r="N67" s="407"/>
      <c r="O67" s="329"/>
      <c r="P67" s="329"/>
      <c r="Q67" s="401"/>
      <c r="R67" s="402"/>
      <c r="S67" s="402"/>
      <c r="T67" s="402"/>
      <c r="U67" s="408"/>
      <c r="V67" s="401"/>
    </row>
    <row r="68" spans="1:22" ht="15" customHeight="1" thickBot="1" x14ac:dyDescent="0.3">
      <c r="A68" s="309"/>
      <c r="B68" s="358">
        <v>2019</v>
      </c>
      <c r="C68" s="392">
        <f>(C69-C67)/2+C67</f>
        <v>0.14374999999999999</v>
      </c>
      <c r="D68" s="359" t="e">
        <f>(1-(C68*('Target Setting Rules'!$B$8*1000/('Target Setting Rules'!$B$8*1000-1000)*(($B$54-1000)/$B$54))))</f>
        <v>#DIV/0!</v>
      </c>
      <c r="E68" s="404" t="e">
        <f t="shared" si="4"/>
        <v>#DIV/0!</v>
      </c>
      <c r="F68" s="404">
        <f>IF('Baseline Data'!$B$10&gt;B68,0,1-($C$72*(1-E68)))</f>
        <v>0</v>
      </c>
      <c r="G68" s="405" t="e">
        <f t="shared" si="1"/>
        <v>#DIV/0!</v>
      </c>
      <c r="H68" s="405" t="e">
        <f t="shared" si="2"/>
        <v>#DIV/0!</v>
      </c>
      <c r="I68" s="405">
        <f>'Baseline Data'!$B$14*2</f>
        <v>0</v>
      </c>
      <c r="J68" s="404" t="e">
        <f t="shared" si="5"/>
        <v>#DIV/0!</v>
      </c>
      <c r="K68" s="406"/>
      <c r="L68" s="406"/>
      <c r="M68" s="406"/>
      <c r="N68" s="407"/>
      <c r="O68" s="329"/>
      <c r="P68" s="329"/>
      <c r="Q68" s="401"/>
      <c r="R68" s="402"/>
      <c r="S68" s="402"/>
      <c r="T68" s="402"/>
      <c r="U68" s="408"/>
      <c r="V68" s="401"/>
    </row>
    <row r="69" spans="1:22" ht="15" customHeight="1" thickBot="1" x14ac:dyDescent="0.3">
      <c r="A69" s="309" t="s">
        <v>72</v>
      </c>
      <c r="B69" s="358">
        <v>2020</v>
      </c>
      <c r="C69" s="392">
        <f>'Target Setting Rules'!C15</f>
        <v>0.15</v>
      </c>
      <c r="D69" s="359" t="e">
        <f>(1-(C69*('Target Setting Rules'!$B$8*1000/('Target Setting Rules'!$B$8*1000-1000)*(($B$54-1000)/$B$54))))</f>
        <v>#DIV/0!</v>
      </c>
      <c r="E69" s="404" t="e">
        <f t="shared" si="4"/>
        <v>#DIV/0!</v>
      </c>
      <c r="F69" s="404">
        <f>IF('Baseline Data'!$B$10&gt;B69,0,1-($C$72*(1-E69)))</f>
        <v>0</v>
      </c>
      <c r="G69" s="405" t="e">
        <f t="shared" si="1"/>
        <v>#DIV/0!</v>
      </c>
      <c r="H69" s="405" t="e">
        <f t="shared" si="2"/>
        <v>#DIV/0!</v>
      </c>
      <c r="I69" s="405">
        <f>'Baseline Data'!$B$14*2</f>
        <v>0</v>
      </c>
      <c r="J69" s="404" t="e">
        <f t="shared" si="5"/>
        <v>#DIV/0!</v>
      </c>
      <c r="K69" s="406"/>
      <c r="L69" s="406"/>
      <c r="M69" s="406"/>
      <c r="N69" s="407"/>
      <c r="O69" s="329"/>
      <c r="P69" s="329"/>
      <c r="Q69" s="401"/>
      <c r="R69" s="402"/>
      <c r="S69" s="402"/>
      <c r="T69" s="402"/>
      <c r="U69" s="408"/>
      <c r="V69" s="401"/>
    </row>
    <row r="70" spans="1:22" ht="15.75" thickBot="1" x14ac:dyDescent="0.3">
      <c r="A70" s="409"/>
      <c r="B70" s="410"/>
      <c r="C70" s="410"/>
      <c r="D70" s="410"/>
      <c r="E70" s="411"/>
      <c r="F70" s="411"/>
      <c r="G70" s="411"/>
      <c r="H70" s="411"/>
      <c r="I70" s="411"/>
      <c r="J70" s="411"/>
      <c r="K70" s="329"/>
      <c r="L70" s="329"/>
      <c r="M70" s="329"/>
      <c r="N70" s="329"/>
      <c r="O70" s="329"/>
      <c r="P70" s="329"/>
      <c r="Q70" s="401"/>
      <c r="R70" s="402"/>
      <c r="S70" s="402"/>
      <c r="T70" s="402"/>
      <c r="U70" s="402"/>
      <c r="V70" s="401"/>
    </row>
    <row r="71" spans="1:22" ht="30.75" thickBot="1" x14ac:dyDescent="0.3">
      <c r="A71" s="358" t="s">
        <v>349</v>
      </c>
      <c r="B71" s="358" t="e">
        <f>B55</f>
        <v>#DIV/0!</v>
      </c>
      <c r="C71" s="392" t="e">
        <f>LOOKUP(B50,B60:B69,E60:E69)</f>
        <v>#N/A</v>
      </c>
      <c r="D71" s="410"/>
      <c r="E71" s="411"/>
      <c r="F71" s="411"/>
      <c r="G71" s="411"/>
      <c r="H71" s="411"/>
      <c r="I71" s="411"/>
      <c r="J71" s="411"/>
      <c r="K71" s="329"/>
      <c r="L71" s="329"/>
      <c r="M71" s="329"/>
      <c r="N71" s="329"/>
      <c r="O71" s="329"/>
      <c r="P71" s="329"/>
      <c r="Q71" s="401"/>
      <c r="R71" s="402"/>
      <c r="S71" s="402"/>
      <c r="T71" s="402"/>
      <c r="U71" s="402"/>
      <c r="V71" s="401"/>
    </row>
    <row r="72" spans="1:22" ht="15.75" thickBot="1" x14ac:dyDescent="0.3">
      <c r="A72" s="358" t="s">
        <v>350</v>
      </c>
      <c r="B72" s="358"/>
      <c r="C72" s="412" t="e">
        <f>1/(1-C71)</f>
        <v>#N/A</v>
      </c>
      <c r="D72" s="410"/>
      <c r="E72" s="411"/>
      <c r="F72" s="411"/>
      <c r="G72" s="411"/>
      <c r="H72" s="411"/>
      <c r="I72" s="411"/>
      <c r="J72" s="411"/>
      <c r="K72" s="329"/>
      <c r="L72" s="329"/>
      <c r="M72" s="329"/>
      <c r="N72" s="329"/>
      <c r="O72" s="329"/>
      <c r="P72" s="329"/>
      <c r="Q72" s="401"/>
      <c r="R72" s="402"/>
      <c r="S72" s="402"/>
      <c r="T72" s="402"/>
      <c r="U72" s="402"/>
      <c r="V72" s="401"/>
    </row>
    <row r="73" spans="1:22" x14ac:dyDescent="0.25">
      <c r="A73" s="324"/>
      <c r="B73" s="312"/>
      <c r="C73" s="312"/>
      <c r="D73" s="312"/>
      <c r="E73" s="311"/>
      <c r="F73" s="311"/>
      <c r="G73" s="311"/>
      <c r="H73" s="311"/>
      <c r="I73" s="311"/>
      <c r="J73" s="311"/>
      <c r="K73" s="312"/>
      <c r="L73" s="312"/>
      <c r="M73" s="312"/>
      <c r="N73" s="312"/>
      <c r="O73" s="312"/>
      <c r="P73" s="312"/>
      <c r="Q73" s="312"/>
      <c r="R73" s="312"/>
      <c r="S73" s="312"/>
      <c r="T73" s="312"/>
      <c r="U73" s="312"/>
      <c r="V73" s="313"/>
    </row>
    <row r="74" spans="1:22" ht="9.75" hidden="1" customHeight="1" thickBot="1" x14ac:dyDescent="0.3">
      <c r="A74" s="309" t="str">
        <f>Penalties!A22</f>
        <v>Estimated Penalty Applicable to TU (excluding other fuels)</v>
      </c>
      <c r="B74" s="360">
        <f>Penalties!$D$22</f>
        <v>0</v>
      </c>
      <c r="C74" s="312"/>
      <c r="D74" s="312"/>
      <c r="E74" s="311"/>
      <c r="F74" s="311"/>
      <c r="G74" s="311"/>
      <c r="H74" s="311"/>
      <c r="I74" s="311"/>
      <c r="J74" s="311"/>
      <c r="K74" s="312"/>
      <c r="L74" s="312"/>
      <c r="M74" s="312"/>
      <c r="N74" s="312"/>
      <c r="O74" s="312"/>
      <c r="P74" s="312"/>
      <c r="Q74" s="312"/>
      <c r="R74" s="312"/>
      <c r="S74" s="312"/>
      <c r="T74" s="312"/>
      <c r="U74" s="312"/>
      <c r="V74" s="313"/>
    </row>
    <row r="75" spans="1:22" ht="15.75" thickBot="1" x14ac:dyDescent="0.3">
      <c r="A75" s="347"/>
      <c r="B75" s="348"/>
      <c r="C75" s="348"/>
      <c r="D75" s="348"/>
      <c r="E75" s="349"/>
      <c r="F75" s="349"/>
      <c r="G75" s="349"/>
      <c r="H75" s="349"/>
      <c r="I75" s="349"/>
      <c r="J75" s="349"/>
      <c r="K75" s="348"/>
      <c r="L75" s="348"/>
      <c r="M75" s="348"/>
      <c r="N75" s="348"/>
      <c r="O75" s="348"/>
      <c r="P75" s="348"/>
      <c r="Q75" s="348"/>
      <c r="R75" s="348"/>
      <c r="S75" s="348"/>
      <c r="T75" s="348"/>
      <c r="U75" s="348"/>
      <c r="V75" s="350"/>
    </row>
    <row r="76" spans="1:22" x14ac:dyDescent="0.25">
      <c r="A76" s="210"/>
      <c r="B76" s="210"/>
      <c r="C76" s="210"/>
      <c r="D76" s="210"/>
      <c r="E76" s="303"/>
      <c r="F76" s="303"/>
      <c r="G76" s="303"/>
      <c r="H76" s="303"/>
      <c r="I76" s="303"/>
      <c r="J76" s="303"/>
      <c r="K76" s="210"/>
      <c r="L76" s="210"/>
      <c r="M76" s="210"/>
      <c r="N76" s="210"/>
      <c r="O76" s="210"/>
      <c r="P76" s="210"/>
      <c r="Q76" s="210"/>
      <c r="R76" s="210"/>
      <c r="S76" s="210"/>
      <c r="T76" s="210"/>
      <c r="U76" s="210"/>
      <c r="V76" s="210"/>
    </row>
    <row r="77" spans="1:22" x14ac:dyDescent="0.25">
      <c r="A77" s="210"/>
      <c r="B77" s="210"/>
      <c r="C77" s="210"/>
      <c r="D77" s="210"/>
      <c r="E77" s="303"/>
      <c r="F77" s="303"/>
      <c r="G77" s="303"/>
      <c r="H77" s="303"/>
      <c r="I77" s="303"/>
      <c r="J77" s="303"/>
      <c r="K77" s="210"/>
      <c r="L77" s="210"/>
      <c r="M77" s="210"/>
      <c r="N77" s="210"/>
      <c r="O77" s="210"/>
      <c r="P77" s="210"/>
      <c r="Q77" s="210"/>
      <c r="R77" s="210"/>
      <c r="S77" s="210"/>
      <c r="T77" s="210"/>
      <c r="U77" s="210"/>
      <c r="V77" s="210"/>
    </row>
    <row r="78" spans="1:22" x14ac:dyDescent="0.25">
      <c r="A78" s="210"/>
      <c r="B78" s="210"/>
      <c r="C78" s="210"/>
      <c r="D78" s="210"/>
      <c r="E78" s="303"/>
      <c r="F78" s="303"/>
      <c r="G78" s="303"/>
      <c r="H78" s="303"/>
      <c r="I78" s="303"/>
      <c r="J78" s="303"/>
      <c r="K78" s="210"/>
      <c r="L78" s="210"/>
      <c r="M78" s="210"/>
      <c r="N78" s="210"/>
      <c r="O78" s="210"/>
      <c r="P78" s="210"/>
      <c r="Q78" s="210"/>
      <c r="R78" s="210"/>
      <c r="S78" s="210"/>
      <c r="T78" s="210"/>
      <c r="U78" s="210"/>
      <c r="V78" s="210"/>
    </row>
    <row r="79" spans="1:22" x14ac:dyDescent="0.25">
      <c r="A79" s="210"/>
      <c r="B79" s="210"/>
      <c r="C79" s="210"/>
      <c r="D79" s="210"/>
      <c r="E79" s="303"/>
      <c r="F79" s="303"/>
      <c r="G79" s="303"/>
      <c r="H79" s="303"/>
      <c r="I79" s="303"/>
      <c r="J79" s="303"/>
      <c r="K79" s="210"/>
      <c r="L79" s="210"/>
      <c r="M79" s="210"/>
      <c r="N79" s="210"/>
      <c r="O79" s="210"/>
      <c r="P79" s="210"/>
      <c r="Q79" s="210"/>
      <c r="R79" s="210"/>
      <c r="S79" s="210"/>
      <c r="T79" s="210"/>
      <c r="U79" s="210"/>
      <c r="V79" s="210"/>
    </row>
  </sheetData>
  <sheetProtection password="CF99" sheet="1" objects="1" scenarios="1"/>
  <mergeCells count="18">
    <mergeCell ref="A1:B1"/>
    <mergeCell ref="A2:B2"/>
    <mergeCell ref="A3:B3"/>
    <mergeCell ref="A4:B4"/>
    <mergeCell ref="A5:B5"/>
    <mergeCell ref="A24:B24"/>
    <mergeCell ref="A8:A10"/>
    <mergeCell ref="C8:C10"/>
    <mergeCell ref="D8:D10"/>
    <mergeCell ref="C14:C17"/>
    <mergeCell ref="D14:D17"/>
    <mergeCell ref="C11:C13"/>
    <mergeCell ref="D11:D13"/>
    <mergeCell ref="A11:A13"/>
    <mergeCell ref="A14:A17"/>
    <mergeCell ref="B9:B10"/>
    <mergeCell ref="B11:B13"/>
    <mergeCell ref="B14:B17"/>
  </mergeCells>
  <conditionalFormatting sqref="L33:L34">
    <cfRule type="containsText" dxfId="11" priority="9" operator="containsText" text="Tighten targets not required">
      <formula>NOT(ISERROR(SEARCH("Tighten targets not required",L33)))</formula>
    </cfRule>
    <cfRule type="containsText" dxfId="10" priority="10" operator="containsText" text="Tighten targets needed">
      <formula>NOT(ISERROR(SEARCH("Tighten targets needed",L33)))</formula>
    </cfRule>
  </conditionalFormatting>
  <conditionalFormatting sqref="C3">
    <cfRule type="cellIs" dxfId="9" priority="8" stopIfTrue="1" operator="equal">
      <formula>"Yes"</formula>
    </cfRule>
  </conditionalFormatting>
  <conditionalFormatting sqref="C4">
    <cfRule type="cellIs" dxfId="8" priority="7" stopIfTrue="1" operator="equal">
      <formula>"Yes"</formula>
    </cfRule>
  </conditionalFormatting>
  <conditionalFormatting sqref="C38:C39">
    <cfRule type="containsText" dxfId="7" priority="5" operator="containsText" text="Tighten targets not required">
      <formula>NOT(ISERROR(SEARCH("Tighten targets not required",C38)))</formula>
    </cfRule>
    <cfRule type="containsText" dxfId="6" priority="6" operator="containsText" text="Tighten targets needed">
      <formula>NOT(ISERROR(SEARCH("Tighten targets needed",C38)))</formula>
    </cfRule>
  </conditionalFormatting>
  <conditionalFormatting sqref="C30:C31">
    <cfRule type="containsText" dxfId="5" priority="3" operator="containsText" text="Tighten targets not required">
      <formula>NOT(ISERROR(SEARCH("Tighten targets not required",C30)))</formula>
    </cfRule>
    <cfRule type="containsText" dxfId="4" priority="4" operator="containsText" text="Tighten targets needed">
      <formula>NOT(ISERROR(SEARCH("Tighten targets needed",C30)))</formula>
    </cfRule>
  </conditionalFormatting>
  <conditionalFormatting sqref="C42">
    <cfRule type="containsText" dxfId="3" priority="1" operator="containsText" text="Tighten targets not required">
      <formula>NOT(ISERROR(SEARCH("Tighten targets not required",C42)))</formula>
    </cfRule>
    <cfRule type="containsText" dxfId="2" priority="2" operator="containsText" text="Tighten targets needed">
      <formula>NOT(ISERROR(SEARCH("Tighten targets needed",C42)))</formula>
    </cfRule>
  </conditionalFormatting>
  <dataValidations count="3">
    <dataValidation type="list" allowBlank="1" showInputMessage="1" showErrorMessage="1" sqref="B22">
      <formula1>"Please select, TP3, TP4"</formula1>
    </dataValidation>
    <dataValidation type="list" allowBlank="1" showInputMessage="1" showErrorMessage="1" sqref="B20">
      <formula1>"Please Select,1a,1b,2,3,4"</formula1>
    </dataValidation>
    <dataValidation type="list" allowBlank="1" showInputMessage="1" showErrorMessage="1" sqref="B21">
      <formula1>"Please Select, N/A, 2008, 2009, 2010, 2011, 2012, 2013, 2014, 2015, 2016, 2017, 2018, 2019, 2020"</formula1>
    </dataValidation>
  </dataValidations>
  <pageMargins left="0.70866141732283472" right="0.70866141732283472" top="0.74803149606299213" bottom="0.74803149606299213" header="0.31496062992125984" footer="0.31496062992125984"/>
  <pageSetup paperSize="9" scale="53" orientation="landscape" cellComments="asDisplayed"/>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23"/>
  <sheetViews>
    <sheetView zoomScale="90" zoomScaleNormal="90" workbookViewId="0">
      <pane ySplit="4" topLeftCell="A5" activePane="bottomLeft" state="frozen"/>
      <selection pane="bottomLeft"/>
    </sheetView>
  </sheetViews>
  <sheetFormatPr defaultRowHeight="15" x14ac:dyDescent="0.25"/>
  <cols>
    <col min="1" max="1" width="47.140625" customWidth="1"/>
    <col min="2" max="2" width="18.5703125" customWidth="1"/>
    <col min="3" max="3" width="19.42578125" customWidth="1"/>
    <col min="4" max="4" width="16.7109375" customWidth="1"/>
    <col min="5" max="5" width="18.7109375" style="288" customWidth="1"/>
    <col min="6" max="6" width="16.7109375" style="288" customWidth="1"/>
    <col min="7" max="8" width="16.7109375" customWidth="1"/>
    <col min="9" max="9" width="15.28515625" hidden="1" customWidth="1"/>
    <col min="10" max="10" width="16.7109375" hidden="1" customWidth="1"/>
    <col min="11" max="11" width="17.85546875" hidden="1" customWidth="1"/>
    <col min="12" max="17" width="0" hidden="1" customWidth="1"/>
  </cols>
  <sheetData>
    <row r="1" spans="1:18" ht="27" thickBot="1" x14ac:dyDescent="0.3">
      <c r="A1" s="81" t="s">
        <v>104</v>
      </c>
      <c r="B1" s="85" t="s">
        <v>60</v>
      </c>
      <c r="C1" s="118"/>
      <c r="D1" s="118"/>
      <c r="E1" s="289"/>
      <c r="F1" s="289"/>
      <c r="G1" s="118"/>
      <c r="H1" s="118"/>
      <c r="I1" s="118"/>
      <c r="J1" s="118"/>
      <c r="K1" s="118"/>
      <c r="L1" s="118"/>
      <c r="M1" s="118"/>
      <c r="N1" s="118"/>
      <c r="O1" s="118"/>
      <c r="P1" s="118"/>
      <c r="Q1" s="118"/>
      <c r="R1" s="119"/>
    </row>
    <row r="2" spans="1:18" ht="21" thickBot="1" x14ac:dyDescent="0.35">
      <c r="A2" s="72" t="s">
        <v>98</v>
      </c>
      <c r="B2" s="58" t="s">
        <v>61</v>
      </c>
      <c r="C2" s="105"/>
      <c r="D2" s="160" t="str">
        <f>'Instructions '!A58</f>
        <v>Workbook Version: OM Issue 6.1 Data Centres</v>
      </c>
      <c r="E2" s="290"/>
      <c r="F2" s="290"/>
      <c r="G2" s="105"/>
      <c r="H2" s="160"/>
      <c r="I2" s="105"/>
      <c r="J2" s="105"/>
      <c r="K2" s="105"/>
      <c r="L2" s="105"/>
      <c r="M2" s="105"/>
      <c r="N2" s="105"/>
      <c r="O2" s="105"/>
      <c r="P2" s="105"/>
      <c r="Q2" s="105"/>
      <c r="R2" s="106"/>
    </row>
    <row r="3" spans="1:18" ht="21" thickBot="1" x14ac:dyDescent="0.35">
      <c r="A3" s="497" t="s">
        <v>129</v>
      </c>
      <c r="B3" s="80" t="s">
        <v>106</v>
      </c>
      <c r="C3" s="105"/>
      <c r="D3" s="160" t="str">
        <f>'Instructions '!$A$59</f>
        <v>Workbook date: 4/5/17 (includes stringency test)</v>
      </c>
      <c r="E3" s="290"/>
      <c r="F3" s="290"/>
      <c r="G3" s="105"/>
      <c r="H3" s="160"/>
      <c r="I3" s="105"/>
      <c r="J3" s="105"/>
      <c r="K3" s="105"/>
      <c r="L3" s="105"/>
      <c r="M3" s="105"/>
      <c r="N3" s="105"/>
      <c r="O3" s="105"/>
      <c r="P3" s="105"/>
      <c r="Q3" s="105"/>
      <c r="R3" s="106"/>
    </row>
    <row r="4" spans="1:18" ht="30.75" thickBot="1" x14ac:dyDescent="0.3">
      <c r="A4" s="498"/>
      <c r="B4" s="162" t="s">
        <v>132</v>
      </c>
      <c r="C4" s="105"/>
      <c r="D4" s="105"/>
      <c r="E4" s="290"/>
      <c r="F4" s="290"/>
      <c r="G4" s="105"/>
      <c r="H4" s="105"/>
      <c r="I4" s="105"/>
      <c r="J4" s="105"/>
      <c r="K4" s="105"/>
      <c r="L4" s="105"/>
      <c r="M4" s="105"/>
      <c r="N4" s="105"/>
      <c r="O4" s="105"/>
      <c r="P4" s="105"/>
      <c r="Q4" s="105"/>
      <c r="R4" s="106"/>
    </row>
    <row r="5" spans="1:18" ht="15.75" thickBot="1" x14ac:dyDescent="0.3">
      <c r="A5" s="109"/>
      <c r="B5" s="105"/>
      <c r="C5" s="105"/>
      <c r="D5" s="105"/>
      <c r="E5" s="290"/>
      <c r="F5" s="290"/>
      <c r="G5" s="105"/>
      <c r="H5" s="105"/>
      <c r="I5" s="105"/>
      <c r="J5" s="105"/>
      <c r="K5" s="105"/>
      <c r="L5" s="105"/>
      <c r="M5" s="105"/>
      <c r="N5" s="105"/>
      <c r="O5" s="105"/>
      <c r="P5" s="105"/>
      <c r="Q5" s="105"/>
      <c r="R5" s="106"/>
    </row>
    <row r="6" spans="1:18" ht="15.75" hidden="1" thickBot="1" x14ac:dyDescent="0.3">
      <c r="A6" s="51" t="s">
        <v>68</v>
      </c>
      <c r="B6" s="75"/>
      <c r="C6" s="105"/>
      <c r="D6" s="105"/>
      <c r="E6" s="290"/>
      <c r="F6" s="290"/>
      <c r="G6" s="105"/>
      <c r="H6" s="105"/>
      <c r="I6" s="105"/>
      <c r="J6" s="105"/>
      <c r="K6" s="105"/>
      <c r="L6" s="105"/>
      <c r="M6" s="105"/>
      <c r="N6" s="105"/>
      <c r="O6" s="105"/>
      <c r="P6" s="105"/>
      <c r="Q6" s="105"/>
      <c r="R6" s="106"/>
    </row>
    <row r="7" spans="1:18" ht="15.75" thickBot="1" x14ac:dyDescent="0.3">
      <c r="A7" s="266" t="str">
        <f>'Baseline Data'!A10</f>
        <v>Target Unit Base Year</v>
      </c>
      <c r="B7" s="268" t="str">
        <f>'Baseline Data'!B10</f>
        <v>Please select</v>
      </c>
      <c r="C7" s="105"/>
      <c r="D7" s="105"/>
      <c r="E7" s="290"/>
      <c r="F7" s="290"/>
      <c r="G7" s="105"/>
      <c r="H7" s="105"/>
      <c r="I7" s="105"/>
      <c r="J7" s="105"/>
      <c r="K7" s="105"/>
      <c r="L7" s="105"/>
      <c r="M7" s="105"/>
      <c r="N7" s="105"/>
      <c r="O7" s="105"/>
      <c r="P7" s="105"/>
      <c r="Q7" s="105"/>
      <c r="R7" s="106"/>
    </row>
    <row r="8" spans="1:18" ht="30.75" thickBot="1" x14ac:dyDescent="0.3">
      <c r="A8" s="63" t="str">
        <f>'Baseline Data'!A14</f>
        <v>Throughput in BY (Adjusted if facility(s) have CHP in the EUETS)</v>
      </c>
      <c r="B8" s="269">
        <f>IF('Facility Data'!E63=0,'Facility Data'!$E$62,'Facility Data'!E65)</f>
        <v>0</v>
      </c>
      <c r="C8" s="105"/>
      <c r="D8" s="105"/>
      <c r="E8" s="290"/>
      <c r="F8" s="290"/>
      <c r="G8" s="105"/>
      <c r="H8" s="105"/>
      <c r="I8" s="105"/>
      <c r="J8" s="105"/>
      <c r="K8" s="105"/>
      <c r="L8" s="105"/>
      <c r="M8" s="105"/>
      <c r="N8" s="105"/>
      <c r="O8" s="105"/>
      <c r="P8" s="105"/>
      <c r="Q8" s="105"/>
      <c r="R8" s="106"/>
    </row>
    <row r="9" spans="1:18" ht="33" customHeight="1" thickBot="1" x14ac:dyDescent="0.3">
      <c r="A9" s="63" t="str">
        <f>'Facility Data'!$A$73</f>
        <v>Please input TU Base Year in Baseline Data Tab</v>
      </c>
      <c r="B9" s="270">
        <f>'Facility Data'!$E$73</f>
        <v>0</v>
      </c>
      <c r="C9" s="105"/>
      <c r="D9" s="105"/>
      <c r="E9" s="290"/>
      <c r="F9" s="290"/>
      <c r="G9" s="105"/>
      <c r="H9" s="105"/>
      <c r="I9" s="105"/>
      <c r="J9" s="105"/>
      <c r="K9" s="105"/>
      <c r="L9" s="105"/>
      <c r="M9" s="105"/>
      <c r="N9" s="105"/>
      <c r="O9" s="105"/>
      <c r="P9" s="105"/>
      <c r="Q9" s="105"/>
      <c r="R9" s="106"/>
    </row>
    <row r="10" spans="1:18" ht="30.75" thickBot="1" x14ac:dyDescent="0.3">
      <c r="A10" s="58" t="s">
        <v>145</v>
      </c>
      <c r="B10" s="271">
        <f>'Baseline Data'!$B$20</f>
        <v>0</v>
      </c>
      <c r="C10" s="105"/>
      <c r="D10" s="105"/>
      <c r="E10" s="290"/>
      <c r="F10" s="290"/>
      <c r="G10" s="105"/>
      <c r="H10" s="105"/>
      <c r="I10" s="105"/>
      <c r="J10" s="105"/>
      <c r="K10" s="105"/>
      <c r="L10" s="105"/>
      <c r="M10" s="105"/>
      <c r="N10" s="105"/>
      <c r="O10" s="105"/>
      <c r="P10" s="105"/>
      <c r="Q10" s="105"/>
      <c r="R10" s="106"/>
    </row>
    <row r="11" spans="1:18" ht="15.75" thickBot="1" x14ac:dyDescent="0.3">
      <c r="A11" s="266" t="str">
        <f>'Stringency Tests'!A54</f>
        <v>Equivalent PUE in 2011 (PUEx1000)</v>
      </c>
      <c r="B11" s="267" t="e">
        <f>'Stringency Tests'!B54</f>
        <v>#DIV/0!</v>
      </c>
      <c r="C11" s="105"/>
      <c r="D11" s="105"/>
      <c r="E11" s="290"/>
      <c r="F11" s="290"/>
      <c r="G11" s="105"/>
      <c r="H11" s="105"/>
      <c r="I11" s="105"/>
      <c r="J11" s="105"/>
      <c r="K11" s="105"/>
      <c r="L11" s="105"/>
      <c r="M11" s="105"/>
      <c r="N11" s="105"/>
      <c r="O11" s="105"/>
      <c r="P11" s="105"/>
      <c r="Q11" s="105"/>
      <c r="R11" s="106"/>
    </row>
    <row r="12" spans="1:18" ht="30.75" thickBot="1" x14ac:dyDescent="0.3">
      <c r="A12" s="266" t="str">
        <f>'Stringency Tests'!A55</f>
        <v>Please input TU Base Year in Baseline Data Tab</v>
      </c>
      <c r="B12" s="267" t="e">
        <f>'Stringency Tests'!B55</f>
        <v>#DIV/0!</v>
      </c>
      <c r="C12" s="186"/>
      <c r="D12" s="105"/>
      <c r="E12" s="290"/>
      <c r="F12" s="290"/>
      <c r="G12" s="105"/>
      <c r="H12" s="105"/>
      <c r="I12" s="105"/>
      <c r="J12" s="105"/>
      <c r="K12" s="105"/>
      <c r="L12" s="105"/>
      <c r="M12" s="105"/>
      <c r="N12" s="105"/>
      <c r="O12" s="105"/>
      <c r="P12" s="105"/>
      <c r="Q12" s="105"/>
      <c r="R12" s="106"/>
    </row>
    <row r="13" spans="1:18" ht="15.75" thickBot="1" x14ac:dyDescent="0.3">
      <c r="A13" s="58" t="s">
        <v>126</v>
      </c>
      <c r="B13" s="267" t="e">
        <f>'Stringency Tests'!B56</f>
        <v>#DIV/0!</v>
      </c>
      <c r="C13" s="186"/>
      <c r="D13" s="105"/>
      <c r="E13" s="290"/>
      <c r="F13" s="290"/>
      <c r="G13" s="105"/>
      <c r="H13" s="105"/>
      <c r="I13" s="105"/>
      <c r="J13" s="105"/>
      <c r="K13" s="105"/>
      <c r="L13" s="105"/>
      <c r="M13" s="105"/>
      <c r="N13" s="105"/>
      <c r="O13" s="105"/>
      <c r="P13" s="105"/>
      <c r="Q13" s="105"/>
      <c r="R13" s="106"/>
    </row>
    <row r="14" spans="1:18" ht="21.75" customHeight="1" thickBot="1" x14ac:dyDescent="0.3">
      <c r="A14" s="122"/>
      <c r="B14" s="105"/>
      <c r="C14" s="105"/>
      <c r="D14" s="105"/>
      <c r="E14" s="290"/>
      <c r="F14" s="290"/>
      <c r="G14" s="105"/>
      <c r="H14" s="105"/>
      <c r="I14" s="105"/>
      <c r="J14" s="105"/>
      <c r="K14" s="105"/>
      <c r="L14" s="105"/>
      <c r="M14" s="105"/>
      <c r="N14" s="105"/>
      <c r="O14" s="105"/>
      <c r="P14" s="105"/>
      <c r="Q14" s="105"/>
      <c r="R14" s="106"/>
    </row>
    <row r="15" spans="1:18" ht="45.75" thickBot="1" x14ac:dyDescent="0.3">
      <c r="A15" s="294"/>
      <c r="B15" s="223" t="s">
        <v>94</v>
      </c>
      <c r="C15" s="223" t="s">
        <v>227</v>
      </c>
      <c r="D15" s="223" t="s">
        <v>228</v>
      </c>
      <c r="E15" s="223" t="s">
        <v>118</v>
      </c>
      <c r="F15" s="88" t="s">
        <v>127</v>
      </c>
      <c r="G15" s="105"/>
      <c r="H15" s="105"/>
      <c r="I15" s="105"/>
      <c r="J15" s="105"/>
      <c r="K15" s="105"/>
      <c r="L15" s="105"/>
      <c r="M15" s="105"/>
      <c r="N15" s="105"/>
      <c r="O15" s="105"/>
      <c r="P15" s="105"/>
      <c r="Q15" s="105"/>
      <c r="R15" s="106"/>
    </row>
    <row r="16" spans="1:18" ht="15.75" thickBot="1" x14ac:dyDescent="0.3">
      <c r="A16" s="63" t="s">
        <v>69</v>
      </c>
      <c r="B16" s="88">
        <v>2014</v>
      </c>
      <c r="C16" s="163">
        <f>'Stringency Tests'!F63</f>
        <v>0</v>
      </c>
      <c r="D16" s="301" t="e">
        <f>'Stringency Tests'!G63</f>
        <v>#DIV/0!</v>
      </c>
      <c r="E16" s="291">
        <f>'Baseline Data'!$B$14*2</f>
        <v>0</v>
      </c>
      <c r="F16" s="171" t="e">
        <f>'Stringency Tests'!$J$63</f>
        <v>#DIV/0!</v>
      </c>
      <c r="G16" s="105"/>
      <c r="H16" s="105"/>
      <c r="I16" s="105"/>
      <c r="J16" s="105"/>
      <c r="K16" s="105"/>
      <c r="L16" s="105"/>
      <c r="M16" s="105"/>
      <c r="N16" s="105"/>
      <c r="O16" s="105"/>
      <c r="P16" s="105"/>
      <c r="Q16" s="105"/>
      <c r="R16" s="106"/>
    </row>
    <row r="17" spans="1:20" ht="15.75" thickBot="1" x14ac:dyDescent="0.3">
      <c r="A17" s="63" t="s">
        <v>70</v>
      </c>
      <c r="B17" s="88">
        <v>2016</v>
      </c>
      <c r="C17" s="163">
        <f>'Stringency Tests'!F65</f>
        <v>0</v>
      </c>
      <c r="D17" s="301" t="e">
        <f>'Stringency Tests'!G65</f>
        <v>#DIV/0!</v>
      </c>
      <c r="E17" s="291">
        <f>'Baseline Data'!$B$14*2</f>
        <v>0</v>
      </c>
      <c r="F17" s="171" t="e">
        <f>'Stringency Tests'!$J$65</f>
        <v>#DIV/0!</v>
      </c>
      <c r="G17" s="105"/>
      <c r="H17" s="105"/>
      <c r="I17" s="105"/>
      <c r="J17" s="105"/>
      <c r="K17" s="105"/>
      <c r="L17" s="105"/>
      <c r="M17" s="105"/>
      <c r="N17" s="105"/>
      <c r="O17" s="105"/>
      <c r="P17" s="105"/>
      <c r="Q17" s="105"/>
      <c r="R17" s="106"/>
    </row>
    <row r="18" spans="1:20" ht="15.75" thickBot="1" x14ac:dyDescent="0.3">
      <c r="A18" s="63" t="s">
        <v>71</v>
      </c>
      <c r="B18" s="88">
        <v>2018</v>
      </c>
      <c r="C18" s="163">
        <f>'Stringency Tests'!F67</f>
        <v>0</v>
      </c>
      <c r="D18" s="301" t="e">
        <f>'Stringency Tests'!G67</f>
        <v>#DIV/0!</v>
      </c>
      <c r="E18" s="291">
        <f>'Baseline Data'!$B$14*2</f>
        <v>0</v>
      </c>
      <c r="F18" s="171" t="e">
        <f>'Stringency Tests'!$J$67</f>
        <v>#DIV/0!</v>
      </c>
      <c r="G18" s="105"/>
      <c r="H18" s="105"/>
      <c r="I18" s="105"/>
      <c r="J18" s="105"/>
      <c r="K18" s="105"/>
      <c r="L18" s="105"/>
      <c r="M18" s="105"/>
      <c r="N18" s="105"/>
      <c r="O18" s="105"/>
      <c r="P18" s="105"/>
      <c r="Q18" s="105"/>
      <c r="R18" s="106"/>
    </row>
    <row r="19" spans="1:20" ht="15.75" thickBot="1" x14ac:dyDescent="0.3">
      <c r="A19" s="63" t="s">
        <v>72</v>
      </c>
      <c r="B19" s="88">
        <v>2020</v>
      </c>
      <c r="C19" s="163">
        <f>IF(OR('Baseline Data'!B9="Novem Energy",'Baseline Data'!B9="Novem Carbon"),IF('Stringency Tests'!$B$43&gt;1,'Stringency Tests'!$B$43*'Stringency Tests'!#REF!,'Stringency Tests'!#REF!),IF(OR('Baseline Data'!B9="Absolute Energy",'Baseline Data'!B9="Absolute Carbon"),IF('Stringency Tests'!$B$31&lt;1,1-D19/('Stringency Tests'!$B$55*2),'Stringency Tests'!#REF!),(IF(OR('Baseline Data'!B9="Relative Energy",'Baseline Data'!B9="Relative Carbon"),IF('Stringency Tests'!$B$39&lt;1,1-D19/'Stringency Tests'!$B$55,'Stringency Tests'!F69),""))))</f>
        <v>0</v>
      </c>
      <c r="D19" s="394" t="e">
        <f>IF(OR('Baseline Data'!B9="Novem Energy",'Baseline Data'!B9="Novem Carbon"),'Stringency Tests'!G69,IF(OR('Baseline Data'!B9="Absolute Energy",'Baseline Data'!B9="Absolute Carbon"),IF('Stringency Tests'!$B$31&lt;1,'Stringency Tests'!G69*'Stringency Tests'!$B$31,'Stringency Tests'!G69),(IF(OR('Baseline Data'!B9="Relative Energy",'Baseline Data'!B9="Relative Carbon"),IF('Stringency Tests'!$B$39&lt;1,('Stringency Tests'!H69*'Stringency Tests'!$B$39+1000),'Stringency Tests'!G69),""))))</f>
        <v>#DIV/0!</v>
      </c>
      <c r="E19" s="291">
        <f>'Baseline Data'!$B$14*2</f>
        <v>0</v>
      </c>
      <c r="F19" s="171" t="e">
        <f>'Stringency Tests'!$J$69</f>
        <v>#DIV/0!</v>
      </c>
      <c r="G19" s="105"/>
      <c r="H19" s="105"/>
      <c r="I19" s="105"/>
      <c r="J19" s="105"/>
      <c r="K19" s="105"/>
      <c r="L19" s="105"/>
      <c r="M19" s="105"/>
      <c r="N19" s="105"/>
      <c r="O19" s="105"/>
      <c r="P19" s="105"/>
      <c r="Q19" s="105"/>
      <c r="R19" s="106"/>
      <c r="T19" s="220"/>
    </row>
    <row r="20" spans="1:20" ht="15.75" thickBot="1" x14ac:dyDescent="0.3">
      <c r="A20" s="295"/>
      <c r="B20" s="296"/>
      <c r="C20" s="413" t="str">
        <f>IF('Baseline Data'!B10="Please Select","Warning TU BY not selected","")</f>
        <v>Warning TU BY not selected</v>
      </c>
      <c r="D20" s="298"/>
      <c r="E20" s="299"/>
      <c r="F20" s="300"/>
      <c r="G20" s="105"/>
      <c r="H20" s="105"/>
      <c r="I20" s="105"/>
      <c r="J20" s="105"/>
      <c r="K20" s="105"/>
      <c r="L20" s="105"/>
      <c r="M20" s="105"/>
      <c r="N20" s="105"/>
      <c r="O20" s="105"/>
      <c r="P20" s="105"/>
      <c r="Q20" s="105"/>
      <c r="R20" s="106"/>
    </row>
    <row r="21" spans="1:20" ht="30.75" thickBot="1" x14ac:dyDescent="0.3">
      <c r="A21" s="58" t="str">
        <f>Penalties!A23</f>
        <v>Estimated Penalty Applicable to TU if Other Fuel is included</v>
      </c>
      <c r="B21" s="272">
        <f>Penalties!$D$22</f>
        <v>0</v>
      </c>
      <c r="C21" s="297"/>
      <c r="D21" s="298"/>
      <c r="E21" s="299"/>
      <c r="F21" s="300"/>
      <c r="G21" s="105"/>
      <c r="H21" s="105"/>
      <c r="I21" s="105"/>
      <c r="J21" s="105"/>
      <c r="K21" s="105"/>
      <c r="L21" s="105"/>
      <c r="M21" s="105"/>
      <c r="N21" s="105"/>
      <c r="O21" s="105"/>
      <c r="P21" s="105"/>
      <c r="Q21" s="105"/>
      <c r="R21" s="106"/>
    </row>
    <row r="22" spans="1:20" x14ac:dyDescent="0.25">
      <c r="A22" s="295"/>
      <c r="B22" s="296"/>
      <c r="C22" s="297"/>
      <c r="D22" s="298"/>
      <c r="E22" s="299"/>
      <c r="F22" s="300"/>
      <c r="G22" s="105"/>
      <c r="H22" s="105"/>
      <c r="I22" s="105"/>
      <c r="J22" s="105"/>
      <c r="K22" s="105"/>
      <c r="L22" s="105"/>
      <c r="M22" s="105"/>
      <c r="N22" s="105"/>
      <c r="O22" s="105"/>
      <c r="P22" s="105"/>
      <c r="Q22" s="105"/>
      <c r="R22" s="106"/>
    </row>
    <row r="23" spans="1:20" ht="15.75" thickBot="1" x14ac:dyDescent="0.3">
      <c r="A23" s="110"/>
      <c r="B23" s="99"/>
      <c r="C23" s="99"/>
      <c r="D23" s="99"/>
      <c r="E23" s="292"/>
      <c r="F23" s="292"/>
      <c r="G23" s="99"/>
      <c r="H23" s="99"/>
      <c r="I23" s="99"/>
      <c r="J23" s="99"/>
      <c r="K23" s="99"/>
      <c r="L23" s="99"/>
      <c r="M23" s="99"/>
      <c r="N23" s="99"/>
      <c r="O23" s="99"/>
      <c r="P23" s="99"/>
      <c r="Q23" s="99"/>
      <c r="R23" s="111"/>
    </row>
  </sheetData>
  <sheetProtection password="CF99" sheet="1" objects="1" scenarios="1"/>
  <mergeCells count="1">
    <mergeCell ref="A3:A4"/>
  </mergeCells>
  <pageMargins left="0.70866141732283472" right="0.70866141732283472" top="0.74803149606299213" bottom="0.74803149606299213" header="0.31496062992125984" footer="0.31496062992125984"/>
  <pageSetup paperSize="9" scale="53" orientation="landscape" cellComments="asDisplaye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5" max="5" width="9.140625" customWidth="1"/>
  </cols>
  <sheetData>
    <row r="1" spans="1:1" x14ac:dyDescent="0.25">
      <c r="A1" t="s">
        <v>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Instructions </vt:lpstr>
      <vt:lpstr>Target Setting Rules</vt:lpstr>
      <vt:lpstr>Facility Data</vt:lpstr>
      <vt:lpstr>Baseline Data</vt:lpstr>
      <vt:lpstr>Novem Product Fuel Data</vt:lpstr>
      <vt:lpstr>Novem Data</vt:lpstr>
      <vt:lpstr>Stringency Tests</vt:lpstr>
      <vt:lpstr>Target Calculations</vt:lpstr>
      <vt:lpstr>Open worksheet</vt:lpstr>
      <vt:lpstr>Fuel Conversion Factors</vt:lpstr>
      <vt:lpstr>Penalties</vt:lpstr>
      <vt:lpstr>'Fuel Conversion Factors'!CEF_Coal</vt:lpstr>
      <vt:lpstr>'Fuel Conversion Factors'!CEF_Coke</vt:lpstr>
      <vt:lpstr>'Fuel Conversion Factors'!CEF_Electricity</vt:lpstr>
      <vt:lpstr>'Fuel Conversion Factors'!CEF_Ethane</vt:lpstr>
      <vt:lpstr>'Fuel Conversion Factors'!CEF_Fuel_oil</vt:lpstr>
      <vt:lpstr>'Fuel Conversion Factors'!CEF_Gas_oil</vt:lpstr>
      <vt:lpstr>'Fuel Conversion Factors'!CEF_Kerosene</vt:lpstr>
      <vt:lpstr>'Fuel Conversion Factors'!CEF_LPG</vt:lpstr>
      <vt:lpstr>'Fuel Conversion Factors'!CEF_Naptha</vt:lpstr>
      <vt:lpstr>'Fuel Conversion Factors'!CEF_Natural_Gas</vt:lpstr>
      <vt:lpstr>'Fuel Conversion Factors'!CEF_Petrol</vt:lpstr>
      <vt:lpstr>'Fuel Conversion Factors'!CEF_Petroleum_Coke</vt:lpstr>
      <vt:lpstr>'Fuel Conversion Factors'!CEF_Refinery_Gas</vt:lpstr>
      <vt:lpstr>'Baseline Data'!Print_Area</vt:lpstr>
      <vt:lpstr>'Facility Data'!Print_Area</vt:lpstr>
      <vt:lpstr>'Instructions '!Print_Area</vt:lpstr>
      <vt:lpstr>'Novem Product Fuel Data'!Print_Area</vt:lpstr>
      <vt:lpstr>'Stringency Tests'!Print_Area</vt:lpstr>
      <vt:lpstr>'Target Calculations'!Print_Area</vt:lpstr>
      <vt:lpstr>'Target Setting Rules'!Print_Area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Target calculator OM issue 6.1 DATC</dc:title>
  <dc:subject>Target calculator OM issue 6.1 DATC</dc:subject>
  <dc:creator>Environment Agency</dc:creator>
  <cp:keywords>LIT LIT 10660</cp:keywords>
  <dc:description>Version 1
Issued 07/06/2017</dc:description>
  <cp:lastModifiedBy>Environment Agency User</cp:lastModifiedBy>
  <cp:lastPrinted>2013-04-17T13:19:58Z</cp:lastPrinted>
  <dcterms:created xsi:type="dcterms:W3CDTF">2012-11-20T10:13:47Z</dcterms:created>
  <dcterms:modified xsi:type="dcterms:W3CDTF">2017-06-07T12:34:35Z</dcterms:modified>
</cp:coreProperties>
</file>