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973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Capacity'!$B$2:$I$21</definedName>
    <definedName name="_xlnm.Print_Area" localSheetId="1">'Landfill Inputs'!$B$2:$J$21</definedName>
  </definedNames>
  <calcPr calcId="125725"/>
</workbook>
</file>

<file path=xl/calcChain.xml><?xml version="1.0" encoding="utf-8"?>
<calcChain xmlns="http://schemas.openxmlformats.org/spreadsheetml/2006/main">
  <c r="R63" i="19"/>
  <c r="Q63"/>
  <c r="Q36"/>
  <c r="K84"/>
  <c r="K83"/>
  <c r="K82"/>
  <c r="K81"/>
  <c r="K80"/>
  <c r="K79"/>
  <c r="K78"/>
  <c r="K77"/>
  <c r="K76"/>
  <c r="I183" i="16"/>
  <c r="H183"/>
  <c r="G183"/>
  <c r="F183"/>
  <c r="E183"/>
  <c r="J182"/>
  <c r="J181"/>
  <c r="I180"/>
  <c r="H180"/>
  <c r="G180"/>
  <c r="F180"/>
  <c r="E180"/>
  <c r="J179"/>
  <c r="J178"/>
  <c r="J177"/>
  <c r="J176"/>
  <c r="J175"/>
  <c r="J174"/>
  <c r="I173"/>
  <c r="H173"/>
  <c r="G173"/>
  <c r="F173"/>
  <c r="E173"/>
  <c r="J172"/>
  <c r="J171"/>
  <c r="H58" i="15"/>
  <c r="G58"/>
  <c r="F58"/>
  <c r="E58"/>
  <c r="D58"/>
  <c r="I57"/>
  <c r="I56"/>
  <c r="I55"/>
  <c r="J173" i="16" l="1"/>
  <c r="H184"/>
  <c r="G184"/>
  <c r="F184"/>
  <c r="J183"/>
  <c r="E184"/>
  <c r="I184"/>
  <c r="J180"/>
  <c r="I58" i="15"/>
  <c r="J184" i="16" l="1"/>
  <c r="I226" i="14" l="1"/>
  <c r="H226"/>
  <c r="G226"/>
  <c r="F226"/>
  <c r="E226"/>
  <c r="J225"/>
  <c r="J224"/>
  <c r="J223"/>
  <c r="I222"/>
  <c r="H222"/>
  <c r="G222"/>
  <c r="F222"/>
  <c r="E222"/>
  <c r="J221"/>
  <c r="J220"/>
  <c r="J219"/>
  <c r="I218"/>
  <c r="H218"/>
  <c r="G218"/>
  <c r="F218"/>
  <c r="E218"/>
  <c r="J217"/>
  <c r="J216"/>
  <c r="J215"/>
  <c r="I214"/>
  <c r="H214"/>
  <c r="G214"/>
  <c r="F214"/>
  <c r="E214"/>
  <c r="J213"/>
  <c r="J212"/>
  <c r="J211"/>
  <c r="J214" s="1"/>
  <c r="J226" l="1"/>
  <c r="J222"/>
  <c r="E227"/>
  <c r="H227"/>
  <c r="G227"/>
  <c r="I227"/>
  <c r="J218"/>
  <c r="F227"/>
  <c r="J227" l="1"/>
  <c r="I209" l="1"/>
  <c r="H209"/>
  <c r="G209"/>
  <c r="F209"/>
  <c r="E209"/>
  <c r="J208"/>
  <c r="J207"/>
  <c r="J206"/>
  <c r="I205"/>
  <c r="H205"/>
  <c r="G205"/>
  <c r="F205"/>
  <c r="E205"/>
  <c r="J204"/>
  <c r="J203"/>
  <c r="J202"/>
  <c r="I201"/>
  <c r="H201"/>
  <c r="G201"/>
  <c r="F201"/>
  <c r="E201"/>
  <c r="J200"/>
  <c r="J199"/>
  <c r="J198"/>
  <c r="I197"/>
  <c r="H197"/>
  <c r="H210" s="1"/>
  <c r="G197"/>
  <c r="G210" s="1"/>
  <c r="F197"/>
  <c r="E197"/>
  <c r="J196"/>
  <c r="J195"/>
  <c r="J194"/>
  <c r="I192"/>
  <c r="H192"/>
  <c r="G192"/>
  <c r="F192"/>
  <c r="E192"/>
  <c r="J191"/>
  <c r="J190"/>
  <c r="J189"/>
  <c r="I188"/>
  <c r="H188"/>
  <c r="G188"/>
  <c r="F188"/>
  <c r="E188"/>
  <c r="J187"/>
  <c r="J186"/>
  <c r="J185"/>
  <c r="I184"/>
  <c r="H184"/>
  <c r="G184"/>
  <c r="F184"/>
  <c r="E184"/>
  <c r="J183"/>
  <c r="J182"/>
  <c r="J181"/>
  <c r="I180"/>
  <c r="H180"/>
  <c r="G180"/>
  <c r="F180"/>
  <c r="E180"/>
  <c r="J179"/>
  <c r="J178"/>
  <c r="J177"/>
  <c r="I175"/>
  <c r="H175"/>
  <c r="G175"/>
  <c r="F175"/>
  <c r="E175"/>
  <c r="J174"/>
  <c r="J173"/>
  <c r="J172"/>
  <c r="I171"/>
  <c r="H171"/>
  <c r="G171"/>
  <c r="F171"/>
  <c r="E171"/>
  <c r="J170"/>
  <c r="J169"/>
  <c r="J168"/>
  <c r="I167"/>
  <c r="H167"/>
  <c r="G167"/>
  <c r="F167"/>
  <c r="E167"/>
  <c r="J166"/>
  <c r="J165"/>
  <c r="J164"/>
  <c r="I163"/>
  <c r="H163"/>
  <c r="G163"/>
  <c r="F163"/>
  <c r="E163"/>
  <c r="J162"/>
  <c r="J161"/>
  <c r="J160"/>
  <c r="I158"/>
  <c r="H158"/>
  <c r="G158"/>
  <c r="F158"/>
  <c r="E158"/>
  <c r="J157"/>
  <c r="J156"/>
  <c r="J155"/>
  <c r="I154"/>
  <c r="H154"/>
  <c r="G154"/>
  <c r="F154"/>
  <c r="E154"/>
  <c r="J153"/>
  <c r="J152"/>
  <c r="J151"/>
  <c r="I150"/>
  <c r="H150"/>
  <c r="G150"/>
  <c r="F150"/>
  <c r="E150"/>
  <c r="J149"/>
  <c r="J148"/>
  <c r="J147"/>
  <c r="I146"/>
  <c r="H146"/>
  <c r="G146"/>
  <c r="F146"/>
  <c r="E146"/>
  <c r="J145"/>
  <c r="J144"/>
  <c r="J143"/>
  <c r="I141"/>
  <c r="H141"/>
  <c r="G141"/>
  <c r="F141"/>
  <c r="E141"/>
  <c r="J140"/>
  <c r="J139"/>
  <c r="J138"/>
  <c r="I137"/>
  <c r="H137"/>
  <c r="G137"/>
  <c r="F137"/>
  <c r="E137"/>
  <c r="J136"/>
  <c r="J135"/>
  <c r="J134"/>
  <c r="I133"/>
  <c r="H133"/>
  <c r="G133"/>
  <c r="F133"/>
  <c r="E133"/>
  <c r="J132"/>
  <c r="J131"/>
  <c r="J130"/>
  <c r="I129"/>
  <c r="H129"/>
  <c r="G129"/>
  <c r="F129"/>
  <c r="E129"/>
  <c r="J128"/>
  <c r="J127"/>
  <c r="J126"/>
  <c r="I124"/>
  <c r="H124"/>
  <c r="G124"/>
  <c r="F124"/>
  <c r="E124"/>
  <c r="J123"/>
  <c r="J122"/>
  <c r="J121"/>
  <c r="I120"/>
  <c r="H120"/>
  <c r="G120"/>
  <c r="F120"/>
  <c r="E120"/>
  <c r="J119"/>
  <c r="J118"/>
  <c r="J117"/>
  <c r="I116"/>
  <c r="H116"/>
  <c r="G116"/>
  <c r="F116"/>
  <c r="E116"/>
  <c r="J115"/>
  <c r="J114"/>
  <c r="J113"/>
  <c r="I112"/>
  <c r="H112"/>
  <c r="G112"/>
  <c r="F112"/>
  <c r="E112"/>
  <c r="J111"/>
  <c r="J110"/>
  <c r="J109"/>
  <c r="I107"/>
  <c r="H107"/>
  <c r="G107"/>
  <c r="F107"/>
  <c r="E107"/>
  <c r="J106"/>
  <c r="J105"/>
  <c r="J104"/>
  <c r="I103"/>
  <c r="H103"/>
  <c r="G103"/>
  <c r="F103"/>
  <c r="E103"/>
  <c r="J102"/>
  <c r="J101"/>
  <c r="J100"/>
  <c r="I99"/>
  <c r="H99"/>
  <c r="G99"/>
  <c r="F99"/>
  <c r="E99"/>
  <c r="J98"/>
  <c r="J97"/>
  <c r="J96"/>
  <c r="I95"/>
  <c r="H95"/>
  <c r="G95"/>
  <c r="F95"/>
  <c r="E95"/>
  <c r="J94"/>
  <c r="J93"/>
  <c r="J92"/>
  <c r="I90"/>
  <c r="H90"/>
  <c r="G90"/>
  <c r="F90"/>
  <c r="E90"/>
  <c r="J89"/>
  <c r="J88"/>
  <c r="J87"/>
  <c r="I86"/>
  <c r="H86"/>
  <c r="G86"/>
  <c r="F86"/>
  <c r="E86"/>
  <c r="J85"/>
  <c r="J84"/>
  <c r="J83"/>
  <c r="I82"/>
  <c r="H82"/>
  <c r="G82"/>
  <c r="F82"/>
  <c r="E82"/>
  <c r="J81"/>
  <c r="J80"/>
  <c r="J79"/>
  <c r="I78"/>
  <c r="H78"/>
  <c r="G78"/>
  <c r="G91" s="1"/>
  <c r="F78"/>
  <c r="F91" s="1"/>
  <c r="E78"/>
  <c r="J77"/>
  <c r="J76"/>
  <c r="J75"/>
  <c r="I73"/>
  <c r="H73"/>
  <c r="J72"/>
  <c r="I71"/>
  <c r="G71"/>
  <c r="G73" s="1"/>
  <c r="E71"/>
  <c r="I70"/>
  <c r="F70"/>
  <c r="F73" s="1"/>
  <c r="E70"/>
  <c r="E69"/>
  <c r="J68"/>
  <c r="I67"/>
  <c r="H67"/>
  <c r="H69" s="1"/>
  <c r="G67"/>
  <c r="J67" s="1"/>
  <c r="I66"/>
  <c r="I69" s="1"/>
  <c r="H66"/>
  <c r="G66"/>
  <c r="F66"/>
  <c r="F69" s="1"/>
  <c r="E66"/>
  <c r="I64"/>
  <c r="H64"/>
  <c r="G64"/>
  <c r="F64"/>
  <c r="E64"/>
  <c r="I63"/>
  <c r="I65" s="1"/>
  <c r="H63"/>
  <c r="G63"/>
  <c r="F63"/>
  <c r="E63"/>
  <c r="E65" s="1"/>
  <c r="I62"/>
  <c r="H62"/>
  <c r="H65" s="1"/>
  <c r="G62"/>
  <c r="F62"/>
  <c r="E62"/>
  <c r="I61"/>
  <c r="G61"/>
  <c r="F61"/>
  <c r="E61"/>
  <c r="H60"/>
  <c r="J60" s="1"/>
  <c r="H59"/>
  <c r="H61" s="1"/>
  <c r="J58"/>
  <c r="H58"/>
  <c r="I56"/>
  <c r="H56"/>
  <c r="G56"/>
  <c r="F56"/>
  <c r="E56"/>
  <c r="J55"/>
  <c r="J54"/>
  <c r="J53"/>
  <c r="I52"/>
  <c r="H52"/>
  <c r="G52"/>
  <c r="F52"/>
  <c r="E52"/>
  <c r="J51"/>
  <c r="J50"/>
  <c r="J49"/>
  <c r="I48"/>
  <c r="H48"/>
  <c r="G48"/>
  <c r="F48"/>
  <c r="E48"/>
  <c r="J47"/>
  <c r="J46"/>
  <c r="J45"/>
  <c r="I44"/>
  <c r="H44"/>
  <c r="G44"/>
  <c r="G57" s="1"/>
  <c r="F44"/>
  <c r="F57" s="1"/>
  <c r="E44"/>
  <c r="J43"/>
  <c r="J42"/>
  <c r="J41"/>
  <c r="I39"/>
  <c r="H39"/>
  <c r="G39"/>
  <c r="F39"/>
  <c r="E39"/>
  <c r="J38"/>
  <c r="J37"/>
  <c r="J36"/>
  <c r="I35"/>
  <c r="H35"/>
  <c r="G35"/>
  <c r="F35"/>
  <c r="E35"/>
  <c r="J34"/>
  <c r="J33"/>
  <c r="J32"/>
  <c r="I31"/>
  <c r="H31"/>
  <c r="G31"/>
  <c r="F31"/>
  <c r="E31"/>
  <c r="J30"/>
  <c r="J29"/>
  <c r="J28"/>
  <c r="I27"/>
  <c r="I40" s="1"/>
  <c r="H27"/>
  <c r="H40" s="1"/>
  <c r="G27"/>
  <c r="F27"/>
  <c r="E27"/>
  <c r="E40" s="1"/>
  <c r="J26"/>
  <c r="J25"/>
  <c r="J24"/>
  <c r="I22"/>
  <c r="H22"/>
  <c r="G22"/>
  <c r="F22"/>
  <c r="E22"/>
  <c r="J21"/>
  <c r="J20"/>
  <c r="J19"/>
  <c r="I18"/>
  <c r="H18"/>
  <c r="G18"/>
  <c r="F18"/>
  <c r="E18"/>
  <c r="J17"/>
  <c r="J16"/>
  <c r="J15"/>
  <c r="I14"/>
  <c r="H14"/>
  <c r="G14"/>
  <c r="F14"/>
  <c r="E14"/>
  <c r="J13"/>
  <c r="J12"/>
  <c r="J11"/>
  <c r="I10"/>
  <c r="H10"/>
  <c r="G10"/>
  <c r="G23" s="1"/>
  <c r="F10"/>
  <c r="F23" s="1"/>
  <c r="E10"/>
  <c r="J9"/>
  <c r="J8"/>
  <c r="J7"/>
  <c r="K74" i="19"/>
  <c r="K73"/>
  <c r="K72"/>
  <c r="K71"/>
  <c r="K70"/>
  <c r="K69"/>
  <c r="H23" i="14" l="1"/>
  <c r="H57"/>
  <c r="I91"/>
  <c r="E108"/>
  <c r="E125"/>
  <c r="I142"/>
  <c r="I159"/>
  <c r="I176"/>
  <c r="I193"/>
  <c r="G40"/>
  <c r="E74"/>
  <c r="J70"/>
  <c r="J73" s="1"/>
  <c r="H91"/>
  <c r="H125"/>
  <c r="H142"/>
  <c r="H193"/>
  <c r="J10"/>
  <c r="J14"/>
  <c r="J23" s="1"/>
  <c r="J18"/>
  <c r="J22"/>
  <c r="J27"/>
  <c r="J31"/>
  <c r="J40" s="1"/>
  <c r="F40"/>
  <c r="J35"/>
  <c r="J39"/>
  <c r="J44"/>
  <c r="J48"/>
  <c r="J52"/>
  <c r="J56"/>
  <c r="H74"/>
  <c r="I74"/>
  <c r="J64"/>
  <c r="J71"/>
  <c r="E73"/>
  <c r="G108"/>
  <c r="G125"/>
  <c r="G142"/>
  <c r="G159"/>
  <c r="G176"/>
  <c r="G193"/>
  <c r="E91"/>
  <c r="I108"/>
  <c r="I125"/>
  <c r="E142"/>
  <c r="E159"/>
  <c r="E176"/>
  <c r="E193"/>
  <c r="I210"/>
  <c r="H108"/>
  <c r="H159"/>
  <c r="H176"/>
  <c r="E23"/>
  <c r="I23"/>
  <c r="E57"/>
  <c r="I57"/>
  <c r="G65"/>
  <c r="G69"/>
  <c r="G74" s="1"/>
  <c r="J78"/>
  <c r="J82"/>
  <c r="J86"/>
  <c r="J90"/>
  <c r="J95"/>
  <c r="J99"/>
  <c r="J103"/>
  <c r="F108"/>
  <c r="J107"/>
  <c r="J112"/>
  <c r="J116"/>
  <c r="J120"/>
  <c r="J124"/>
  <c r="J125" s="1"/>
  <c r="F125"/>
  <c r="J129"/>
  <c r="J133"/>
  <c r="J137"/>
  <c r="J142" s="1"/>
  <c r="F142"/>
  <c r="J141"/>
  <c r="J146"/>
  <c r="J150"/>
  <c r="J154"/>
  <c r="J158"/>
  <c r="F159"/>
  <c r="J163"/>
  <c r="J167"/>
  <c r="J171"/>
  <c r="F176"/>
  <c r="J175"/>
  <c r="J180"/>
  <c r="J184"/>
  <c r="J188"/>
  <c r="J192"/>
  <c r="J193" s="1"/>
  <c r="F193"/>
  <c r="J209"/>
  <c r="E210"/>
  <c r="F210"/>
  <c r="J205"/>
  <c r="J201"/>
  <c r="J197"/>
  <c r="J108"/>
  <c r="J159"/>
  <c r="J176"/>
  <c r="J57"/>
  <c r="J59"/>
  <c r="J61" s="1"/>
  <c r="J74" s="1"/>
  <c r="J63"/>
  <c r="F65"/>
  <c r="F74" s="1"/>
  <c r="J91"/>
  <c r="J62"/>
  <c r="J65" s="1"/>
  <c r="J66"/>
  <c r="J69" s="1"/>
  <c r="R36" i="19"/>
  <c r="P63"/>
  <c r="O63"/>
  <c r="N63"/>
  <c r="M63"/>
  <c r="L63"/>
  <c r="K63"/>
  <c r="J63"/>
  <c r="P36"/>
  <c r="O36"/>
  <c r="N36"/>
  <c r="M36"/>
  <c r="L36"/>
  <c r="K36"/>
  <c r="J36"/>
  <c r="I36"/>
  <c r="H36"/>
  <c r="G36"/>
  <c r="F36"/>
  <c r="E36"/>
  <c r="D36"/>
  <c r="J210" i="14" l="1"/>
  <c r="G15" i="18"/>
  <c r="F15"/>
  <c r="E15"/>
  <c r="D15"/>
  <c r="C15"/>
  <c r="H14"/>
  <c r="H13"/>
  <c r="H12"/>
  <c r="H11"/>
  <c r="H10"/>
  <c r="H9"/>
  <c r="H8"/>
  <c r="H7"/>
  <c r="H6"/>
  <c r="H5"/>
  <c r="H56" i="17"/>
  <c r="G56"/>
  <c r="F56"/>
  <c r="E56"/>
  <c r="D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H25"/>
  <c r="G25"/>
  <c r="F25"/>
  <c r="E25"/>
  <c r="D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69" i="16"/>
  <c r="H169"/>
  <c r="G169"/>
  <c r="F169"/>
  <c r="E169"/>
  <c r="J168"/>
  <c r="J167"/>
  <c r="I166"/>
  <c r="H166"/>
  <c r="G166"/>
  <c r="F166"/>
  <c r="E166"/>
  <c r="J165"/>
  <c r="J164"/>
  <c r="J163"/>
  <c r="J162"/>
  <c r="J161"/>
  <c r="J160"/>
  <c r="I159"/>
  <c r="H159"/>
  <c r="G159"/>
  <c r="F159"/>
  <c r="E159"/>
  <c r="J158"/>
  <c r="J157"/>
  <c r="H156"/>
  <c r="G156"/>
  <c r="J155"/>
  <c r="I155"/>
  <c r="I156" s="1"/>
  <c r="H155"/>
  <c r="G155"/>
  <c r="F155"/>
  <c r="F156" s="1"/>
  <c r="E155"/>
  <c r="E156" s="1"/>
  <c r="J154"/>
  <c r="J153"/>
  <c r="I152"/>
  <c r="H152"/>
  <c r="G152"/>
  <c r="F152"/>
  <c r="E152"/>
  <c r="J151"/>
  <c r="J150"/>
  <c r="J149"/>
  <c r="J152" s="1"/>
  <c r="J148"/>
  <c r="J147"/>
  <c r="J146"/>
  <c r="J145"/>
  <c r="I145"/>
  <c r="H145"/>
  <c r="G145"/>
  <c r="F145"/>
  <c r="E145"/>
  <c r="J144"/>
  <c r="J143"/>
  <c r="I142"/>
  <c r="F142"/>
  <c r="E142"/>
  <c r="I141"/>
  <c r="H141"/>
  <c r="H142" s="1"/>
  <c r="G141"/>
  <c r="G142" s="1"/>
  <c r="F141"/>
  <c r="E141"/>
  <c r="J140"/>
  <c r="J139"/>
  <c r="J141" s="1"/>
  <c r="I138"/>
  <c r="H138"/>
  <c r="G138"/>
  <c r="F138"/>
  <c r="E138"/>
  <c r="J137"/>
  <c r="J136"/>
  <c r="J135"/>
  <c r="J134"/>
  <c r="J133"/>
  <c r="J132"/>
  <c r="J138" s="1"/>
  <c r="I131"/>
  <c r="H131"/>
  <c r="G131"/>
  <c r="F131"/>
  <c r="E131"/>
  <c r="J130"/>
  <c r="J129"/>
  <c r="J131" s="1"/>
  <c r="H128"/>
  <c r="G128"/>
  <c r="J127"/>
  <c r="I127"/>
  <c r="I128" s="1"/>
  <c r="H127"/>
  <c r="G127"/>
  <c r="F127"/>
  <c r="F128" s="1"/>
  <c r="E127"/>
  <c r="E128" s="1"/>
  <c r="J126"/>
  <c r="J125"/>
  <c r="I124"/>
  <c r="H124"/>
  <c r="G124"/>
  <c r="F124"/>
  <c r="E124"/>
  <c r="J123"/>
  <c r="J122"/>
  <c r="J121"/>
  <c r="J124" s="1"/>
  <c r="J120"/>
  <c r="J119"/>
  <c r="J118"/>
  <c r="J117"/>
  <c r="I117"/>
  <c r="H117"/>
  <c r="G117"/>
  <c r="F117"/>
  <c r="E117"/>
  <c r="J116"/>
  <c r="J115"/>
  <c r="I114"/>
  <c r="F114"/>
  <c r="E114"/>
  <c r="I113"/>
  <c r="H113"/>
  <c r="H114" s="1"/>
  <c r="G113"/>
  <c r="G114" s="1"/>
  <c r="F113"/>
  <c r="E113"/>
  <c r="J112"/>
  <c r="J111"/>
  <c r="J113" s="1"/>
  <c r="I110"/>
  <c r="H110"/>
  <c r="G110"/>
  <c r="F110"/>
  <c r="E110"/>
  <c r="J109"/>
  <c r="J108"/>
  <c r="J107"/>
  <c r="J106"/>
  <c r="J105"/>
  <c r="J104"/>
  <c r="J110" s="1"/>
  <c r="I103"/>
  <c r="H103"/>
  <c r="G103"/>
  <c r="F103"/>
  <c r="E103"/>
  <c r="J102"/>
  <c r="J101"/>
  <c r="J103" s="1"/>
  <c r="H100"/>
  <c r="G100"/>
  <c r="J99"/>
  <c r="I99"/>
  <c r="I100" s="1"/>
  <c r="H99"/>
  <c r="G99"/>
  <c r="F99"/>
  <c r="F100" s="1"/>
  <c r="E99"/>
  <c r="E100" s="1"/>
  <c r="J98"/>
  <c r="J97"/>
  <c r="I96"/>
  <c r="H96"/>
  <c r="G96"/>
  <c r="F96"/>
  <c r="E96"/>
  <c r="J95"/>
  <c r="J94"/>
  <c r="J93"/>
  <c r="J96" s="1"/>
  <c r="J92"/>
  <c r="J91"/>
  <c r="J90"/>
  <c r="J89"/>
  <c r="I89"/>
  <c r="H89"/>
  <c r="G89"/>
  <c r="F89"/>
  <c r="E89"/>
  <c r="J88"/>
  <c r="J87"/>
  <c r="I86"/>
  <c r="F86"/>
  <c r="E86"/>
  <c r="I85"/>
  <c r="H85"/>
  <c r="H86" s="1"/>
  <c r="G85"/>
  <c r="G86" s="1"/>
  <c r="F85"/>
  <c r="E85"/>
  <c r="J84"/>
  <c r="J83"/>
  <c r="J85" s="1"/>
  <c r="I82"/>
  <c r="H82"/>
  <c r="G82"/>
  <c r="F82"/>
  <c r="E82"/>
  <c r="J81"/>
  <c r="J80"/>
  <c r="J79"/>
  <c r="J78"/>
  <c r="J77"/>
  <c r="J76"/>
  <c r="J82" s="1"/>
  <c r="I75"/>
  <c r="H75"/>
  <c r="G75"/>
  <c r="F75"/>
  <c r="E75"/>
  <c r="J74"/>
  <c r="J73"/>
  <c r="J75" s="1"/>
  <c r="H72"/>
  <c r="G72"/>
  <c r="J71"/>
  <c r="I71"/>
  <c r="H71"/>
  <c r="G71"/>
  <c r="F71"/>
  <c r="E71"/>
  <c r="J70"/>
  <c r="J69"/>
  <c r="I68"/>
  <c r="H68"/>
  <c r="G68"/>
  <c r="F68"/>
  <c r="E68"/>
  <c r="J67"/>
  <c r="J66"/>
  <c r="J65"/>
  <c r="J68" s="1"/>
  <c r="J64"/>
  <c r="J63"/>
  <c r="J62"/>
  <c r="J61"/>
  <c r="I61"/>
  <c r="I72" s="1"/>
  <c r="H61"/>
  <c r="G61"/>
  <c r="F61"/>
  <c r="F72" s="1"/>
  <c r="E61"/>
  <c r="E72" s="1"/>
  <c r="J60"/>
  <c r="J72" s="1"/>
  <c r="J59"/>
  <c r="I56"/>
  <c r="H56"/>
  <c r="G56"/>
  <c r="F56"/>
  <c r="J56" s="1"/>
  <c r="E56"/>
  <c r="I55"/>
  <c r="I57" s="1"/>
  <c r="H55"/>
  <c r="H57" s="1"/>
  <c r="G55"/>
  <c r="G57" s="1"/>
  <c r="F55"/>
  <c r="F57" s="1"/>
  <c r="E55"/>
  <c r="E57" s="1"/>
  <c r="G53"/>
  <c r="F53"/>
  <c r="J53" s="1"/>
  <c r="H52"/>
  <c r="G52"/>
  <c r="F52"/>
  <c r="J52" s="1"/>
  <c r="H51"/>
  <c r="F51"/>
  <c r="E51"/>
  <c r="J51" s="1"/>
  <c r="I50"/>
  <c r="H50"/>
  <c r="E50"/>
  <c r="J50" s="1"/>
  <c r="I49"/>
  <c r="H49"/>
  <c r="G49"/>
  <c r="F49"/>
  <c r="J49" s="1"/>
  <c r="E49"/>
  <c r="I48"/>
  <c r="I54" s="1"/>
  <c r="H48"/>
  <c r="H54" s="1"/>
  <c r="G48"/>
  <c r="G54" s="1"/>
  <c r="F48"/>
  <c r="E48"/>
  <c r="J48" s="1"/>
  <c r="G47"/>
  <c r="I46"/>
  <c r="G46"/>
  <c r="F46"/>
  <c r="E46"/>
  <c r="J46" s="1"/>
  <c r="I45"/>
  <c r="I47" s="1"/>
  <c r="H45"/>
  <c r="H47" s="1"/>
  <c r="G45"/>
  <c r="G58" s="1"/>
  <c r="F45"/>
  <c r="E45"/>
  <c r="H44"/>
  <c r="G44"/>
  <c r="J43"/>
  <c r="I43"/>
  <c r="H43"/>
  <c r="G43"/>
  <c r="F43"/>
  <c r="E43"/>
  <c r="J42"/>
  <c r="J41"/>
  <c r="I40"/>
  <c r="H40"/>
  <c r="G40"/>
  <c r="F40"/>
  <c r="E40"/>
  <c r="J39"/>
  <c r="J38"/>
  <c r="J37"/>
  <c r="J40" s="1"/>
  <c r="J36"/>
  <c r="J35"/>
  <c r="J34"/>
  <c r="J33"/>
  <c r="I33"/>
  <c r="I44" s="1"/>
  <c r="H33"/>
  <c r="G33"/>
  <c r="F33"/>
  <c r="F44" s="1"/>
  <c r="E33"/>
  <c r="E44" s="1"/>
  <c r="J32"/>
  <c r="J31"/>
  <c r="I29"/>
  <c r="H29"/>
  <c r="G29"/>
  <c r="F29"/>
  <c r="E29"/>
  <c r="J28"/>
  <c r="J29" s="1"/>
  <c r="I27"/>
  <c r="H27"/>
  <c r="G27"/>
  <c r="F27"/>
  <c r="E27"/>
  <c r="J26"/>
  <c r="J25"/>
  <c r="J24"/>
  <c r="J27" s="1"/>
  <c r="J23"/>
  <c r="J22"/>
  <c r="J21"/>
  <c r="J30" s="1"/>
  <c r="I21"/>
  <c r="I30" s="1"/>
  <c r="H21"/>
  <c r="H30" s="1"/>
  <c r="G21"/>
  <c r="G30" s="1"/>
  <c r="F21"/>
  <c r="F30" s="1"/>
  <c r="E21"/>
  <c r="E30" s="1"/>
  <c r="J20"/>
  <c r="J19"/>
  <c r="I17"/>
  <c r="H17"/>
  <c r="G17"/>
  <c r="F17"/>
  <c r="E17"/>
  <c r="J16"/>
  <c r="J17" s="1"/>
  <c r="I15"/>
  <c r="H15"/>
  <c r="G15"/>
  <c r="F15"/>
  <c r="E15"/>
  <c r="J14"/>
  <c r="J13"/>
  <c r="J12"/>
  <c r="J15" s="1"/>
  <c r="J11"/>
  <c r="J10"/>
  <c r="J9"/>
  <c r="J18" s="1"/>
  <c r="I9"/>
  <c r="I18" s="1"/>
  <c r="H9"/>
  <c r="H18" s="1"/>
  <c r="G9"/>
  <c r="G18" s="1"/>
  <c r="F9"/>
  <c r="F18" s="1"/>
  <c r="E9"/>
  <c r="E18" s="1"/>
  <c r="J8"/>
  <c r="J7"/>
  <c r="H54" i="15"/>
  <c r="G54"/>
  <c r="F54"/>
  <c r="E54"/>
  <c r="D54"/>
  <c r="I53"/>
  <c r="I52"/>
  <c r="I51"/>
  <c r="H50"/>
  <c r="G50"/>
  <c r="F50"/>
  <c r="E50"/>
  <c r="D50"/>
  <c r="I49"/>
  <c r="I48"/>
  <c r="I47"/>
  <c r="H46"/>
  <c r="G46"/>
  <c r="F46"/>
  <c r="E46"/>
  <c r="D46"/>
  <c r="I45"/>
  <c r="I44"/>
  <c r="I43"/>
  <c r="H42"/>
  <c r="G42"/>
  <c r="F42"/>
  <c r="E42"/>
  <c r="D42"/>
  <c r="I41"/>
  <c r="I40"/>
  <c r="I39"/>
  <c r="H38"/>
  <c r="G38"/>
  <c r="F38"/>
  <c r="E38"/>
  <c r="D38"/>
  <c r="I37"/>
  <c r="I36"/>
  <c r="I35"/>
  <c r="H34"/>
  <c r="G34"/>
  <c r="F34"/>
  <c r="E34"/>
  <c r="D34"/>
  <c r="I33"/>
  <c r="I32"/>
  <c r="I31"/>
  <c r="H30"/>
  <c r="G30"/>
  <c r="F30"/>
  <c r="D30"/>
  <c r="I29"/>
  <c r="I28"/>
  <c r="E28"/>
  <c r="E30" s="1"/>
  <c r="I27"/>
  <c r="H26"/>
  <c r="G26"/>
  <c r="F26"/>
  <c r="D26"/>
  <c r="I25"/>
  <c r="I24"/>
  <c r="E24"/>
  <c r="E26" s="1"/>
  <c r="I23"/>
  <c r="H22"/>
  <c r="G22"/>
  <c r="F22"/>
  <c r="E22"/>
  <c r="D22"/>
  <c r="I21"/>
  <c r="I20"/>
  <c r="I19"/>
  <c r="H18"/>
  <c r="G18"/>
  <c r="F18"/>
  <c r="E18"/>
  <c r="D18"/>
  <c r="I17"/>
  <c r="I16"/>
  <c r="I15"/>
  <c r="H14"/>
  <c r="G14"/>
  <c r="F14"/>
  <c r="E14"/>
  <c r="D14"/>
  <c r="I13"/>
  <c r="I12"/>
  <c r="I11"/>
  <c r="H10"/>
  <c r="G10"/>
  <c r="F10"/>
  <c r="E10"/>
  <c r="D10"/>
  <c r="I9"/>
  <c r="I8"/>
  <c r="I7"/>
  <c r="H9" i="12"/>
  <c r="G10"/>
  <c r="F10"/>
  <c r="E10"/>
  <c r="D10"/>
  <c r="C10"/>
  <c r="H8" i="5"/>
  <c r="G9"/>
  <c r="F9"/>
  <c r="E9"/>
  <c r="D9"/>
  <c r="C9"/>
  <c r="H7"/>
  <c r="H9" s="1"/>
  <c r="H8" i="12"/>
  <c r="H7"/>
  <c r="H7" i="11"/>
  <c r="H8"/>
  <c r="H9"/>
  <c r="H10"/>
  <c r="H11"/>
  <c r="H12"/>
  <c r="H13"/>
  <c r="H14"/>
  <c r="C15"/>
  <c r="D15"/>
  <c r="E15"/>
  <c r="F15"/>
  <c r="G15"/>
  <c r="H26"/>
  <c r="H27"/>
  <c r="H28"/>
  <c r="H29"/>
  <c r="H30"/>
  <c r="H31"/>
  <c r="H32"/>
  <c r="H33"/>
  <c r="C34"/>
  <c r="D34"/>
  <c r="E34"/>
  <c r="F34"/>
  <c r="G34"/>
  <c r="H17" i="5"/>
  <c r="H18" s="1"/>
  <c r="G18"/>
  <c r="F18"/>
  <c r="E18"/>
  <c r="D18"/>
  <c r="C18"/>
  <c r="H13" i="2"/>
  <c r="H14"/>
  <c r="H15"/>
  <c r="H16"/>
  <c r="H17"/>
  <c r="H18"/>
  <c r="G19"/>
  <c r="F19"/>
  <c r="E19"/>
  <c r="D19"/>
  <c r="C19"/>
  <c r="H7"/>
  <c r="H8"/>
  <c r="H9"/>
  <c r="H10"/>
  <c r="H11"/>
  <c r="G12"/>
  <c r="F12"/>
  <c r="E12"/>
  <c r="D12"/>
  <c r="C12"/>
  <c r="H7" i="10"/>
  <c r="H8"/>
  <c r="H9"/>
  <c r="H10"/>
  <c r="H11"/>
  <c r="H12"/>
  <c r="C13"/>
  <c r="D13"/>
  <c r="E13"/>
  <c r="F13"/>
  <c r="G13"/>
  <c r="E13" i="4"/>
  <c r="H7"/>
  <c r="H8"/>
  <c r="H9"/>
  <c r="H10"/>
  <c r="H11"/>
  <c r="H12"/>
  <c r="H21" i="2"/>
  <c r="H22" s="1"/>
  <c r="H20"/>
  <c r="D13" i="4"/>
  <c r="C13"/>
  <c r="G13"/>
  <c r="F13"/>
  <c r="D22" i="2"/>
  <c r="G22"/>
  <c r="E22"/>
  <c r="F22"/>
  <c r="C22"/>
  <c r="H12" l="1"/>
  <c r="I56" i="17"/>
  <c r="J166" i="16"/>
  <c r="E170"/>
  <c r="I170"/>
  <c r="H19" i="2"/>
  <c r="G170" i="16"/>
  <c r="J169"/>
  <c r="F170"/>
  <c r="H170"/>
  <c r="J159"/>
  <c r="H13" i="10"/>
  <c r="H15" i="18"/>
  <c r="I25" i="17"/>
  <c r="J54" i="16"/>
  <c r="J142"/>
  <c r="J156"/>
  <c r="J44"/>
  <c r="J86"/>
  <c r="J100"/>
  <c r="J114"/>
  <c r="J128"/>
  <c r="J45"/>
  <c r="F47"/>
  <c r="F58" s="1"/>
  <c r="E54"/>
  <c r="I58"/>
  <c r="E47"/>
  <c r="E58" s="1"/>
  <c r="J55"/>
  <c r="J57" s="1"/>
  <c r="H58"/>
  <c r="F54"/>
  <c r="I54" i="15"/>
  <c r="I26"/>
  <c r="I10"/>
  <c r="I14"/>
  <c r="I18"/>
  <c r="I22"/>
  <c r="I30"/>
  <c r="I34"/>
  <c r="I38"/>
  <c r="I42"/>
  <c r="I46"/>
  <c r="I50"/>
  <c r="H13" i="4"/>
  <c r="H10" i="12"/>
  <c r="H34" i="11"/>
  <c r="H15"/>
  <c r="J170" i="16" l="1"/>
  <c r="J47"/>
  <c r="J58"/>
</calcChain>
</file>

<file path=xl/sharedStrings.xml><?xml version="1.0" encoding="utf-8"?>
<sst xmlns="http://schemas.openxmlformats.org/spreadsheetml/2006/main" count="1112" uniqueCount="247">
  <si>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</si>
  <si>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</si>
  <si>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</si>
  <si>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</si>
  <si>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</si>
  <si>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</si>
  <si>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</si>
  <si>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</si>
  <si>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</si>
  <si>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</si>
  <si>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</si>
  <si>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</si>
  <si>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</si>
  <si>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</si>
  <si>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</si>
  <si>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</si>
  <si>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</si>
  <si>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</si>
  <si>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</si>
  <si>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</si>
  <si>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</si>
  <si>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</si>
  <si>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</si>
  <si>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</si>
  <si>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</si>
  <si>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</si>
  <si>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</si>
  <si>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</si>
  <si>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</si>
  <si>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</si>
  <si>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</si>
  <si>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</si>
  <si>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</si>
  <si>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</si>
  <si>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</si>
  <si>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</si>
  <si>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</si>
  <si>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</si>
  <si>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</si>
  <si>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</si>
  <si>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</si>
  <si>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</si>
  <si>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</si>
  <si>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</si>
  <si>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</si>
  <si>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</si>
  <si>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</si>
  <si>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</si>
  <si>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</si>
  <si>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</si>
  <si>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</si>
  <si>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</si>
  <si>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</si>
  <si>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</si>
  <si>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</si>
  <si>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</si>
  <si>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</si>
  <si>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</si>
  <si>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</si>
  <si>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</si>
  <si>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</si>
  <si>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</si>
  <si>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</si>
  <si>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</si>
  <si>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</si>
  <si>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</si>
  <si>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</si>
  <si>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</si>
  <si>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East Midlands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</si>
  <si>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</si>
  <si>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</si>
  <si>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</si>
  <si>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EAST MIDLANDS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</si>
  <si>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</si>
  <si>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</si>
  <si>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</si>
  <si>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</si>
  <si>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</si>
  <si>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</si>
  <si>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</si>
  <si>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</si>
  <si>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</si>
  <si>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</si>
  <si>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</si>
  <si>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</si>
  <si>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</si>
  <si>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</si>
  <si>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</si>
  <si>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>Former East Midlands Planning Region</t>
  </si>
  <si>
    <t xml:space="preserve">Landfill </t>
  </si>
  <si>
    <t>Category</t>
  </si>
  <si>
    <t>Transfer, Treatment &amp; MRS</t>
  </si>
  <si>
    <t>Incineration</t>
  </si>
  <si>
    <t>Land disposal</t>
  </si>
  <si>
    <t>Use of waste</t>
  </si>
  <si>
    <t>Use of waste for timber manufacturing</t>
  </si>
  <si>
    <t>Year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</si>
  <si>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</si>
  <si>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</si>
  <si>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</si>
  <si>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</si>
  <si>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</si>
  <si>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</si>
  <si>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</si>
  <si>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</si>
  <si>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2000/1</t>
  </si>
  <si>
    <t>Transfer</t>
  </si>
  <si>
    <t>Civic amenity</t>
  </si>
  <si>
    <t>Treatment</t>
  </si>
  <si>
    <t>MRS</t>
  </si>
  <si>
    <t>Metal recycling</t>
  </si>
  <si>
    <t>MRS Total</t>
  </si>
  <si>
    <t>2000/1 Total</t>
  </si>
  <si>
    <t>2002/3</t>
  </si>
  <si>
    <t>2002/3 Total</t>
  </si>
  <si>
    <t>2004/5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</si>
  <si>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</si>
  <si>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</si>
  <si>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</si>
  <si>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</si>
  <si>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</si>
  <si>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</si>
  <si>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</si>
  <si>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</si>
  <si>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</si>
  <si>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</si>
  <si>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</si>
  <si>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</si>
  <si>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</si>
  <si>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</si>
  <si>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</si>
  <si>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</si>
  <si>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</si>
  <si>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</si>
  <si>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</si>
  <si>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</si>
  <si>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</si>
  <si>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</si>
  <si>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</si>
  <si>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</si>
  <si>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</si>
  <si>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</si>
  <si>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</si>
  <si>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</si>
  <si>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</si>
  <si>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</si>
  <si>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</si>
  <si>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</si>
  <si>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</si>
  <si>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</si>
  <si>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</si>
  <si>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</si>
  <si>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</si>
  <si>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</si>
  <si>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</si>
  <si>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</si>
  <si>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</si>
  <si>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</si>
  <si>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</si>
  <si>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</si>
  <si>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</si>
  <si>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</si>
  <si>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</si>
  <si>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</si>
  <si>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</si>
  <si>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</si>
  <si>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</si>
  <si>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</si>
  <si>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</si>
  <si>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</si>
  <si>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</si>
  <si>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</si>
  <si>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</si>
  <si>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</si>
  <si>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</si>
  <si>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</si>
  <si>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</si>
  <si>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</si>
  <si>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</si>
  <si>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</si>
  <si>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</si>
  <si>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</si>
  <si>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</si>
  <si>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</si>
  <si>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</si>
  <si>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</si>
  <si>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</si>
  <si>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</si>
  <si>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</si>
  <si>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</si>
  <si>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</si>
  <si>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</si>
  <si>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EWC Description</t>
  </si>
  <si>
    <t>Transfer (Short term)</t>
  </si>
  <si>
    <t>Waste type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</si>
  <si>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</si>
  <si>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</si>
  <si>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</si>
  <si>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</si>
  <si>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</si>
  <si>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</si>
  <si>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</si>
  <si>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</si>
  <si>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</si>
  <si>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</si>
  <si>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</si>
  <si>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Hazardous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</si>
  <si>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</si>
  <si>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</si>
  <si>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</si>
  <si>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</si>
  <si>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Click on the link to go to the tab</t>
  </si>
  <si>
    <t>Landfill inputs 2014</t>
  </si>
  <si>
    <t xml:space="preserve">Waste Management Information 2014 </t>
  </si>
  <si>
    <t>Landfill input trends 2000-2014</t>
  </si>
  <si>
    <t>Landfill capacity 2014</t>
  </si>
  <si>
    <t>Landfill capacity trends 2000-2014</t>
  </si>
  <si>
    <t>Transfer, treatment &amp; MRS inputs 2014</t>
  </si>
  <si>
    <t>Transfer, treatment &amp; MRS input trends 2000 - 2014</t>
  </si>
  <si>
    <t>Incineration inputs and capacity 2014</t>
  </si>
  <si>
    <t>Land disposal inputs 2014</t>
  </si>
  <si>
    <t>Use of waste inputs 2014</t>
  </si>
  <si>
    <t>Hazardous waste management and deposits 2014</t>
  </si>
  <si>
    <t>Hazardous waste deposits by fate 2014</t>
  </si>
  <si>
    <t>Hazardous waste - trends data 2000-2014</t>
  </si>
  <si>
    <t>East Midlands - Landfill Inputs 2014</t>
  </si>
  <si>
    <t>2014 Total</t>
  </si>
  <si>
    <t>East Midlands - Landfill Input Trends 1998/99 - 2014</t>
  </si>
  <si>
    <t>East Midlands - Landfill Capacity 2014</t>
  </si>
  <si>
    <t>East Midlands - Landfill Capacity Trends 1998/99 - 2014</t>
  </si>
  <si>
    <t>East Midlands - Transfer, Treatment &amp; Metal Recycling Site Inputs 2014</t>
  </si>
  <si>
    <t>East Midlands - Borehole &amp; Lagoon Inputs 2014</t>
  </si>
  <si>
    <t>East Midlands - Deposit in landfill for recovery inputs 2014</t>
  </si>
  <si>
    <t>East Midlands - Use of Waste Inputs 2014</t>
  </si>
  <si>
    <t>East Midlands - Incineration Throughput 2014</t>
  </si>
  <si>
    <t>East Midlands - Incineration Capacity 2014</t>
  </si>
  <si>
    <t>East Midlands - Hazardous waste managed by EWC chapter and former planning sub-region 2014 (tonnes)</t>
  </si>
  <si>
    <t>East Midlands - Hazardous waste deposited by EWC chapter and former planning sub-region 2014 (tonnes)</t>
  </si>
  <si>
    <t>East Midlands - Hazardous waste deposited by fate and former planning sub-region 2014 (tonnes)</t>
  </si>
  <si>
    <t>East Midlands - Hazardous waste deposited by fate from 1998 - 2014 (tonnes)</t>
  </si>
  <si>
    <t>East Midlands - Hazardous waste managed by EWC chapter from 1998 - 2014 (tonnes)</t>
  </si>
  <si>
    <t>East Midlands - Hazardous waste trends 1998-2014</t>
  </si>
  <si>
    <t>East Midlands - Hazardous waste deposited by EWC chapter from 1998 - 2014 (tonnes)</t>
  </si>
  <si>
    <t>Data for 2014 is classified into Landfill Directive categories..</t>
  </si>
  <si>
    <t>2014 landfill capacity data was obtained from environmental monitoring reports required by permits or directly from the operator.</t>
  </si>
  <si>
    <t>East Midlands - Waste Deposit Trends - Transfer &amp; treatment deposits by site type, waste type and sub-region 2000/1 to 2014</t>
  </si>
  <si>
    <t>Note: this is the second version published in late October 2015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</si>
</sst>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?_);_(@_)"/>
    <numFmt numFmtId="167" formatCode="0.000"/>
    <numFmt numFmtId="168" formatCode="#,##0.000_ ;\-#,##0.000\ "/>
  </numFmts>
  <fonts count="4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color indexed="10"/>
      <name val="Arial"/>
      <family val="2"/>
    </font>
    <font>
      <b/>
      <sz val="10"/>
      <name val="Arial"/>
      <family val="2"/>
    </font>
    <font>
      <sz val="20"/>
      <name val="Wingdings"/>
      <charset val="2"/>
    </font>
    <font>
      <b/>
      <sz val="10"/>
      <color indexed="8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Arial"/>
      <family val="2"/>
    </font>
    <font>
      <sz val="10"/>
      <name val="Wingdings"/>
      <charset val="2"/>
    </font>
    <font>
      <sz val="10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34" fillId="0" borderId="0"/>
  </cellStyleXfs>
  <cellXfs count="487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7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7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7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6" fillId="4" borderId="0" xfId="0" applyFont="1" applyFill="1"/>
    <xf numFmtId="0" fontId="0" fillId="4" borderId="0" xfId="0" applyFill="1"/>
    <xf numFmtId="0" fontId="8" fillId="0" borderId="0" xfId="7" applyFont="1" applyAlignment="1" applyProtection="1"/>
    <xf numFmtId="0" fontId="9" fillId="0" borderId="0" xfId="7" applyFont="1" applyAlignment="1" applyProtection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0" fillId="0" borderId="9" xfId="0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41" fontId="12" fillId="0" borderId="6" xfId="0" applyNumberFormat="1" applyFont="1" applyFill="1" applyBorder="1" applyAlignment="1"/>
    <xf numFmtId="41" fontId="10" fillId="0" borderId="0" xfId="0" applyNumberFormat="1" applyFont="1"/>
    <xf numFmtId="0" fontId="10" fillId="0" borderId="11" xfId="0" applyFont="1" applyFill="1" applyBorder="1" applyAlignment="1"/>
    <xf numFmtId="41" fontId="10" fillId="0" borderId="22" xfId="0" applyNumberFormat="1" applyFont="1" applyBorder="1"/>
    <xf numFmtId="0" fontId="10" fillId="0" borderId="26" xfId="6" applyFont="1" applyBorder="1"/>
    <xf numFmtId="41" fontId="12" fillId="0" borderId="12" xfId="0" applyNumberFormat="1" applyFont="1" applyFill="1" applyBorder="1" applyAlignment="1"/>
    <xf numFmtId="0" fontId="15" fillId="2" borderId="0" xfId="0" applyFont="1" applyFill="1" applyAlignment="1">
      <alignment vertical="center"/>
    </xf>
    <xf numFmtId="0" fontId="17" fillId="0" borderId="0" xfId="6" applyFont="1" applyFill="1" applyAlignment="1">
      <alignment readingOrder="1"/>
    </xf>
    <xf numFmtId="0" fontId="16" fillId="2" borderId="0" xfId="0" applyFont="1" applyFill="1" applyAlignment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/>
    <xf numFmtId="41" fontId="14" fillId="5" borderId="5" xfId="0" applyNumberFormat="1" applyFont="1" applyFill="1" applyBorder="1" applyAlignment="1">
      <alignment horizontal="center"/>
    </xf>
    <xf numFmtId="41" fontId="14" fillId="5" borderId="7" xfId="0" applyNumberFormat="1" applyFont="1" applyFill="1" applyBorder="1" applyAlignment="1">
      <alignment horizontal="center"/>
    </xf>
    <xf numFmtId="41" fontId="14" fillId="5" borderId="8" xfId="0" applyNumberFormat="1" applyFont="1" applyFill="1" applyBorder="1" applyAlignment="1"/>
    <xf numFmtId="0" fontId="14" fillId="5" borderId="1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/>
    <xf numFmtId="41" fontId="14" fillId="5" borderId="19" xfId="0" applyNumberFormat="1" applyFont="1" applyFill="1" applyBorder="1" applyAlignment="1">
      <alignment horizontal="center"/>
    </xf>
    <xf numFmtId="41" fontId="14" fillId="5" borderId="16" xfId="0" applyNumberFormat="1" applyFont="1" applyFill="1" applyBorder="1" applyAlignment="1"/>
    <xf numFmtId="1" fontId="10" fillId="0" borderId="0" xfId="0" applyNumberFormat="1" applyFont="1"/>
    <xf numFmtId="0" fontId="11" fillId="0" borderId="0" xfId="0" applyFont="1"/>
    <xf numFmtId="3" fontId="10" fillId="0" borderId="0" xfId="0" applyNumberFormat="1" applyFont="1" applyFill="1" applyBorder="1"/>
    <xf numFmtId="1" fontId="10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10" fillId="0" borderId="10" xfId="0" applyFont="1" applyFill="1" applyBorder="1"/>
    <xf numFmtId="41" fontId="10" fillId="0" borderId="23" xfId="0" applyNumberFormat="1" applyFont="1" applyBorder="1"/>
    <xf numFmtId="41" fontId="10" fillId="0" borderId="24" xfId="0" applyNumberFormat="1" applyFont="1" applyBorder="1"/>
    <xf numFmtId="41" fontId="12" fillId="0" borderId="15" xfId="0" applyNumberFormat="1" applyFont="1" applyFill="1" applyBorder="1"/>
    <xf numFmtId="0" fontId="10" fillId="0" borderId="9" xfId="0" applyFont="1" applyFill="1" applyBorder="1"/>
    <xf numFmtId="41" fontId="12" fillId="0" borderId="6" xfId="0" applyNumberFormat="1" applyFont="1" applyFill="1" applyBorder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0" fontId="14" fillId="5" borderId="5" xfId="0" applyFont="1" applyFill="1" applyBorder="1"/>
    <xf numFmtId="41" fontId="14" fillId="5" borderId="7" xfId="0" applyNumberFormat="1" applyFont="1" applyFill="1" applyBorder="1"/>
    <xf numFmtId="41" fontId="14" fillId="5" borderId="16" xfId="0" applyNumberFormat="1" applyFont="1" applyFill="1" applyBorder="1"/>
    <xf numFmtId="0" fontId="17" fillId="0" borderId="0" xfId="0" applyFont="1"/>
    <xf numFmtId="0" fontId="12" fillId="0" borderId="0" xfId="0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18" fillId="0" borderId="0" xfId="0" applyFont="1"/>
    <xf numFmtId="0" fontId="19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5" xfId="0" applyFont="1" applyFill="1" applyBorder="1"/>
    <xf numFmtId="41" fontId="10" fillId="0" borderId="0" xfId="2" applyFont="1" applyFill="1" applyBorder="1"/>
    <xf numFmtId="0" fontId="10" fillId="0" borderId="32" xfId="0" applyFont="1" applyFill="1" applyBorder="1"/>
    <xf numFmtId="41" fontId="10" fillId="0" borderId="31" xfId="2" applyFont="1" applyFill="1" applyBorder="1"/>
    <xf numFmtId="41" fontId="10" fillId="0" borderId="33" xfId="2" applyFont="1" applyFill="1" applyBorder="1"/>
    <xf numFmtId="41" fontId="12" fillId="0" borderId="33" xfId="0" applyNumberFormat="1" applyFont="1" applyFill="1" applyBorder="1"/>
    <xf numFmtId="41" fontId="14" fillId="5" borderId="19" xfId="0" applyNumberFormat="1" applyFont="1" applyFill="1" applyBorder="1"/>
    <xf numFmtId="41" fontId="14" fillId="5" borderId="18" xfId="0" applyNumberFormat="1" applyFont="1" applyFill="1" applyBorder="1"/>
    <xf numFmtId="0" fontId="10" fillId="0" borderId="0" xfId="0" applyFont="1" applyAlignment="1">
      <alignment wrapText="1"/>
    </xf>
    <xf numFmtId="0" fontId="10" fillId="0" borderId="18" xfId="0" applyFont="1" applyBorder="1"/>
    <xf numFmtId="0" fontId="10" fillId="0" borderId="0" xfId="0" applyFont="1" applyAlignment="1">
      <alignment horizontal="center" vertical="center" wrapText="1"/>
    </xf>
    <xf numFmtId="41" fontId="12" fillId="0" borderId="6" xfId="0" applyNumberFormat="1" applyFont="1" applyBorder="1"/>
    <xf numFmtId="41" fontId="10" fillId="0" borderId="0" xfId="2" applyNumberFormat="1" applyFont="1" applyFill="1" applyBorder="1"/>
    <xf numFmtId="41" fontId="10" fillId="0" borderId="0" xfId="0" applyNumberFormat="1" applyFont="1" applyBorder="1"/>
    <xf numFmtId="41" fontId="14" fillId="5" borderId="8" xfId="0" applyNumberFormat="1" applyFont="1" applyFill="1" applyBorder="1"/>
    <xf numFmtId="3" fontId="10" fillId="0" borderId="23" xfId="0" applyNumberFormat="1" applyFont="1" applyBorder="1"/>
    <xf numFmtId="3" fontId="10" fillId="0" borderId="24" xfId="0" applyNumberFormat="1" applyFont="1" applyBorder="1"/>
    <xf numFmtId="3" fontId="10" fillId="0" borderId="22" xfId="0" applyNumberFormat="1" applyFont="1" applyBorder="1"/>
    <xf numFmtId="3" fontId="10" fillId="0" borderId="0" xfId="0" applyNumberFormat="1" applyFont="1"/>
    <xf numFmtId="41" fontId="14" fillId="5" borderId="7" xfId="2" applyNumberFormat="1" applyFont="1" applyFill="1" applyBorder="1"/>
    <xf numFmtId="41" fontId="14" fillId="5" borderId="8" xfId="2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41" fontId="14" fillId="5" borderId="5" xfId="0" applyNumberFormat="1" applyFont="1" applyFill="1" applyBorder="1"/>
    <xf numFmtId="0" fontId="10" fillId="0" borderId="15" xfId="0" applyFont="1" applyFill="1" applyBorder="1"/>
    <xf numFmtId="0" fontId="10" fillId="0" borderId="31" xfId="0" applyFont="1" applyFill="1" applyBorder="1"/>
    <xf numFmtId="41" fontId="14" fillId="5" borderId="20" xfId="0" applyNumberFormat="1" applyFont="1" applyFill="1" applyBorder="1"/>
    <xf numFmtId="41" fontId="14" fillId="5" borderId="21" xfId="0" applyNumberFormat="1" applyFont="1" applyFill="1" applyBorder="1"/>
    <xf numFmtId="0" fontId="10" fillId="0" borderId="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41" fontId="14" fillId="5" borderId="19" xfId="0" applyNumberFormat="1" applyFont="1" applyFill="1" applyBorder="1" applyAlignment="1">
      <alignment horizontal="center" vertical="center"/>
    </xf>
    <xf numFmtId="41" fontId="14" fillId="5" borderId="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14" fillId="5" borderId="16" xfId="0" applyNumberFormat="1" applyFont="1" applyFill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1" fillId="0" borderId="0" xfId="0" applyFont="1"/>
    <xf numFmtId="0" fontId="22" fillId="0" borderId="0" xfId="0" applyFont="1" applyBorder="1"/>
    <xf numFmtId="0" fontId="23" fillId="0" borderId="0" xfId="0" applyFont="1"/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/>
    <xf numFmtId="0" fontId="0" fillId="0" borderId="0" xfId="0" applyBorder="1"/>
    <xf numFmtId="0" fontId="24" fillId="0" borderId="0" xfId="0" applyFont="1" applyBorder="1"/>
    <xf numFmtId="0" fontId="14" fillId="5" borderId="5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29" fillId="0" borderId="27" xfId="0" applyFont="1" applyBorder="1"/>
    <xf numFmtId="0" fontId="29" fillId="0" borderId="46" xfId="0" applyFont="1" applyBorder="1"/>
    <xf numFmtId="41" fontId="30" fillId="0" borderId="6" xfId="0" applyNumberFormat="1" applyFont="1" applyBorder="1"/>
    <xf numFmtId="0" fontId="29" fillId="0" borderId="31" xfId="0" applyFont="1" applyBorder="1"/>
    <xf numFmtId="0" fontId="29" fillId="0" borderId="33" xfId="0" applyFont="1" applyBorder="1"/>
    <xf numFmtId="0" fontId="29" fillId="0" borderId="30" xfId="0" applyFont="1" applyBorder="1"/>
    <xf numFmtId="0" fontId="29" fillId="0" borderId="50" xfId="0" applyFont="1" applyBorder="1"/>
    <xf numFmtId="41" fontId="26" fillId="0" borderId="0" xfId="0" applyNumberFormat="1" applyFont="1" applyBorder="1" applyAlignment="1">
      <alignment horizontal="right"/>
    </xf>
    <xf numFmtId="0" fontId="14" fillId="5" borderId="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wrapText="1"/>
    </xf>
    <xf numFmtId="41" fontId="10" fillId="0" borderId="31" xfId="0" applyNumberFormat="1" applyFont="1" applyBorder="1"/>
    <xf numFmtId="3" fontId="29" fillId="0" borderId="23" xfId="0" applyNumberFormat="1" applyFont="1" applyBorder="1"/>
    <xf numFmtId="41" fontId="30" fillId="0" borderId="52" xfId="0" applyNumberFormat="1" applyFont="1" applyBorder="1" applyAlignment="1">
      <alignment horizontal="center"/>
    </xf>
    <xf numFmtId="3" fontId="29" fillId="0" borderId="22" xfId="0" applyNumberFormat="1" applyFont="1" applyBorder="1"/>
    <xf numFmtId="41" fontId="30" fillId="0" borderId="6" xfId="0" applyNumberFormat="1" applyFont="1" applyBorder="1" applyAlignment="1">
      <alignment horizontal="center"/>
    </xf>
    <xf numFmtId="0" fontId="12" fillId="0" borderId="0" xfId="0" applyFont="1" applyFill="1" applyBorder="1"/>
    <xf numFmtId="0" fontId="29" fillId="0" borderId="0" xfId="0" applyFont="1"/>
    <xf numFmtId="0" fontId="14" fillId="7" borderId="7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29" fillId="6" borderId="0" xfId="0" applyFont="1" applyFill="1" applyBorder="1"/>
    <xf numFmtId="41" fontId="29" fillId="6" borderId="31" xfId="0" applyNumberFormat="1" applyFont="1" applyFill="1" applyBorder="1"/>
    <xf numFmtId="41" fontId="29" fillId="6" borderId="0" xfId="0" applyNumberFormat="1" applyFont="1" applyFill="1" applyBorder="1"/>
    <xf numFmtId="41" fontId="29" fillId="6" borderId="33" xfId="0" applyNumberFormat="1" applyFont="1" applyFill="1" applyBorder="1"/>
    <xf numFmtId="41" fontId="29" fillId="6" borderId="6" xfId="0" applyNumberFormat="1" applyFont="1" applyFill="1" applyBorder="1"/>
    <xf numFmtId="0" fontId="14" fillId="5" borderId="5" xfId="0" applyNumberFormat="1" applyFont="1" applyFill="1" applyBorder="1" applyAlignment="1">
      <alignment horizontal="center" vertical="center"/>
    </xf>
    <xf numFmtId="0" fontId="33" fillId="5" borderId="7" xfId="0" applyFont="1" applyFill="1" applyBorder="1"/>
    <xf numFmtId="0" fontId="33" fillId="5" borderId="7" xfId="0" applyFont="1" applyFill="1" applyBorder="1" applyAlignment="1">
      <alignment vertical="center"/>
    </xf>
    <xf numFmtId="0" fontId="29" fillId="6" borderId="46" xfId="0" applyFont="1" applyFill="1" applyBorder="1"/>
    <xf numFmtId="0" fontId="29" fillId="6" borderId="50" xfId="0" applyFont="1" applyFill="1" applyBorder="1"/>
    <xf numFmtId="41" fontId="14" fillId="5" borderId="0" xfId="0" applyNumberFormat="1" applyFont="1" applyFill="1" applyBorder="1"/>
    <xf numFmtId="0" fontId="29" fillId="6" borderId="42" xfId="0" applyFont="1" applyFill="1" applyBorder="1"/>
    <xf numFmtId="3" fontId="10" fillId="0" borderId="27" xfId="0" applyNumberFormat="1" applyFont="1" applyBorder="1"/>
    <xf numFmtId="0" fontId="29" fillId="6" borderId="18" xfId="0" applyFont="1" applyFill="1" applyBorder="1"/>
    <xf numFmtId="3" fontId="10" fillId="0" borderId="30" xfId="0" applyNumberFormat="1" applyFont="1" applyBorder="1"/>
    <xf numFmtId="0" fontId="10" fillId="6" borderId="15" xfId="0" applyFont="1" applyFill="1" applyBorder="1"/>
    <xf numFmtId="3" fontId="10" fillId="6" borderId="27" xfId="0" applyNumberFormat="1" applyFont="1" applyFill="1" applyBorder="1"/>
    <xf numFmtId="3" fontId="10" fillId="6" borderId="42" xfId="0" applyNumberFormat="1" applyFont="1" applyFill="1" applyBorder="1"/>
    <xf numFmtId="41" fontId="10" fillId="6" borderId="15" xfId="0" applyNumberFormat="1" applyFont="1" applyFill="1" applyBorder="1"/>
    <xf numFmtId="0" fontId="10" fillId="6" borderId="6" xfId="0" applyFont="1" applyFill="1" applyBorder="1"/>
    <xf numFmtId="3" fontId="10" fillId="6" borderId="31" xfId="0" applyNumberFormat="1" applyFont="1" applyFill="1" applyBorder="1"/>
    <xf numFmtId="3" fontId="10" fillId="6" borderId="0" xfId="0" applyNumberFormat="1" applyFont="1" applyFill="1" applyBorder="1"/>
    <xf numFmtId="41" fontId="10" fillId="6" borderId="6" xfId="0" applyNumberFormat="1" applyFont="1" applyFill="1" applyBorder="1"/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/>
    <xf numFmtId="3" fontId="14" fillId="5" borderId="7" xfId="0" applyNumberFormat="1" applyFont="1" applyFill="1" applyBorder="1"/>
    <xf numFmtId="3" fontId="10" fillId="6" borderId="33" xfId="0" applyNumberFormat="1" applyFont="1" applyFill="1" applyBorder="1"/>
    <xf numFmtId="0" fontId="14" fillId="5" borderId="7" xfId="0" applyFont="1" applyFill="1" applyBorder="1"/>
    <xf numFmtId="41" fontId="10" fillId="6" borderId="0" xfId="0" applyNumberFormat="1" applyFont="1" applyFill="1" applyBorder="1"/>
    <xf numFmtId="41" fontId="14" fillId="5" borderId="7" xfId="0" quotePrefix="1" applyNumberFormat="1" applyFont="1" applyFill="1" applyBorder="1"/>
    <xf numFmtId="0" fontId="10" fillId="6" borderId="12" xfId="0" applyFont="1" applyFill="1" applyBorder="1"/>
    <xf numFmtId="41" fontId="10" fillId="6" borderId="18" xfId="0" applyNumberFormat="1" applyFont="1" applyFill="1" applyBorder="1"/>
    <xf numFmtId="41" fontId="10" fillId="6" borderId="12" xfId="0" applyNumberFormat="1" applyFont="1" applyFill="1" applyBorder="1"/>
    <xf numFmtId="41" fontId="14" fillId="5" borderId="46" xfId="0" applyNumberFormat="1" applyFont="1" applyFill="1" applyBorder="1"/>
    <xf numFmtId="0" fontId="31" fillId="0" borderId="0" xfId="8" applyFont="1"/>
    <xf numFmtId="0" fontId="26" fillId="0" borderId="27" xfId="8" applyFont="1" applyFill="1" applyBorder="1" applyAlignment="1">
      <alignment horizontal="left" wrapText="1"/>
    </xf>
    <xf numFmtId="0" fontId="26" fillId="0" borderId="15" xfId="8" applyFont="1" applyFill="1" applyBorder="1" applyAlignment="1">
      <alignment horizontal="left" wrapText="1"/>
    </xf>
    <xf numFmtId="41" fontId="31" fillId="0" borderId="0" xfId="2" applyNumberFormat="1" applyFont="1" applyBorder="1"/>
    <xf numFmtId="41" fontId="31" fillId="0" borderId="42" xfId="2" applyNumberFormat="1" applyFont="1" applyBorder="1"/>
    <xf numFmtId="41" fontId="31" fillId="0" borderId="0" xfId="8" applyNumberFormat="1" applyFont="1" applyBorder="1"/>
    <xf numFmtId="41" fontId="26" fillId="0" borderId="42" xfId="0" applyNumberFormat="1" applyFont="1" applyBorder="1"/>
    <xf numFmtId="3" fontId="31" fillId="0" borderId="42" xfId="8" applyNumberFormat="1" applyFont="1" applyBorder="1"/>
    <xf numFmtId="3" fontId="31" fillId="0" borderId="0" xfId="8" applyNumberFormat="1" applyFont="1" applyBorder="1"/>
    <xf numFmtId="0" fontId="26" fillId="0" borderId="31" xfId="8" applyFont="1" applyFill="1" applyBorder="1" applyAlignment="1">
      <alignment horizontal="left" wrapText="1"/>
    </xf>
    <xf numFmtId="0" fontId="26" fillId="0" borderId="6" xfId="8" applyFont="1" applyFill="1" applyBorder="1" applyAlignment="1">
      <alignment horizontal="left" wrapText="1"/>
    </xf>
    <xf numFmtId="41" fontId="26" fillId="0" borderId="0" xfId="0" applyNumberFormat="1" applyFont="1" applyBorder="1"/>
    <xf numFmtId="0" fontId="26" fillId="0" borderId="30" xfId="8" applyFont="1" applyFill="1" applyBorder="1" applyAlignment="1">
      <alignment horizontal="left" wrapText="1"/>
    </xf>
    <xf numFmtId="0" fontId="26" fillId="0" borderId="12" xfId="8" applyFont="1" applyFill="1" applyBorder="1" applyAlignment="1">
      <alignment horizontal="left" wrapText="1"/>
    </xf>
    <xf numFmtId="41" fontId="31" fillId="0" borderId="18" xfId="2" applyNumberFormat="1" applyFont="1" applyBorder="1"/>
    <xf numFmtId="41" fontId="31" fillId="0" borderId="18" xfId="8" applyNumberFormat="1" applyFont="1" applyBorder="1"/>
    <xf numFmtId="0" fontId="31" fillId="0" borderId="18" xfId="8" applyFont="1" applyBorder="1"/>
    <xf numFmtId="0" fontId="31" fillId="0" borderId="0" xfId="8" applyFont="1" applyBorder="1"/>
    <xf numFmtId="0" fontId="28" fillId="0" borderId="0" xfId="8" applyFont="1" applyBorder="1"/>
    <xf numFmtId="0" fontId="31" fillId="0" borderId="0" xfId="8" applyFont="1" applyFill="1" applyBorder="1"/>
    <xf numFmtId="0" fontId="16" fillId="0" borderId="0" xfId="0" applyFont="1" applyFill="1" applyBorder="1"/>
    <xf numFmtId="0" fontId="16" fillId="0" borderId="0" xfId="9" applyFont="1" applyFill="1" applyBorder="1"/>
    <xf numFmtId="0" fontId="31" fillId="0" borderId="0" xfId="10" applyFont="1"/>
    <xf numFmtId="0" fontId="31" fillId="0" borderId="27" xfId="10" applyFont="1" applyFill="1" applyBorder="1"/>
    <xf numFmtId="0" fontId="31" fillId="0" borderId="15" xfId="10" applyFont="1" applyFill="1" applyBorder="1"/>
    <xf numFmtId="41" fontId="26" fillId="0" borderId="42" xfId="0" applyNumberFormat="1" applyFont="1" applyBorder="1" applyAlignment="1">
      <alignment horizontal="right"/>
    </xf>
    <xf numFmtId="0" fontId="31" fillId="0" borderId="31" xfId="10" applyFont="1" applyFill="1" applyBorder="1"/>
    <xf numFmtId="0" fontId="31" fillId="0" borderId="6" xfId="10" applyFont="1" applyFill="1" applyBorder="1"/>
    <xf numFmtId="41" fontId="31" fillId="0" borderId="0" xfId="10" applyNumberFormat="1" applyFont="1" applyBorder="1"/>
    <xf numFmtId="41" fontId="31" fillId="0" borderId="31" xfId="2" applyNumberFormat="1" applyFont="1" applyBorder="1"/>
    <xf numFmtId="41" fontId="31" fillId="0" borderId="0" xfId="2" applyNumberFormat="1" applyFont="1" applyFill="1" applyBorder="1"/>
    <xf numFmtId="0" fontId="31" fillId="0" borderId="30" xfId="10" applyFont="1" applyFill="1" applyBorder="1"/>
    <xf numFmtId="0" fontId="31" fillId="0" borderId="12" xfId="10" applyFont="1" applyFill="1" applyBorder="1"/>
    <xf numFmtId="0" fontId="25" fillId="5" borderId="5" xfId="8" applyFont="1" applyFill="1" applyBorder="1" applyAlignment="1">
      <alignment horizontal="center" vertical="center" wrapText="1"/>
    </xf>
    <xf numFmtId="0" fontId="25" fillId="5" borderId="7" xfId="8" applyFont="1" applyFill="1" applyBorder="1" applyAlignment="1">
      <alignment horizontal="center" vertical="center" wrapText="1"/>
    </xf>
    <xf numFmtId="0" fontId="25" fillId="5" borderId="42" xfId="8" applyFont="1" applyFill="1" applyBorder="1" applyAlignment="1">
      <alignment horizontal="center" vertical="center" wrapText="1"/>
    </xf>
    <xf numFmtId="0" fontId="25" fillId="5" borderId="21" xfId="8" applyFont="1" applyFill="1" applyBorder="1" applyAlignment="1">
      <alignment horizontal="center" vertical="center" wrapText="1"/>
    </xf>
    <xf numFmtId="0" fontId="25" fillId="5" borderId="5" xfId="10" applyFont="1" applyFill="1" applyBorder="1" applyAlignment="1">
      <alignment horizontal="center" vertical="center" wrapText="1"/>
    </xf>
    <xf numFmtId="0" fontId="25" fillId="5" borderId="7" xfId="10" applyFont="1" applyFill="1" applyBorder="1" applyAlignment="1">
      <alignment horizontal="left" vertical="center" wrapText="1"/>
    </xf>
    <xf numFmtId="0" fontId="25" fillId="5" borderId="7" xfId="10" applyFont="1" applyFill="1" applyBorder="1" applyAlignment="1">
      <alignment horizontal="center" vertical="center" wrapText="1"/>
    </xf>
    <xf numFmtId="1" fontId="25" fillId="5" borderId="7" xfId="1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0" fontId="26" fillId="0" borderId="6" xfId="8" applyFont="1" applyFill="1" applyBorder="1" applyAlignment="1">
      <alignment horizontal="center"/>
    </xf>
    <xf numFmtId="41" fontId="27" fillId="0" borderId="6" xfId="2" applyNumberFormat="1" applyFont="1" applyBorder="1"/>
    <xf numFmtId="41" fontId="26" fillId="0" borderId="0" xfId="2" applyNumberFormat="1" applyFont="1" applyBorder="1"/>
    <xf numFmtId="0" fontId="26" fillId="0" borderId="12" xfId="8" applyFont="1" applyFill="1" applyBorder="1" applyAlignment="1">
      <alignment horizontal="center"/>
    </xf>
    <xf numFmtId="41" fontId="26" fillId="0" borderId="18" xfId="2" applyNumberFormat="1" applyFont="1" applyBorder="1"/>
    <xf numFmtId="41" fontId="26" fillId="0" borderId="18" xfId="2" applyNumberFormat="1" applyFont="1" applyFill="1" applyBorder="1"/>
    <xf numFmtId="41" fontId="27" fillId="0" borderId="12" xfId="2" applyNumberFormat="1" applyFont="1" applyBorder="1"/>
    <xf numFmtId="0" fontId="26" fillId="0" borderId="15" xfId="8" applyFont="1" applyFill="1" applyBorder="1" applyAlignment="1">
      <alignment horizontal="center"/>
    </xf>
    <xf numFmtId="41" fontId="31" fillId="0" borderId="42" xfId="2" applyNumberFormat="1" applyFont="1" applyFill="1" applyBorder="1"/>
    <xf numFmtId="0" fontId="26" fillId="0" borderId="31" xfId="8" applyFont="1" applyFill="1" applyBorder="1" applyAlignment="1">
      <alignment horizontal="center"/>
    </xf>
    <xf numFmtId="41" fontId="26" fillId="0" borderId="31" xfId="0" applyNumberFormat="1" applyFont="1" applyBorder="1"/>
    <xf numFmtId="41" fontId="31" fillId="0" borderId="31" xfId="8" applyNumberFormat="1" applyFont="1" applyBorder="1"/>
    <xf numFmtId="0" fontId="35" fillId="0" borderId="0" xfId="0" applyFont="1" applyFill="1" applyBorder="1"/>
    <xf numFmtId="0" fontId="14" fillId="5" borderId="39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right"/>
    </xf>
    <xf numFmtId="41" fontId="29" fillId="6" borderId="15" xfId="0" applyNumberFormat="1" applyFont="1" applyFill="1" applyBorder="1"/>
    <xf numFmtId="0" fontId="29" fillId="6" borderId="6" xfId="0" applyFont="1" applyFill="1" applyBorder="1" applyAlignment="1">
      <alignment horizontal="right"/>
    </xf>
    <xf numFmtId="0" fontId="29" fillId="6" borderId="12" xfId="0" applyFont="1" applyFill="1" applyBorder="1" applyAlignment="1">
      <alignment horizontal="right"/>
    </xf>
    <xf numFmtId="0" fontId="29" fillId="6" borderId="0" xfId="0" applyFont="1" applyFill="1" applyBorder="1" applyAlignment="1">
      <alignment horizontal="right"/>
    </xf>
    <xf numFmtId="0" fontId="14" fillId="5" borderId="5" xfId="0" applyNumberFormat="1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right"/>
    </xf>
    <xf numFmtId="41" fontId="10" fillId="0" borderId="0" xfId="0" applyNumberFormat="1" applyFont="1" applyFill="1" applyBorder="1" applyAlignment="1"/>
    <xf numFmtId="41" fontId="10" fillId="0" borderId="33" xfId="0" applyNumberFormat="1" applyFont="1" applyFill="1" applyBorder="1" applyAlignment="1"/>
    <xf numFmtId="164" fontId="10" fillId="0" borderId="0" xfId="1" applyNumberFormat="1" applyFont="1" applyFill="1"/>
    <xf numFmtId="167" fontId="10" fillId="0" borderId="0" xfId="1" applyNumberFormat="1" applyFont="1" applyFill="1"/>
    <xf numFmtId="41" fontId="10" fillId="0" borderId="0" xfId="1" applyNumberFormat="1" applyFont="1" applyFill="1"/>
    <xf numFmtId="41" fontId="10" fillId="0" borderId="33" xfId="0" applyNumberFormat="1" applyFont="1" applyBorder="1"/>
    <xf numFmtId="41" fontId="29" fillId="8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25" fillId="5" borderId="53" xfId="8" applyFont="1" applyFill="1" applyBorder="1" applyAlignment="1">
      <alignment horizontal="center" vertical="center"/>
    </xf>
    <xf numFmtId="0" fontId="25" fillId="7" borderId="54" xfId="8" applyFont="1" applyFill="1" applyBorder="1" applyAlignment="1">
      <alignment horizontal="center" vertical="center" wrapText="1"/>
    </xf>
    <xf numFmtId="0" fontId="25" fillId="7" borderId="55" xfId="8" applyFont="1" applyFill="1" applyBorder="1" applyAlignment="1">
      <alignment horizontal="center" vertical="center" wrapText="1"/>
    </xf>
    <xf numFmtId="41" fontId="31" fillId="0" borderId="0" xfId="1" applyNumberFormat="1" applyFont="1" applyBorder="1"/>
    <xf numFmtId="41" fontId="31" fillId="0" borderId="31" xfId="1" applyNumberFormat="1" applyFont="1" applyBorder="1"/>
    <xf numFmtId="0" fontId="10" fillId="0" borderId="29" xfId="0" applyFont="1" applyFill="1" applyBorder="1"/>
    <xf numFmtId="0" fontId="10" fillId="0" borderId="32" xfId="0" applyFont="1" applyFill="1" applyBorder="1" applyAlignment="1">
      <alignment horizontal="left"/>
    </xf>
    <xf numFmtId="0" fontId="10" fillId="0" borderId="58" xfId="0" applyFont="1" applyFill="1" applyBorder="1" applyAlignment="1">
      <alignment horizontal="left"/>
    </xf>
    <xf numFmtId="3" fontId="10" fillId="0" borderId="31" xfId="0" applyNumberFormat="1" applyFont="1" applyBorder="1"/>
    <xf numFmtId="3" fontId="10" fillId="0" borderId="0" xfId="0" applyNumberFormat="1" applyFont="1" applyBorder="1"/>
    <xf numFmtId="3" fontId="10" fillId="0" borderId="33" xfId="0" applyNumberFormat="1" applyFont="1" applyBorder="1"/>
    <xf numFmtId="0" fontId="10" fillId="0" borderId="29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41" fontId="10" fillId="0" borderId="31" xfId="2" applyNumberFormat="1" applyFont="1" applyFill="1" applyBorder="1"/>
    <xf numFmtId="41" fontId="10" fillId="0" borderId="30" xfId="2" applyNumberFormat="1" applyFont="1" applyFill="1" applyBorder="1"/>
    <xf numFmtId="3" fontId="36" fillId="9" borderId="59" xfId="0" applyNumberFormat="1" applyFont="1" applyFill="1" applyBorder="1"/>
    <xf numFmtId="3" fontId="36" fillId="9" borderId="27" xfId="0" applyNumberFormat="1" applyFont="1" applyFill="1" applyBorder="1"/>
    <xf numFmtId="0" fontId="29" fillId="0" borderId="0" xfId="0" applyFont="1" applyFill="1" applyBorder="1" applyAlignment="1">
      <alignment wrapText="1"/>
    </xf>
    <xf numFmtId="41" fontId="30" fillId="0" borderId="33" xfId="0" applyNumberFormat="1" applyFont="1" applyBorder="1" applyAlignment="1">
      <alignment horizontal="right"/>
    </xf>
    <xf numFmtId="0" fontId="14" fillId="5" borderId="46" xfId="0" applyFont="1" applyFill="1" applyBorder="1" applyAlignment="1">
      <alignment horizontal="center" vertical="center" wrapText="1"/>
    </xf>
    <xf numFmtId="41" fontId="29" fillId="0" borderId="0" xfId="0" applyNumberFormat="1" applyFont="1" applyBorder="1" applyAlignment="1">
      <alignment horizontal="center"/>
    </xf>
    <xf numFmtId="41" fontId="30" fillId="0" borderId="0" xfId="0" applyNumberFormat="1" applyFont="1" applyBorder="1" applyAlignment="1">
      <alignment horizontal="center"/>
    </xf>
    <xf numFmtId="41" fontId="28" fillId="0" borderId="18" xfId="8" applyNumberFormat="1" applyFont="1" applyBorder="1"/>
    <xf numFmtId="41" fontId="0" fillId="0" borderId="0" xfId="0" applyNumberFormat="1" applyBorder="1"/>
    <xf numFmtId="164" fontId="12" fillId="0" borderId="15" xfId="1" applyNumberFormat="1" applyFont="1" applyBorder="1"/>
    <xf numFmtId="164" fontId="12" fillId="0" borderId="6" xfId="1" applyNumberFormat="1" applyFont="1" applyBorder="1"/>
    <xf numFmtId="3" fontId="10" fillId="0" borderId="0" xfId="0" applyNumberFormat="1" applyFont="1" applyAlignment="1">
      <alignment vertical="center"/>
    </xf>
    <xf numFmtId="41" fontId="12" fillId="0" borderId="6" xfId="0" applyNumberFormat="1" applyFont="1" applyBorder="1" applyAlignment="1">
      <alignment vertical="center"/>
    </xf>
    <xf numFmtId="41" fontId="10" fillId="0" borderId="27" xfId="0" applyNumberFormat="1" applyFont="1" applyBorder="1"/>
    <xf numFmtId="41" fontId="10" fillId="0" borderId="42" xfId="0" applyNumberFormat="1" applyFont="1" applyBorder="1"/>
    <xf numFmtId="41" fontId="10" fillId="0" borderId="46" xfId="0" applyNumberFormat="1" applyFont="1" applyBorder="1"/>
    <xf numFmtId="41" fontId="10" fillId="0" borderId="30" xfId="0" applyNumberFormat="1" applyFont="1" applyBorder="1"/>
    <xf numFmtId="41" fontId="10" fillId="0" borderId="18" xfId="0" applyNumberFormat="1" applyFont="1" applyBorder="1"/>
    <xf numFmtId="41" fontId="10" fillId="0" borderId="50" xfId="0" applyNumberFormat="1" applyFont="1" applyBorder="1"/>
    <xf numFmtId="0" fontId="30" fillId="8" borderId="5" xfId="0" applyNumberFormat="1" applyFont="1" applyFill="1" applyBorder="1" applyAlignment="1">
      <alignment vertical="center"/>
    </xf>
    <xf numFmtId="0" fontId="29" fillId="8" borderId="7" xfId="0" applyFont="1" applyFill="1" applyBorder="1"/>
    <xf numFmtId="41" fontId="29" fillId="8" borderId="5" xfId="0" applyNumberFormat="1" applyFont="1" applyFill="1" applyBorder="1"/>
    <xf numFmtId="41" fontId="29" fillId="8" borderId="7" xfId="0" applyNumberFormat="1" applyFont="1" applyFill="1" applyBorder="1"/>
    <xf numFmtId="41" fontId="29" fillId="8" borderId="21" xfId="0" applyNumberFormat="1" applyFont="1" applyFill="1" applyBorder="1"/>
    <xf numFmtId="41" fontId="29" fillId="8" borderId="8" xfId="0" applyNumberFormat="1" applyFont="1" applyFill="1" applyBorder="1"/>
    <xf numFmtId="0" fontId="29" fillId="8" borderId="0" xfId="0" applyFont="1" applyFill="1" applyBorder="1"/>
    <xf numFmtId="41" fontId="29" fillId="8" borderId="31" xfId="0" applyNumberFormat="1" applyFont="1" applyFill="1" applyBorder="1"/>
    <xf numFmtId="41" fontId="29" fillId="8" borderId="33" xfId="0" applyNumberFormat="1" applyFont="1" applyFill="1" applyBorder="1"/>
    <xf numFmtId="41" fontId="29" fillId="8" borderId="6" xfId="0" applyNumberFormat="1" applyFont="1" applyFill="1" applyBorder="1"/>
    <xf numFmtId="0" fontId="30" fillId="8" borderId="5" xfId="0" applyFont="1" applyFill="1" applyBorder="1" applyAlignment="1">
      <alignment vertical="center"/>
    </xf>
    <xf numFmtId="0" fontId="32" fillId="8" borderId="7" xfId="0" applyFont="1" applyFill="1" applyBorder="1"/>
    <xf numFmtId="0" fontId="29" fillId="8" borderId="31" xfId="0" applyFont="1" applyFill="1" applyBorder="1"/>
    <xf numFmtId="0" fontId="30" fillId="8" borderId="5" xfId="0" applyFont="1" applyFill="1" applyBorder="1"/>
    <xf numFmtId="0" fontId="30" fillId="8" borderId="27" xfId="0" applyFont="1" applyFill="1" applyBorder="1"/>
    <xf numFmtId="0" fontId="29" fillId="8" borderId="42" xfId="0" applyFont="1" applyFill="1" applyBorder="1"/>
    <xf numFmtId="41" fontId="29" fillId="8" borderId="27" xfId="0" applyNumberFormat="1" applyFont="1" applyFill="1" applyBorder="1"/>
    <xf numFmtId="41" fontId="29" fillId="8" borderId="42" xfId="0" applyNumberFormat="1" applyFont="1" applyFill="1" applyBorder="1"/>
    <xf numFmtId="41" fontId="29" fillId="8" borderId="46" xfId="0" applyNumberFormat="1" applyFont="1" applyFill="1" applyBorder="1"/>
    <xf numFmtId="41" fontId="29" fillId="8" borderId="15" xfId="0" applyNumberFormat="1" applyFont="1" applyFill="1" applyBorder="1"/>
    <xf numFmtId="0" fontId="30" fillId="8" borderId="27" xfId="0" applyFont="1" applyFill="1" applyBorder="1" applyAlignment="1">
      <alignment vertical="center"/>
    </xf>
    <xf numFmtId="0" fontId="29" fillId="8" borderId="21" xfId="0" applyFont="1" applyFill="1" applyBorder="1"/>
    <xf numFmtId="3" fontId="10" fillId="8" borderId="27" xfId="0" applyNumberFormat="1" applyFont="1" applyFill="1" applyBorder="1"/>
    <xf numFmtId="3" fontId="10" fillId="8" borderId="42" xfId="0" applyNumberFormat="1" applyFont="1" applyFill="1" applyBorder="1"/>
    <xf numFmtId="3" fontId="10" fillId="8" borderId="46" xfId="0" applyNumberFormat="1" applyFont="1" applyFill="1" applyBorder="1"/>
    <xf numFmtId="3" fontId="10" fillId="8" borderId="31" xfId="0" applyNumberFormat="1" applyFont="1" applyFill="1" applyBorder="1"/>
    <xf numFmtId="3" fontId="10" fillId="8" borderId="0" xfId="0" applyNumberFormat="1" applyFont="1" applyFill="1" applyBorder="1"/>
    <xf numFmtId="3" fontId="10" fillId="8" borderId="33" xfId="0" applyNumberFormat="1" applyFont="1" applyFill="1" applyBorder="1"/>
    <xf numFmtId="41" fontId="10" fillId="8" borderId="0" xfId="2" applyNumberFormat="1" applyFont="1" applyFill="1" applyBorder="1"/>
    <xf numFmtId="3" fontId="10" fillId="8" borderId="30" xfId="0" applyNumberFormat="1" applyFont="1" applyFill="1" applyBorder="1"/>
    <xf numFmtId="3" fontId="10" fillId="8" borderId="18" xfId="0" applyNumberFormat="1" applyFont="1" applyFill="1" applyBorder="1"/>
    <xf numFmtId="3" fontId="10" fillId="8" borderId="50" xfId="0" applyNumberFormat="1" applyFont="1" applyFill="1" applyBorder="1"/>
    <xf numFmtId="3" fontId="10" fillId="8" borderId="0" xfId="0" applyNumberFormat="1" applyFont="1" applyFill="1"/>
    <xf numFmtId="0" fontId="29" fillId="8" borderId="18" xfId="0" applyFont="1" applyFill="1" applyBorder="1"/>
    <xf numFmtId="41" fontId="29" fillId="8" borderId="30" xfId="0" applyNumberFormat="1" applyFont="1" applyFill="1" applyBorder="1"/>
    <xf numFmtId="41" fontId="29" fillId="8" borderId="18" xfId="0" applyNumberFormat="1" applyFont="1" applyFill="1" applyBorder="1"/>
    <xf numFmtId="41" fontId="10" fillId="8" borderId="23" xfId="0" applyNumberFormat="1" applyFont="1" applyFill="1" applyBorder="1"/>
    <xf numFmtId="41" fontId="10" fillId="8" borderId="24" xfId="0" applyNumberFormat="1" applyFont="1" applyFill="1" applyBorder="1"/>
    <xf numFmtId="41" fontId="10" fillId="8" borderId="22" xfId="0" applyNumberFormat="1" applyFont="1" applyFill="1" applyBorder="1"/>
    <xf numFmtId="41" fontId="10" fillId="8" borderId="0" xfId="0" applyNumberFormat="1" applyFont="1" applyFill="1"/>
    <xf numFmtId="3" fontId="10" fillId="8" borderId="23" xfId="0" applyNumberFormat="1" applyFont="1" applyFill="1" applyBorder="1"/>
    <xf numFmtId="3" fontId="10" fillId="8" borderId="24" xfId="0" applyNumberFormat="1" applyFont="1" applyFill="1" applyBorder="1"/>
    <xf numFmtId="3" fontId="10" fillId="8" borderId="22" xfId="0" applyNumberFormat="1" applyFont="1" applyFill="1" applyBorder="1"/>
    <xf numFmtId="0" fontId="29" fillId="8" borderId="46" xfId="0" applyFont="1" applyFill="1" applyBorder="1"/>
    <xf numFmtId="0" fontId="29" fillId="8" borderId="50" xfId="0" applyFont="1" applyFill="1" applyBorder="1"/>
    <xf numFmtId="0" fontId="29" fillId="8" borderId="15" xfId="0" applyFont="1" applyFill="1" applyBorder="1" applyAlignment="1">
      <alignment horizontal="right"/>
    </xf>
    <xf numFmtId="41" fontId="10" fillId="8" borderId="0" xfId="2" applyFont="1" applyFill="1" applyBorder="1"/>
    <xf numFmtId="0" fontId="29" fillId="8" borderId="6" xfId="0" applyFont="1" applyFill="1" applyBorder="1" applyAlignment="1">
      <alignment horizontal="right"/>
    </xf>
    <xf numFmtId="0" fontId="29" fillId="8" borderId="12" xfId="0" applyFont="1" applyFill="1" applyBorder="1" applyAlignment="1">
      <alignment horizontal="right"/>
    </xf>
    <xf numFmtId="0" fontId="30" fillId="8" borderId="5" xfId="0" applyNumberFormat="1" applyFont="1" applyFill="1" applyBorder="1" applyAlignment="1">
      <alignment vertical="center" wrapText="1"/>
    </xf>
    <xf numFmtId="0" fontId="29" fillId="8" borderId="7" xfId="0" applyFont="1" applyFill="1" applyBorder="1" applyAlignment="1">
      <alignment horizontal="right"/>
    </xf>
    <xf numFmtId="0" fontId="29" fillId="8" borderId="0" xfId="0" applyFont="1" applyFill="1" applyBorder="1" applyAlignment="1">
      <alignment horizontal="right"/>
    </xf>
    <xf numFmtId="0" fontId="30" fillId="8" borderId="5" xfId="0" applyFont="1" applyFill="1" applyBorder="1" applyAlignment="1">
      <alignment horizontal="left" vertical="center"/>
    </xf>
    <xf numFmtId="0" fontId="30" fillId="8" borderId="5" xfId="0" applyFont="1" applyFill="1" applyBorder="1" applyAlignment="1">
      <alignment vertical="center" wrapText="1"/>
    </xf>
    <xf numFmtId="0" fontId="29" fillId="8" borderId="18" xfId="0" applyFont="1" applyFill="1" applyBorder="1" applyAlignment="1">
      <alignment horizontal="right"/>
    </xf>
    <xf numFmtId="41" fontId="29" fillId="8" borderId="12" xfId="0" applyNumberFormat="1" applyFont="1" applyFill="1" applyBorder="1"/>
    <xf numFmtId="41" fontId="10" fillId="8" borderId="0" xfId="0" applyNumberFormat="1" applyFont="1" applyFill="1" applyBorder="1" applyAlignment="1"/>
    <xf numFmtId="41" fontId="10" fillId="8" borderId="27" xfId="2" applyFont="1" applyFill="1" applyBorder="1"/>
    <xf numFmtId="41" fontId="10" fillId="8" borderId="42" xfId="2" applyFont="1" applyFill="1" applyBorder="1"/>
    <xf numFmtId="41" fontId="10" fillId="8" borderId="31" xfId="2" applyFont="1" applyFill="1" applyBorder="1"/>
    <xf numFmtId="41" fontId="10" fillId="8" borderId="30" xfId="2" applyFont="1" applyFill="1" applyBorder="1"/>
    <xf numFmtId="41" fontId="10" fillId="8" borderId="18" xfId="2" applyFont="1" applyFill="1" applyBorder="1"/>
    <xf numFmtId="168" fontId="10" fillId="8" borderId="18" xfId="2" applyNumberFormat="1" applyFont="1" applyFill="1" applyBorder="1"/>
    <xf numFmtId="41" fontId="10" fillId="8" borderId="46" xfId="2" applyFont="1" applyFill="1" applyBorder="1"/>
    <xf numFmtId="41" fontId="10" fillId="8" borderId="33" xfId="2" applyFont="1" applyFill="1" applyBorder="1"/>
    <xf numFmtId="41" fontId="10" fillId="8" borderId="50" xfId="2" applyFont="1" applyFill="1" applyBorder="1"/>
    <xf numFmtId="168" fontId="10" fillId="8" borderId="0" xfId="2" applyNumberFormat="1" applyFont="1" applyFill="1" applyBorder="1"/>
    <xf numFmtId="0" fontId="30" fillId="8" borderId="7" xfId="0" applyFont="1" applyFill="1" applyBorder="1" applyAlignment="1">
      <alignment horizontal="right"/>
    </xf>
    <xf numFmtId="164" fontId="10" fillId="8" borderId="0" xfId="1" applyNumberFormat="1" applyFont="1" applyFill="1"/>
    <xf numFmtId="41" fontId="10" fillId="8" borderId="31" xfId="0" applyNumberFormat="1" applyFont="1" applyFill="1" applyBorder="1"/>
    <xf numFmtId="41" fontId="10" fillId="8" borderId="0" xfId="0" applyNumberFormat="1" applyFont="1" applyFill="1" applyBorder="1"/>
    <xf numFmtId="41" fontId="10" fillId="8" borderId="33" xfId="0" applyNumberFormat="1" applyFont="1" applyFill="1" applyBorder="1"/>
    <xf numFmtId="41" fontId="10" fillId="8" borderId="0" xfId="1" applyNumberFormat="1" applyFont="1" applyFill="1"/>
    <xf numFmtId="0" fontId="31" fillId="8" borderId="0" xfId="10" applyFont="1" applyFill="1"/>
    <xf numFmtId="0" fontId="37" fillId="5" borderId="5" xfId="10" applyFont="1" applyFill="1" applyBorder="1"/>
    <xf numFmtId="165" fontId="37" fillId="5" borderId="5" xfId="2" applyNumberFormat="1" applyFont="1" applyFill="1" applyBorder="1"/>
    <xf numFmtId="165" fontId="37" fillId="5" borderId="7" xfId="2" applyNumberFormat="1" applyFont="1" applyFill="1" applyBorder="1"/>
    <xf numFmtId="41" fontId="37" fillId="5" borderId="7" xfId="8" applyNumberFormat="1" applyFont="1" applyFill="1" applyBorder="1"/>
    <xf numFmtId="0" fontId="37" fillId="5" borderId="8" xfId="8" applyFont="1" applyFill="1" applyBorder="1"/>
    <xf numFmtId="0" fontId="38" fillId="5" borderId="5" xfId="0" applyFont="1" applyFill="1" applyBorder="1"/>
    <xf numFmtId="0" fontId="38" fillId="5" borderId="21" xfId="0" applyFont="1" applyFill="1" applyBorder="1"/>
    <xf numFmtId="41" fontId="38" fillId="5" borderId="5" xfId="0" applyNumberFormat="1" applyFont="1" applyFill="1" applyBorder="1"/>
    <xf numFmtId="41" fontId="38" fillId="5" borderId="7" xfId="0" applyNumberFormat="1" applyFont="1" applyFill="1" applyBorder="1"/>
    <xf numFmtId="41" fontId="38" fillId="5" borderId="8" xfId="0" applyNumberFormat="1" applyFont="1" applyFill="1" applyBorder="1"/>
    <xf numFmtId="0" fontId="39" fillId="5" borderId="21" xfId="0" applyFont="1" applyFill="1" applyBorder="1"/>
    <xf numFmtId="41" fontId="38" fillId="5" borderId="18" xfId="0" applyNumberFormat="1" applyFont="1" applyFill="1" applyBorder="1" applyAlignment="1">
      <alignment horizontal="right"/>
    </xf>
    <xf numFmtId="41" fontId="38" fillId="5" borderId="8" xfId="0" applyNumberFormat="1" applyFont="1" applyFill="1" applyBorder="1" applyAlignment="1">
      <alignment horizontal="right"/>
    </xf>
    <xf numFmtId="0" fontId="38" fillId="7" borderId="8" xfId="0" applyFont="1" applyFill="1" applyBorder="1" applyAlignment="1">
      <alignment horizontal="left" wrapText="1"/>
    </xf>
    <xf numFmtId="41" fontId="38" fillId="5" borderId="5" xfId="0" applyNumberFormat="1" applyFont="1" applyFill="1" applyBorder="1" applyAlignment="1">
      <alignment horizontal="center"/>
    </xf>
    <xf numFmtId="41" fontId="38" fillId="5" borderId="7" xfId="0" applyNumberFormat="1" applyFont="1" applyFill="1" applyBorder="1" applyAlignment="1">
      <alignment horizontal="center"/>
    </xf>
    <xf numFmtId="41" fontId="38" fillId="5" borderId="21" xfId="0" applyNumberFormat="1" applyFont="1" applyFill="1" applyBorder="1" applyAlignment="1">
      <alignment horizontal="center"/>
    </xf>
    <xf numFmtId="41" fontId="38" fillId="5" borderId="8" xfId="0" applyNumberFormat="1" applyFont="1" applyFill="1" applyBorder="1" applyAlignment="1">
      <alignment horizontal="center"/>
    </xf>
    <xf numFmtId="0" fontId="29" fillId="8" borderId="0" xfId="0" applyFont="1" applyFill="1" applyBorder="1"/>
    <xf numFmtId="0" fontId="14" fillId="8" borderId="0" xfId="0" applyFont="1" applyFill="1" applyBorder="1" applyAlignment="1">
      <alignment horizontal="center" vertical="center" wrapText="1"/>
    </xf>
    <xf numFmtId="0" fontId="33" fillId="8" borderId="0" xfId="0" applyFont="1" applyFill="1" applyBorder="1"/>
    <xf numFmtId="0" fontId="14" fillId="8" borderId="0" xfId="0" applyFont="1" applyFill="1" applyBorder="1" applyAlignment="1">
      <alignment horizontal="right"/>
    </xf>
    <xf numFmtId="41" fontId="14" fillId="8" borderId="0" xfId="0" applyNumberFormat="1" applyFont="1" applyFill="1" applyBorder="1"/>
    <xf numFmtId="3" fontId="10" fillId="0" borderId="27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40" fillId="9" borderId="59" xfId="0" applyNumberFormat="1" applyFont="1" applyFill="1" applyBorder="1"/>
    <xf numFmtId="41" fontId="29" fillId="6" borderId="12" xfId="0" applyNumberFormat="1" applyFont="1" applyFill="1" applyBorder="1"/>
    <xf numFmtId="41" fontId="10" fillId="0" borderId="0" xfId="2" applyFont="1" applyFill="1" applyBorder="1" applyAlignment="1">
      <alignment vertical="center"/>
    </xf>
    <xf numFmtId="0" fontId="14" fillId="5" borderId="60" xfId="0" applyFont="1" applyFill="1" applyBorder="1" applyAlignment="1">
      <alignment horizontal="center" vertical="center" wrapText="1"/>
    </xf>
    <xf numFmtId="0" fontId="41" fillId="10" borderId="0" xfId="0" applyFont="1" applyFill="1"/>
    <xf numFmtId="0" fontId="42" fillId="10" borderId="0" xfId="0" applyFont="1" applyFill="1"/>
    <xf numFmtId="41" fontId="26" fillId="0" borderId="42" xfId="2" applyNumberFormat="1" applyFont="1" applyBorder="1"/>
    <xf numFmtId="41" fontId="27" fillId="0" borderId="15" xfId="2" applyNumberFormat="1" applyFont="1" applyBorder="1"/>
    <xf numFmtId="0" fontId="31" fillId="0" borderId="31" xfId="8" applyFont="1" applyFill="1" applyBorder="1"/>
    <xf numFmtId="41" fontId="31" fillId="0" borderId="0" xfId="8" applyNumberFormat="1" applyFont="1" applyFill="1" applyBorder="1"/>
    <xf numFmtId="41" fontId="31" fillId="0" borderId="33" xfId="8" applyNumberFormat="1" applyFont="1" applyBorder="1"/>
    <xf numFmtId="41" fontId="26" fillId="0" borderId="0" xfId="0" applyNumberFormat="1" applyFont="1" applyBorder="1" applyAlignment="1">
      <alignment horizontal="center"/>
    </xf>
    <xf numFmtId="164" fontId="31" fillId="0" borderId="0" xfId="1" applyNumberFormat="1" applyFont="1" applyBorder="1"/>
    <xf numFmtId="0" fontId="12" fillId="0" borderId="12" xfId="0" applyFont="1" applyBorder="1" applyAlignment="1">
      <alignment horizontal="center"/>
    </xf>
    <xf numFmtId="0" fontId="10" fillId="0" borderId="12" xfId="0" applyFont="1" applyBorder="1"/>
    <xf numFmtId="41" fontId="28" fillId="0" borderId="30" xfId="0" applyNumberFormat="1" applyFont="1" applyBorder="1"/>
    <xf numFmtId="41" fontId="28" fillId="0" borderId="18" xfId="0" applyNumberFormat="1" applyFont="1" applyBorder="1"/>
    <xf numFmtId="166" fontId="31" fillId="0" borderId="0" xfId="1" applyNumberFormat="1" applyFont="1" applyBorder="1"/>
    <xf numFmtId="164" fontId="10" fillId="0" borderId="0" xfId="1" applyNumberFormat="1" applyFont="1" applyBorder="1"/>
    <xf numFmtId="41" fontId="37" fillId="5" borderId="21" xfId="8" applyNumberFormat="1" applyFont="1" applyFill="1" applyBorder="1"/>
    <xf numFmtId="41" fontId="37" fillId="5" borderId="18" xfId="8" applyNumberFormat="1" applyFont="1" applyFill="1" applyBorder="1"/>
    <xf numFmtId="3" fontId="12" fillId="0" borderId="15" xfId="0" applyNumberFormat="1" applyFont="1" applyBorder="1"/>
    <xf numFmtId="3" fontId="12" fillId="0" borderId="6" xfId="0" applyNumberFormat="1" applyFont="1" applyBorder="1"/>
    <xf numFmtId="0" fontId="29" fillId="0" borderId="0" xfId="0" applyFont="1" applyFill="1" applyBorder="1"/>
    <xf numFmtId="0" fontId="10" fillId="0" borderId="0" xfId="8" applyFont="1"/>
    <xf numFmtId="0" fontId="29" fillId="0" borderId="0" xfId="9" applyFont="1" applyFill="1" applyBorder="1"/>
    <xf numFmtId="0" fontId="29" fillId="0" borderId="0" xfId="9" applyNumberFormat="1" applyFont="1" applyFill="1" applyBorder="1" applyAlignment="1"/>
    <xf numFmtId="3" fontId="12" fillId="0" borderId="0" xfId="0" applyNumberFormat="1" applyFont="1" applyFill="1" applyBorder="1"/>
    <xf numFmtId="0" fontId="12" fillId="0" borderId="0" xfId="0" applyFont="1" applyBorder="1"/>
    <xf numFmtId="0" fontId="30" fillId="2" borderId="0" xfId="0" applyFont="1" applyFill="1" applyAlignment="1">
      <alignment vertical="center"/>
    </xf>
    <xf numFmtId="0" fontId="29" fillId="2" borderId="0" xfId="6" applyFont="1" applyFill="1" applyAlignment="1">
      <alignment vertical="center"/>
    </xf>
    <xf numFmtId="3" fontId="40" fillId="9" borderId="27" xfId="0" applyNumberFormat="1" applyFont="1" applyFill="1" applyBorder="1"/>
    <xf numFmtId="41" fontId="10" fillId="0" borderId="3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4" fillId="5" borderId="36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vertical="center" wrapText="1"/>
    </xf>
    <xf numFmtId="0" fontId="29" fillId="6" borderId="6" xfId="0" applyFont="1" applyFill="1" applyBorder="1" applyAlignment="1">
      <alignment vertical="center" wrapText="1"/>
    </xf>
    <xf numFmtId="0" fontId="29" fillId="8" borderId="6" xfId="0" applyFont="1" applyFill="1" applyBorder="1" applyAlignment="1">
      <alignment vertical="center"/>
    </xf>
    <xf numFmtId="0" fontId="29" fillId="8" borderId="33" xfId="0" applyFont="1" applyFill="1" applyBorder="1" applyAlignment="1">
      <alignment horizontal="left" vertical="center"/>
    </xf>
    <xf numFmtId="0" fontId="29" fillId="8" borderId="33" xfId="0" applyFont="1" applyFill="1" applyBorder="1" applyAlignment="1">
      <alignment vertical="center"/>
    </xf>
    <xf numFmtId="0" fontId="29" fillId="8" borderId="50" xfId="0" applyFont="1" applyFill="1" applyBorder="1" applyAlignment="1">
      <alignment vertical="center"/>
    </xf>
    <xf numFmtId="0" fontId="14" fillId="5" borderId="37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vertical="center" wrapText="1"/>
    </xf>
    <xf numFmtId="0" fontId="29" fillId="8" borderId="6" xfId="0" applyFont="1" applyFill="1" applyBorder="1" applyAlignment="1">
      <alignment vertical="center" wrapText="1"/>
    </xf>
    <xf numFmtId="0" fontId="29" fillId="8" borderId="12" xfId="0" applyFont="1" applyFill="1" applyBorder="1" applyAlignment="1">
      <alignment vertical="center" wrapText="1"/>
    </xf>
    <xf numFmtId="0" fontId="29" fillId="8" borderId="15" xfId="0" applyFont="1" applyFill="1" applyBorder="1" applyAlignment="1">
      <alignment vertical="center"/>
    </xf>
    <xf numFmtId="0" fontId="29" fillId="8" borderId="12" xfId="0" applyFont="1" applyFill="1" applyBorder="1" applyAlignment="1">
      <alignment vertical="center"/>
    </xf>
    <xf numFmtId="0" fontId="29" fillId="8" borderId="15" xfId="0" applyFont="1" applyFill="1" applyBorder="1" applyAlignment="1">
      <alignment horizontal="left" vertical="center"/>
    </xf>
    <xf numFmtId="0" fontId="29" fillId="8" borderId="6" xfId="0" applyFont="1" applyFill="1" applyBorder="1" applyAlignment="1">
      <alignment horizontal="left" vertical="center"/>
    </xf>
    <xf numFmtId="0" fontId="29" fillId="8" borderId="12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vertical="center"/>
    </xf>
    <xf numFmtId="0" fontId="29" fillId="8" borderId="31" xfId="0" applyFont="1" applyFill="1" applyBorder="1" applyAlignment="1">
      <alignment vertical="center"/>
    </xf>
    <xf numFmtId="0" fontId="29" fillId="6" borderId="27" xfId="0" applyFont="1" applyFill="1" applyBorder="1" applyAlignment="1">
      <alignment vertical="center"/>
    </xf>
    <xf numFmtId="0" fontId="29" fillId="6" borderId="30" xfId="0" applyFont="1" applyFill="1" applyBorder="1" applyAlignment="1">
      <alignment vertical="center"/>
    </xf>
    <xf numFmtId="0" fontId="29" fillId="8" borderId="27" xfId="0" applyFont="1" applyFill="1" applyBorder="1" applyAlignment="1">
      <alignment vertical="center"/>
    </xf>
    <xf numFmtId="0" fontId="29" fillId="8" borderId="30" xfId="0" applyFont="1" applyFill="1" applyBorder="1" applyAlignment="1">
      <alignment vertical="center"/>
    </xf>
    <xf numFmtId="0" fontId="29" fillId="8" borderId="0" xfId="0" applyFont="1" applyFill="1" applyBorder="1"/>
    <xf numFmtId="0" fontId="14" fillId="5" borderId="15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</cellXfs>
  <cellStyles count="11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9"/>
    <cellStyle name="Normal_D1" xfId="3"/>
    <cellStyle name="Normal_D2" xfId="4"/>
    <cellStyle name="Normal_D3" xfId="5"/>
    <cellStyle name="Normal_E&amp;WIncin09" xfId="6"/>
    <cellStyle name="Normal_emhaztables06_1902562" xfId="8"/>
    <cellStyle name="Normal_yhhaztables06_1902555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5"/>
  <sheetViews>
    <sheetView showGridLines="0" tabSelected="1" workbookViewId="0">
      <selection activeCell="D7" sqref="D7"/>
    </sheetView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4" ht="34.5" customHeight="1">
      <c r="A1" s="405" t="s">
        <v>213</v>
      </c>
      <c r="B1" s="406"/>
      <c r="C1" s="406"/>
      <c r="D1" s="406"/>
      <c r="E1" s="406"/>
      <c r="F1" s="406"/>
      <c r="G1" s="406"/>
    </row>
    <row r="2" spans="1:14" ht="34.5" customHeight="1">
      <c r="A2" s="11" t="s">
        <v>88</v>
      </c>
      <c r="B2" s="12"/>
      <c r="C2" s="12"/>
      <c r="D2" s="12"/>
      <c r="E2" s="12"/>
      <c r="F2" s="12"/>
      <c r="G2" s="12"/>
    </row>
    <row r="3" spans="1:14" ht="30.75" customHeight="1">
      <c r="A3" s="434" t="s">
        <v>246</v>
      </c>
    </row>
    <row r="4" spans="1:14" ht="26.25">
      <c r="A4" s="11" t="s">
        <v>90</v>
      </c>
      <c r="B4" s="12"/>
      <c r="C4" s="12"/>
      <c r="D4" s="11"/>
      <c r="E4" s="11" t="s">
        <v>211</v>
      </c>
      <c r="F4" s="12"/>
      <c r="G4" s="12"/>
      <c r="H4" s="12"/>
      <c r="I4" s="12"/>
      <c r="J4" s="12"/>
      <c r="K4" s="12"/>
      <c r="L4" s="12"/>
      <c r="M4" s="12"/>
    </row>
    <row r="5" spans="1:14" ht="26.25">
      <c r="A5" s="10" t="s">
        <v>89</v>
      </c>
      <c r="D5" s="10"/>
      <c r="E5" s="14" t="s">
        <v>212</v>
      </c>
      <c r="F5" s="13"/>
      <c r="G5" s="13"/>
      <c r="H5" s="13"/>
      <c r="N5" s="113"/>
    </row>
    <row r="6" spans="1:14" ht="26.25">
      <c r="A6" s="10" t="s">
        <v>89</v>
      </c>
      <c r="D6" s="10"/>
      <c r="E6" s="14" t="s">
        <v>214</v>
      </c>
      <c r="N6" s="113"/>
    </row>
    <row r="7" spans="1:14" ht="26.25">
      <c r="A7" s="10" t="s">
        <v>89</v>
      </c>
      <c r="D7" s="10"/>
      <c r="E7" s="14" t="s">
        <v>215</v>
      </c>
      <c r="N7" s="113"/>
    </row>
    <row r="8" spans="1:14" ht="26.25">
      <c r="A8" s="10" t="s">
        <v>89</v>
      </c>
      <c r="D8" s="10"/>
      <c r="E8" s="14" t="s">
        <v>216</v>
      </c>
      <c r="N8" s="113"/>
    </row>
    <row r="9" spans="1:14" ht="26.25">
      <c r="A9" s="10" t="s">
        <v>91</v>
      </c>
      <c r="E9" s="14" t="s">
        <v>217</v>
      </c>
      <c r="N9" s="113"/>
    </row>
    <row r="10" spans="1:14" ht="26.25">
      <c r="A10" s="10" t="s">
        <v>91</v>
      </c>
      <c r="E10" s="14" t="s">
        <v>218</v>
      </c>
      <c r="N10" s="113"/>
    </row>
    <row r="11" spans="1:14" ht="26.25">
      <c r="A11" s="10" t="s">
        <v>92</v>
      </c>
      <c r="E11" s="14" t="s">
        <v>219</v>
      </c>
      <c r="N11" s="113"/>
    </row>
    <row r="12" spans="1:14" ht="26.25">
      <c r="A12" s="10" t="s">
        <v>93</v>
      </c>
      <c r="E12" s="14" t="s">
        <v>220</v>
      </c>
      <c r="N12" s="113"/>
    </row>
    <row r="13" spans="1:14" ht="26.25">
      <c r="A13" s="10" t="s">
        <v>94</v>
      </c>
      <c r="E13" s="14" t="s">
        <v>221</v>
      </c>
      <c r="N13" s="113"/>
    </row>
    <row r="14" spans="1:14" ht="26.25">
      <c r="A14" s="10" t="s">
        <v>33</v>
      </c>
      <c r="E14" s="14" t="s">
        <v>222</v>
      </c>
      <c r="N14" s="113"/>
    </row>
    <row r="15" spans="1:14" ht="26.25">
      <c r="A15" s="10" t="s">
        <v>33</v>
      </c>
      <c r="E15" s="14" t="s">
        <v>223</v>
      </c>
      <c r="N15" s="113"/>
    </row>
    <row r="16" spans="1:14" ht="26.25">
      <c r="A16" s="10" t="s">
        <v>33</v>
      </c>
      <c r="E16" s="14" t="s">
        <v>224</v>
      </c>
      <c r="N16" s="113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H38"/>
  <sheetViews>
    <sheetView showGridLines="0" workbookViewId="0"/>
  </sheetViews>
  <sheetFormatPr defaultRowHeight="12.75"/>
  <cols>
    <col min="1" max="1" width="5.7109375" style="16" customWidth="1"/>
    <col min="2" max="2" width="50.85546875" style="16" customWidth="1"/>
    <col min="3" max="3" width="12.7109375" style="16" customWidth="1"/>
    <col min="4" max="4" width="16.140625" style="16" customWidth="1"/>
    <col min="5" max="5" width="14.140625" style="16" customWidth="1"/>
    <col min="6" max="6" width="17.28515625" style="16" customWidth="1"/>
    <col min="7" max="7" width="15.5703125" style="16" customWidth="1"/>
    <col min="8" max="8" width="12.7109375" style="16" customWidth="1"/>
    <col min="9" max="16384" width="9.140625" style="16"/>
  </cols>
  <sheetData>
    <row r="1" spans="1:8">
      <c r="A1" s="241"/>
    </row>
    <row r="2" spans="1:8" ht="18.75">
      <c r="B2" s="31" t="s">
        <v>234</v>
      </c>
    </row>
    <row r="3" spans="1:8" ht="18.75">
      <c r="B3" s="32" t="s">
        <v>24</v>
      </c>
      <c r="C3" s="19"/>
    </row>
    <row r="4" spans="1:8">
      <c r="B4" s="18"/>
    </row>
    <row r="5" spans="1:8">
      <c r="B5" s="435" t="s">
        <v>19</v>
      </c>
      <c r="C5" s="439" t="s">
        <v>13</v>
      </c>
      <c r="D5" s="440"/>
      <c r="E5" s="440"/>
      <c r="F5" s="440"/>
      <c r="G5" s="440"/>
      <c r="H5" s="482" t="s">
        <v>68</v>
      </c>
    </row>
    <row r="6" spans="1:8" ht="24" customHeight="1">
      <c r="B6" s="436"/>
      <c r="C6" s="33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483"/>
    </row>
    <row r="7" spans="1:8" ht="24" customHeight="1">
      <c r="B7" s="20" t="s">
        <v>73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2">
        <f t="shared" ref="H7:H14" si="0">SUM(C7:G7)</f>
        <v>0</v>
      </c>
    </row>
    <row r="8" spans="1:8" ht="24" customHeight="1">
      <c r="B8" s="20" t="s">
        <v>74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2">
        <f t="shared" si="0"/>
        <v>0</v>
      </c>
    </row>
    <row r="9" spans="1:8" ht="24" customHeight="1">
      <c r="B9" s="20" t="s">
        <v>22</v>
      </c>
      <c r="C9" s="21">
        <v>0</v>
      </c>
      <c r="D9" s="21">
        <v>0</v>
      </c>
      <c r="E9" s="21">
        <v>0</v>
      </c>
      <c r="F9" s="21">
        <v>0</v>
      </c>
      <c r="G9" s="23">
        <v>5.085</v>
      </c>
      <c r="H9" s="22">
        <f t="shared" si="0"/>
        <v>5.085</v>
      </c>
    </row>
    <row r="10" spans="1:8" ht="24" customHeight="1">
      <c r="B10" s="24" t="s">
        <v>36</v>
      </c>
      <c r="C10" s="23">
        <v>28.369</v>
      </c>
      <c r="D10" s="23">
        <v>0</v>
      </c>
      <c r="E10" s="42">
        <v>95.343999999999994</v>
      </c>
      <c r="F10" s="21">
        <v>0</v>
      </c>
      <c r="G10" s="21">
        <v>0</v>
      </c>
      <c r="H10" s="22">
        <f t="shared" si="0"/>
        <v>123.71299999999999</v>
      </c>
    </row>
    <row r="11" spans="1:8" ht="24" customHeight="1">
      <c r="B11" s="24" t="s">
        <v>37</v>
      </c>
      <c r="C11" s="25">
        <v>122.932</v>
      </c>
      <c r="D11" s="21">
        <v>0</v>
      </c>
      <c r="E11" s="21">
        <v>0</v>
      </c>
      <c r="F11" s="21">
        <v>0</v>
      </c>
      <c r="G11" s="21">
        <v>0</v>
      </c>
      <c r="H11" s="22">
        <f t="shared" si="0"/>
        <v>122.932</v>
      </c>
    </row>
    <row r="12" spans="1:8" ht="24" customHeight="1">
      <c r="B12" s="24" t="s">
        <v>21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f t="shared" si="0"/>
        <v>0</v>
      </c>
    </row>
    <row r="13" spans="1:8" ht="24" customHeight="1">
      <c r="B13" s="26" t="s">
        <v>80</v>
      </c>
      <c r="C13" s="21">
        <v>0</v>
      </c>
      <c r="D13" s="21">
        <v>0</v>
      </c>
      <c r="E13" s="21">
        <v>143.44399999999999</v>
      </c>
      <c r="F13" s="21">
        <v>0</v>
      </c>
      <c r="G13" s="23">
        <v>170.39599999999999</v>
      </c>
      <c r="H13" s="22">
        <f t="shared" si="0"/>
        <v>313.83999999999997</v>
      </c>
    </row>
    <row r="14" spans="1:8" ht="24" customHeight="1">
      <c r="B14" s="20" t="s">
        <v>20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7">
        <f t="shared" si="0"/>
        <v>0</v>
      </c>
    </row>
    <row r="15" spans="1:8" ht="24" customHeight="1">
      <c r="B15" s="34" t="s">
        <v>34</v>
      </c>
      <c r="C15" s="35">
        <f t="shared" ref="C15:H15" si="1">SUM(C7:C14)</f>
        <v>151.30099999999999</v>
      </c>
      <c r="D15" s="36">
        <f t="shared" si="1"/>
        <v>0</v>
      </c>
      <c r="E15" s="36">
        <f t="shared" si="1"/>
        <v>238.78799999999998</v>
      </c>
      <c r="F15" s="36">
        <f t="shared" si="1"/>
        <v>0</v>
      </c>
      <c r="G15" s="36">
        <f t="shared" si="1"/>
        <v>175.48099999999999</v>
      </c>
      <c r="H15" s="37">
        <f t="shared" si="1"/>
        <v>565.56999999999994</v>
      </c>
    </row>
    <row r="16" spans="1:8">
      <c r="B16" s="28"/>
    </row>
    <row r="17" spans="2:8">
      <c r="B17" s="430" t="s">
        <v>32</v>
      </c>
    </row>
    <row r="18" spans="2:8">
      <c r="B18" s="431" t="s">
        <v>79</v>
      </c>
    </row>
    <row r="19" spans="2:8">
      <c r="B19" s="29"/>
    </row>
    <row r="21" spans="2:8" ht="18.75">
      <c r="B21" s="31" t="s">
        <v>235</v>
      </c>
    </row>
    <row r="22" spans="2:8" ht="18.75">
      <c r="B22" s="32" t="s">
        <v>24</v>
      </c>
    </row>
    <row r="23" spans="2:8">
      <c r="B23" s="18"/>
    </row>
    <row r="24" spans="2:8">
      <c r="B24" s="435" t="s">
        <v>19</v>
      </c>
      <c r="C24" s="439" t="s">
        <v>13</v>
      </c>
      <c r="D24" s="440"/>
      <c r="E24" s="440"/>
      <c r="F24" s="440"/>
      <c r="G24" s="440"/>
      <c r="H24" s="442" t="s">
        <v>68</v>
      </c>
    </row>
    <row r="25" spans="2:8" ht="26.25" customHeight="1">
      <c r="B25" s="436"/>
      <c r="C25" s="33" t="s">
        <v>57</v>
      </c>
      <c r="D25" s="33" t="s">
        <v>58</v>
      </c>
      <c r="E25" s="33" t="s">
        <v>59</v>
      </c>
      <c r="F25" s="33" t="s">
        <v>60</v>
      </c>
      <c r="G25" s="38" t="s">
        <v>61</v>
      </c>
      <c r="H25" s="443"/>
    </row>
    <row r="26" spans="2:8" ht="24" customHeight="1">
      <c r="B26" s="20" t="s">
        <v>73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f t="shared" ref="H26:H33" si="2">SUM(C26:G26)</f>
        <v>0</v>
      </c>
    </row>
    <row r="27" spans="2:8" ht="24" customHeight="1">
      <c r="B27" s="20" t="s">
        <v>74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f t="shared" si="2"/>
        <v>0</v>
      </c>
    </row>
    <row r="28" spans="2:8" ht="24" customHeight="1">
      <c r="B28" s="20" t="s">
        <v>22</v>
      </c>
      <c r="C28" s="21">
        <v>0</v>
      </c>
      <c r="D28" s="21">
        <v>0</v>
      </c>
      <c r="E28" s="21">
        <v>0</v>
      </c>
      <c r="F28" s="21">
        <v>0</v>
      </c>
      <c r="G28" s="23">
        <v>6.5</v>
      </c>
      <c r="H28" s="22">
        <f t="shared" si="2"/>
        <v>6.5</v>
      </c>
    </row>
    <row r="29" spans="2:8" ht="24" customHeight="1">
      <c r="B29" s="24" t="s">
        <v>36</v>
      </c>
      <c r="C29" s="23">
        <v>40</v>
      </c>
      <c r="D29" s="23">
        <v>0</v>
      </c>
      <c r="E29" s="23">
        <v>460.94299999999998</v>
      </c>
      <c r="F29" s="21">
        <v>0</v>
      </c>
      <c r="G29" s="21">
        <v>0</v>
      </c>
      <c r="H29" s="22">
        <f t="shared" si="2"/>
        <v>500.94299999999998</v>
      </c>
    </row>
    <row r="30" spans="2:8" ht="24" customHeight="1">
      <c r="B30" s="24" t="s">
        <v>37</v>
      </c>
      <c r="C30" s="25">
        <v>188</v>
      </c>
      <c r="D30" s="21">
        <v>0</v>
      </c>
      <c r="E30" s="21">
        <v>0</v>
      </c>
      <c r="F30" s="21">
        <v>0</v>
      </c>
      <c r="G30" s="21">
        <v>0</v>
      </c>
      <c r="H30" s="22">
        <f t="shared" si="2"/>
        <v>188</v>
      </c>
    </row>
    <row r="31" spans="2:8" ht="24" customHeight="1">
      <c r="B31" s="24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2">
        <f t="shared" si="2"/>
        <v>0</v>
      </c>
    </row>
    <row r="32" spans="2:8" ht="24" customHeight="1">
      <c r="B32" s="26" t="s">
        <v>80</v>
      </c>
      <c r="C32" s="21">
        <v>0</v>
      </c>
      <c r="D32" s="21">
        <v>0</v>
      </c>
      <c r="E32" s="21">
        <v>154</v>
      </c>
      <c r="F32" s="21">
        <v>0</v>
      </c>
      <c r="G32" s="23">
        <v>260</v>
      </c>
      <c r="H32" s="22">
        <f t="shared" si="2"/>
        <v>414</v>
      </c>
    </row>
    <row r="33" spans="2:8" ht="24" customHeight="1">
      <c r="B33" s="20" t="s">
        <v>20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7">
        <f t="shared" si="2"/>
        <v>0</v>
      </c>
    </row>
    <row r="34" spans="2:8" ht="24" customHeight="1">
      <c r="B34" s="39" t="s">
        <v>34</v>
      </c>
      <c r="C34" s="40">
        <f t="shared" ref="C34:H34" si="3">SUM(C26:C33)</f>
        <v>228</v>
      </c>
      <c r="D34" s="36">
        <f t="shared" si="3"/>
        <v>0</v>
      </c>
      <c r="E34" s="36">
        <f t="shared" si="3"/>
        <v>614.94299999999998</v>
      </c>
      <c r="F34" s="36">
        <f t="shared" si="3"/>
        <v>0</v>
      </c>
      <c r="G34" s="36">
        <f t="shared" si="3"/>
        <v>266.5</v>
      </c>
      <c r="H34" s="41">
        <f t="shared" si="3"/>
        <v>1109.443</v>
      </c>
    </row>
    <row r="35" spans="2:8">
      <c r="B35" s="30"/>
    </row>
    <row r="36" spans="2:8">
      <c r="B36" s="430" t="s">
        <v>32</v>
      </c>
    </row>
    <row r="37" spans="2:8">
      <c r="B37" s="431" t="s">
        <v>79</v>
      </c>
    </row>
    <row r="38" spans="2:8">
      <c r="B38" s="29"/>
    </row>
  </sheetData>
  <mergeCells count="6">
    <mergeCell ref="C5:G5"/>
    <mergeCell ref="B5:B6"/>
    <mergeCell ref="H5:H6"/>
    <mergeCell ref="B24:B25"/>
    <mergeCell ref="C24:G24"/>
    <mergeCell ref="H24:H25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M21"/>
  <sheetViews>
    <sheetView showGridLines="0" workbookViewId="0"/>
  </sheetViews>
  <sheetFormatPr defaultRowHeight="12.75"/>
  <cols>
    <col min="1" max="1" width="5.7109375" style="16" customWidth="1"/>
    <col min="2" max="2" width="17.140625" style="16" customWidth="1"/>
    <col min="3" max="3" width="14" style="16" customWidth="1"/>
    <col min="4" max="4" width="17.5703125" style="16" customWidth="1"/>
    <col min="5" max="5" width="15.85546875" style="16" customWidth="1"/>
    <col min="6" max="6" width="18" style="16" customWidth="1"/>
    <col min="7" max="7" width="18.28515625" style="16" customWidth="1"/>
    <col min="8" max="8" width="15.140625" style="16" customWidth="1"/>
    <col min="9" max="9" width="17.5703125" style="16" customWidth="1"/>
    <col min="10" max="10" width="15.85546875" style="16" customWidth="1"/>
    <col min="11" max="11" width="17.85546875" style="16" customWidth="1"/>
    <col min="12" max="16384" width="9.140625" style="16"/>
  </cols>
  <sheetData>
    <row r="1" spans="1:10">
      <c r="A1" s="241"/>
    </row>
    <row r="2" spans="1:10" ht="18.75">
      <c r="B2" s="64" t="s">
        <v>231</v>
      </c>
    </row>
    <row r="3" spans="1:10" ht="18.75">
      <c r="B3" s="65" t="s">
        <v>17</v>
      </c>
    </row>
    <row r="5" spans="1:10">
      <c r="B5" s="469" t="s">
        <v>12</v>
      </c>
      <c r="C5" s="484" t="s">
        <v>13</v>
      </c>
      <c r="D5" s="485"/>
      <c r="E5" s="485"/>
      <c r="F5" s="485"/>
      <c r="G5" s="486"/>
      <c r="H5" s="442" t="s">
        <v>72</v>
      </c>
    </row>
    <row r="6" spans="1:10">
      <c r="B6" s="470"/>
      <c r="C6" s="33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443"/>
    </row>
    <row r="7" spans="1:10" ht="20.100000000000001" customHeight="1">
      <c r="B7" s="93" t="s">
        <v>15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80">
        <f>SUM(C7:G7)</f>
        <v>0</v>
      </c>
    </row>
    <row r="8" spans="1:10" ht="20.100000000000001" customHeight="1">
      <c r="B8" s="94" t="s">
        <v>16</v>
      </c>
      <c r="C8" s="167">
        <v>7.0563700000000003</v>
      </c>
      <c r="D8" s="70">
        <v>0</v>
      </c>
      <c r="E8" s="70">
        <v>0</v>
      </c>
      <c r="F8" s="70">
        <v>0</v>
      </c>
      <c r="G8" s="70">
        <v>0</v>
      </c>
      <c r="H8" s="80">
        <f>SUM(C8:G8)</f>
        <v>7.0563700000000003</v>
      </c>
    </row>
    <row r="9" spans="1:10">
      <c r="B9" s="58" t="s">
        <v>34</v>
      </c>
      <c r="C9" s="75">
        <f t="shared" ref="C9:H9" si="0">SUM(C7:C8)</f>
        <v>7.0563700000000003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95">
        <f t="shared" si="0"/>
        <v>0</v>
      </c>
      <c r="H9" s="96">
        <f t="shared" si="0"/>
        <v>7.0563700000000003</v>
      </c>
    </row>
    <row r="12" spans="1:10" ht="18.75">
      <c r="B12" s="64" t="s">
        <v>232</v>
      </c>
      <c r="E12" s="23"/>
      <c r="F12" s="23"/>
      <c r="G12" s="23"/>
      <c r="H12" s="23"/>
      <c r="I12" s="23"/>
      <c r="J12" s="23"/>
    </row>
    <row r="13" spans="1:10" ht="18.75">
      <c r="B13" s="65" t="s">
        <v>17</v>
      </c>
    </row>
    <row r="15" spans="1:10">
      <c r="B15" s="469" t="s">
        <v>12</v>
      </c>
      <c r="C15" s="484" t="s">
        <v>13</v>
      </c>
      <c r="D15" s="485"/>
      <c r="E15" s="485"/>
      <c r="F15" s="485"/>
      <c r="G15" s="486"/>
      <c r="H15" s="442" t="s">
        <v>72</v>
      </c>
      <c r="I15" s="23"/>
      <c r="J15" s="23"/>
    </row>
    <row r="16" spans="1:10">
      <c r="B16" s="470"/>
      <c r="C16" s="33" t="s">
        <v>57</v>
      </c>
      <c r="D16" s="33" t="s">
        <v>58</v>
      </c>
      <c r="E16" s="33" t="s">
        <v>59</v>
      </c>
      <c r="F16" s="33" t="s">
        <v>60</v>
      </c>
      <c r="G16" s="33" t="s">
        <v>61</v>
      </c>
      <c r="H16" s="443"/>
      <c r="I16" s="23"/>
      <c r="J16" s="23"/>
    </row>
    <row r="17" spans="2:13" ht="35.25" customHeight="1">
      <c r="B17" s="97" t="s">
        <v>76</v>
      </c>
      <c r="C17" s="403">
        <v>0</v>
      </c>
      <c r="D17" s="293">
        <v>162.41091</v>
      </c>
      <c r="E17" s="293">
        <v>83.890940000000001</v>
      </c>
      <c r="F17" s="293">
        <v>170.27729500000001</v>
      </c>
      <c r="G17" s="293">
        <v>258.26699999999994</v>
      </c>
      <c r="H17" s="294">
        <f>SUM(C17:G17)</f>
        <v>674.84614499999998</v>
      </c>
    </row>
    <row r="18" spans="2:13">
      <c r="B18" s="58" t="s">
        <v>34</v>
      </c>
      <c r="C18" s="75">
        <f t="shared" ref="C18:H18" si="1">SUM(C17:C17)</f>
        <v>0</v>
      </c>
      <c r="D18" s="59">
        <f t="shared" si="1"/>
        <v>162.41091</v>
      </c>
      <c r="E18" s="59">
        <f t="shared" si="1"/>
        <v>83.890940000000001</v>
      </c>
      <c r="F18" s="59">
        <f t="shared" si="1"/>
        <v>170.27729500000001</v>
      </c>
      <c r="G18" s="95">
        <f t="shared" si="1"/>
        <v>258.26699999999994</v>
      </c>
      <c r="H18" s="96">
        <f t="shared" si="1"/>
        <v>674.84614499999998</v>
      </c>
      <c r="M18" s="54"/>
    </row>
    <row r="20" spans="2:13">
      <c r="B20" s="16" t="s">
        <v>77</v>
      </c>
    </row>
    <row r="21" spans="2:13">
      <c r="B21" s="16" t="s">
        <v>78</v>
      </c>
    </row>
  </sheetData>
  <mergeCells count="6">
    <mergeCell ref="B5:B6"/>
    <mergeCell ref="C5:G5"/>
    <mergeCell ref="H5:H6"/>
    <mergeCell ref="B15:B16"/>
    <mergeCell ref="C15:G15"/>
    <mergeCell ref="H15:H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H12"/>
  <sheetViews>
    <sheetView showGridLines="0" workbookViewId="0"/>
  </sheetViews>
  <sheetFormatPr defaultRowHeight="12.75"/>
  <cols>
    <col min="1" max="1" width="5.7109375" style="16" customWidth="1"/>
    <col min="2" max="2" width="20.28515625" style="16" customWidth="1"/>
    <col min="3" max="3" width="13" style="16" customWidth="1"/>
    <col min="4" max="4" width="14.5703125" style="16" customWidth="1"/>
    <col min="5" max="5" width="12" style="16" customWidth="1"/>
    <col min="6" max="6" width="16.85546875" style="16" customWidth="1"/>
    <col min="7" max="7" width="17.28515625" style="16" customWidth="1"/>
    <col min="8" max="8" width="12.5703125" style="16" customWidth="1"/>
    <col min="9" max="16384" width="9.140625" style="16"/>
  </cols>
  <sheetData>
    <row r="1" spans="1:8">
      <c r="A1" s="241"/>
    </row>
    <row r="2" spans="1:8" ht="18.75">
      <c r="B2" s="64" t="s">
        <v>233</v>
      </c>
    </row>
    <row r="3" spans="1:8" ht="18.75">
      <c r="B3" s="65" t="s">
        <v>24</v>
      </c>
    </row>
    <row r="4" spans="1:8">
      <c r="B4" s="46"/>
    </row>
    <row r="5" spans="1:8" ht="12.75" customHeight="1">
      <c r="B5" s="469" t="s">
        <v>12</v>
      </c>
      <c r="C5" s="439" t="s">
        <v>87</v>
      </c>
      <c r="D5" s="440"/>
      <c r="E5" s="440"/>
      <c r="F5" s="440"/>
      <c r="G5" s="440"/>
      <c r="H5" s="466" t="s">
        <v>72</v>
      </c>
    </row>
    <row r="6" spans="1:8" ht="16.5" customHeight="1">
      <c r="B6" s="470"/>
      <c r="C6" s="404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467"/>
    </row>
    <row r="7" spans="1:8" ht="28.5" customHeight="1">
      <c r="B7" s="98" t="s">
        <v>84</v>
      </c>
      <c r="C7" s="433">
        <v>0</v>
      </c>
      <c r="D7" s="293">
        <v>58.583999999999996</v>
      </c>
      <c r="E7" s="293">
        <v>7.02</v>
      </c>
      <c r="F7" s="293">
        <v>40.969194999999999</v>
      </c>
      <c r="G7" s="293">
        <v>121.64758999999999</v>
      </c>
      <c r="H7" s="100">
        <f>SUM(C7:G7)</f>
        <v>228.22078499999998</v>
      </c>
    </row>
    <row r="8" spans="1:8" ht="25.5">
      <c r="B8" s="99" t="s">
        <v>85</v>
      </c>
      <c r="C8" s="399">
        <v>0.79605999999999999</v>
      </c>
      <c r="D8" s="106">
        <v>0</v>
      </c>
      <c r="E8" s="293">
        <v>14.09032</v>
      </c>
      <c r="F8" s="293">
        <v>0.28499999999999998</v>
      </c>
      <c r="G8" s="293">
        <v>11.914</v>
      </c>
      <c r="H8" s="100">
        <f>SUM(C8:G8)</f>
        <v>27.085380000000001</v>
      </c>
    </row>
    <row r="9" spans="1:8" ht="33.75" customHeight="1">
      <c r="B9" s="104" t="s">
        <v>95</v>
      </c>
      <c r="C9" s="107">
        <v>0</v>
      </c>
      <c r="D9" s="106">
        <v>0</v>
      </c>
      <c r="E9" s="106">
        <v>0</v>
      </c>
      <c r="F9" s="106">
        <v>0</v>
      </c>
      <c r="G9" s="106">
        <v>0</v>
      </c>
      <c r="H9" s="100">
        <f>SUM(C9:G9)</f>
        <v>0</v>
      </c>
    </row>
    <row r="10" spans="1:8" ht="21" customHeight="1">
      <c r="B10" s="101" t="s">
        <v>34</v>
      </c>
      <c r="C10" s="102">
        <f>+C8+C7+C9</f>
        <v>0.79605999999999999</v>
      </c>
      <c r="D10" s="103">
        <f>+D8+D7+D9</f>
        <v>58.583999999999996</v>
      </c>
      <c r="E10" s="103">
        <f t="shared" ref="E10:F10" si="0">+E8+E7+E9</f>
        <v>21.110320000000002</v>
      </c>
      <c r="F10" s="103">
        <f t="shared" si="0"/>
        <v>41.254194999999996</v>
      </c>
      <c r="G10" s="103">
        <f>+G8+G7+G9</f>
        <v>133.56159</v>
      </c>
      <c r="H10" s="105">
        <f>+H8+H7+H9</f>
        <v>255.30616499999996</v>
      </c>
    </row>
    <row r="12" spans="1:8">
      <c r="B12" s="16" t="s">
        <v>86</v>
      </c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69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70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61"/>
  <sheetViews>
    <sheetView showGridLines="0" workbookViewId="0"/>
  </sheetViews>
  <sheetFormatPr defaultRowHeight="12.75"/>
  <cols>
    <col min="1" max="1" width="4.5703125" customWidth="1"/>
    <col min="2" max="2" width="13.85546875" customWidth="1"/>
    <col min="3" max="3" width="41.7109375" customWidth="1"/>
    <col min="4" max="4" width="19" customWidth="1"/>
    <col min="5" max="5" width="15.42578125" customWidth="1"/>
    <col min="6" max="6" width="15.85546875" customWidth="1"/>
    <col min="7" max="7" width="19.140625" customWidth="1"/>
    <col min="8" max="8" width="16.7109375" customWidth="1"/>
    <col min="9" max="9" width="16.28515625" customWidth="1"/>
  </cols>
  <sheetData>
    <row r="1" spans="1:9">
      <c r="A1" s="241"/>
    </row>
    <row r="2" spans="1:9" ht="18.75">
      <c r="B2" s="64" t="s">
        <v>236</v>
      </c>
      <c r="C2" s="118"/>
      <c r="D2" s="118"/>
      <c r="E2" s="118"/>
      <c r="F2" s="118"/>
      <c r="G2" s="118"/>
      <c r="H2" s="118"/>
      <c r="I2" s="118"/>
    </row>
    <row r="3" spans="1:9">
      <c r="B3" s="119"/>
      <c r="C3" s="118"/>
      <c r="D3" s="118"/>
      <c r="E3" s="118"/>
      <c r="F3" s="118"/>
      <c r="G3" s="118"/>
      <c r="H3" s="118"/>
      <c r="I3" s="118"/>
    </row>
    <row r="4" spans="1:9" ht="36" customHeight="1">
      <c r="B4" s="120" t="s">
        <v>126</v>
      </c>
      <c r="C4" s="121" t="s">
        <v>127</v>
      </c>
      <c r="D4" s="101" t="s">
        <v>57</v>
      </c>
      <c r="E4" s="122" t="s">
        <v>58</v>
      </c>
      <c r="F4" s="122" t="s">
        <v>59</v>
      </c>
      <c r="G4" s="122" t="s">
        <v>60</v>
      </c>
      <c r="H4" s="123" t="s">
        <v>61</v>
      </c>
      <c r="I4" s="124" t="s">
        <v>72</v>
      </c>
    </row>
    <row r="5" spans="1:9">
      <c r="B5" s="125" t="s">
        <v>128</v>
      </c>
      <c r="C5" s="126" t="s">
        <v>129</v>
      </c>
      <c r="D5" s="106">
        <v>0.18459999999999999</v>
      </c>
      <c r="E5" s="106">
        <v>0</v>
      </c>
      <c r="F5" s="106">
        <v>46.23</v>
      </c>
      <c r="G5" s="106">
        <v>0</v>
      </c>
      <c r="H5" s="106">
        <v>121.27</v>
      </c>
      <c r="I5" s="127">
        <f>SUM(D5:H5)</f>
        <v>167.68459999999999</v>
      </c>
    </row>
    <row r="6" spans="1:9">
      <c r="B6" s="128" t="s">
        <v>130</v>
      </c>
      <c r="C6" s="129" t="s">
        <v>131</v>
      </c>
      <c r="D6" s="106">
        <v>28.521999999999998</v>
      </c>
      <c r="E6" s="106">
        <v>5.3949999999999996</v>
      </c>
      <c r="F6" s="106">
        <v>92.958999999999989</v>
      </c>
      <c r="G6" s="106">
        <v>5.5104999999999995</v>
      </c>
      <c r="H6" s="106">
        <v>0.99899999999999989</v>
      </c>
      <c r="I6" s="127">
        <f>SUM(D6:H6)</f>
        <v>133.38549999999998</v>
      </c>
    </row>
    <row r="7" spans="1:9">
      <c r="B7" s="128" t="s">
        <v>132</v>
      </c>
      <c r="C7" s="129" t="s">
        <v>133</v>
      </c>
      <c r="D7" s="106">
        <v>3.26</v>
      </c>
      <c r="E7" s="106">
        <v>0</v>
      </c>
      <c r="F7" s="106">
        <v>23.78</v>
      </c>
      <c r="G7" s="106">
        <v>0</v>
      </c>
      <c r="H7" s="106">
        <v>35.74</v>
      </c>
      <c r="I7" s="127">
        <f t="shared" ref="I7:I24" si="0">SUM(D7:H7)</f>
        <v>62.78</v>
      </c>
    </row>
    <row r="8" spans="1:9">
      <c r="B8" s="128" t="s">
        <v>134</v>
      </c>
      <c r="C8" s="129" t="s">
        <v>135</v>
      </c>
      <c r="D8" s="106">
        <v>0.28000000000000003</v>
      </c>
      <c r="E8" s="106">
        <v>156.16399999999999</v>
      </c>
      <c r="F8" s="106">
        <v>0.20499999999999999</v>
      </c>
      <c r="G8" s="106">
        <v>0</v>
      </c>
      <c r="H8" s="106">
        <v>8.1750000000000003E-2</v>
      </c>
      <c r="I8" s="127">
        <f t="shared" si="0"/>
        <v>156.73075</v>
      </c>
    </row>
    <row r="9" spans="1:9">
      <c r="B9" s="128" t="s">
        <v>136</v>
      </c>
      <c r="C9" s="129" t="s">
        <v>137</v>
      </c>
      <c r="D9" s="106">
        <v>7.88</v>
      </c>
      <c r="E9" s="106">
        <v>7.0270000000000001</v>
      </c>
      <c r="F9" s="106">
        <v>3.02</v>
      </c>
      <c r="G9" s="106">
        <v>0</v>
      </c>
      <c r="H9" s="106">
        <v>118.47839999999999</v>
      </c>
      <c r="I9" s="127">
        <f t="shared" si="0"/>
        <v>136.40539999999999</v>
      </c>
    </row>
    <row r="10" spans="1:9">
      <c r="B10" s="128" t="s">
        <v>138</v>
      </c>
      <c r="C10" s="129" t="s">
        <v>139</v>
      </c>
      <c r="D10" s="106">
        <v>1734.5631100000003</v>
      </c>
      <c r="E10" s="106">
        <v>537.18155999999988</v>
      </c>
      <c r="F10" s="106">
        <v>162.70490999999996</v>
      </c>
      <c r="G10" s="106">
        <v>655.95050000000003</v>
      </c>
      <c r="H10" s="106">
        <v>191.18730000000002</v>
      </c>
      <c r="I10" s="127">
        <f t="shared" si="0"/>
        <v>3281.5873799999999</v>
      </c>
    </row>
    <row r="11" spans="1:9">
      <c r="B11" s="128" t="s">
        <v>140</v>
      </c>
      <c r="C11" s="129" t="s">
        <v>141</v>
      </c>
      <c r="D11" s="106">
        <v>1670.6514999999999</v>
      </c>
      <c r="E11" s="106">
        <v>689.12687999999991</v>
      </c>
      <c r="F11" s="106">
        <v>1621.9983400000001</v>
      </c>
      <c r="G11" s="106">
        <v>710.75970000000007</v>
      </c>
      <c r="H11" s="106">
        <v>116.22655</v>
      </c>
      <c r="I11" s="127">
        <f t="shared" si="0"/>
        <v>4808.7629700000007</v>
      </c>
    </row>
    <row r="12" spans="1:9">
      <c r="B12" s="128" t="s">
        <v>142</v>
      </c>
      <c r="C12" s="129" t="s">
        <v>143</v>
      </c>
      <c r="D12" s="106">
        <v>1691.2650399999998</v>
      </c>
      <c r="E12" s="106">
        <v>1406.9655499999999</v>
      </c>
      <c r="F12" s="106">
        <v>841.42246999999998</v>
      </c>
      <c r="G12" s="106">
        <v>1471.0455200000001</v>
      </c>
      <c r="H12" s="106">
        <v>2178.0249000000003</v>
      </c>
      <c r="I12" s="127">
        <f t="shared" si="0"/>
        <v>7588.7234800000006</v>
      </c>
    </row>
    <row r="13" spans="1:9">
      <c r="B13" s="128" t="s">
        <v>144</v>
      </c>
      <c r="C13" s="129" t="s">
        <v>145</v>
      </c>
      <c r="D13" s="106">
        <v>45.540599999999998</v>
      </c>
      <c r="E13" s="106">
        <v>121.97325000000001</v>
      </c>
      <c r="F13" s="106">
        <v>40.989899999999999</v>
      </c>
      <c r="G13" s="106">
        <v>84.898200000000003</v>
      </c>
      <c r="H13" s="106">
        <v>188.78704999999999</v>
      </c>
      <c r="I13" s="127">
        <f t="shared" si="0"/>
        <v>482.18899999999996</v>
      </c>
    </row>
    <row r="14" spans="1:9">
      <c r="B14" s="128" t="s">
        <v>146</v>
      </c>
      <c r="C14" s="129" t="s">
        <v>147</v>
      </c>
      <c r="D14" s="106">
        <v>5198.7699900000007</v>
      </c>
      <c r="E14" s="106">
        <v>132.30787999999998</v>
      </c>
      <c r="F14" s="106">
        <v>73.858000000000004</v>
      </c>
      <c r="G14" s="106">
        <v>294.65899999999999</v>
      </c>
      <c r="H14" s="106">
        <v>224.91199999999998</v>
      </c>
      <c r="I14" s="127">
        <f t="shared" si="0"/>
        <v>5924.5068700000011</v>
      </c>
    </row>
    <row r="15" spans="1:9">
      <c r="B15" s="128" t="s">
        <v>148</v>
      </c>
      <c r="C15" s="129" t="s">
        <v>149</v>
      </c>
      <c r="D15" s="106">
        <v>4942.2825000000003</v>
      </c>
      <c r="E15" s="106">
        <v>767.39818999999977</v>
      </c>
      <c r="F15" s="106">
        <v>153.37699999999998</v>
      </c>
      <c r="G15" s="106">
        <v>819.77449999999988</v>
      </c>
      <c r="H15" s="106">
        <v>2598.2210999999998</v>
      </c>
      <c r="I15" s="127">
        <f t="shared" si="0"/>
        <v>9281.0532899999998</v>
      </c>
    </row>
    <row r="16" spans="1:9">
      <c r="B16" s="128" t="s">
        <v>150</v>
      </c>
      <c r="C16" s="129" t="s">
        <v>151</v>
      </c>
      <c r="D16" s="106">
        <v>2455.6369000000004</v>
      </c>
      <c r="E16" s="106">
        <v>2427.4867500000005</v>
      </c>
      <c r="F16" s="106">
        <v>562.024</v>
      </c>
      <c r="G16" s="106">
        <v>7495.8642</v>
      </c>
      <c r="H16" s="106">
        <v>1022.4049999999999</v>
      </c>
      <c r="I16" s="127">
        <f t="shared" si="0"/>
        <v>13963.416850000003</v>
      </c>
    </row>
    <row r="17" spans="2:9">
      <c r="B17" s="128" t="s">
        <v>152</v>
      </c>
      <c r="C17" s="129" t="s">
        <v>153</v>
      </c>
      <c r="D17" s="106">
        <v>6397.8485200000005</v>
      </c>
      <c r="E17" s="106">
        <v>27424.529460000002</v>
      </c>
      <c r="F17" s="106">
        <v>7103.6846399999986</v>
      </c>
      <c r="G17" s="106">
        <v>8355.8932199999999</v>
      </c>
      <c r="H17" s="106">
        <v>26667.185509999999</v>
      </c>
      <c r="I17" s="127">
        <f t="shared" si="0"/>
        <v>75949.141350000005</v>
      </c>
    </row>
    <row r="18" spans="2:9">
      <c r="B18" s="128" t="s">
        <v>154</v>
      </c>
      <c r="C18" s="129" t="s">
        <v>155</v>
      </c>
      <c r="D18" s="106">
        <v>434.73205999999993</v>
      </c>
      <c r="E18" s="106">
        <v>674.81275000000005</v>
      </c>
      <c r="F18" s="106">
        <v>2210.9274200000004</v>
      </c>
      <c r="G18" s="106">
        <v>220.32882000000001</v>
      </c>
      <c r="H18" s="106">
        <v>333.78340000000003</v>
      </c>
      <c r="I18" s="127">
        <f t="shared" si="0"/>
        <v>3874.5844500000003</v>
      </c>
    </row>
    <row r="19" spans="2:9">
      <c r="B19" s="128" t="s">
        <v>156</v>
      </c>
      <c r="C19" s="129" t="s">
        <v>157</v>
      </c>
      <c r="D19" s="106">
        <v>1910.0156200000001</v>
      </c>
      <c r="E19" s="106">
        <v>1159.6077500000001</v>
      </c>
      <c r="F19" s="106">
        <v>769.96207000000004</v>
      </c>
      <c r="G19" s="106">
        <v>1215.87129</v>
      </c>
      <c r="H19" s="106">
        <v>4794.4275599999992</v>
      </c>
      <c r="I19" s="127">
        <f t="shared" si="0"/>
        <v>9849.8842899999981</v>
      </c>
    </row>
    <row r="20" spans="2:9">
      <c r="B20" s="128" t="s">
        <v>158</v>
      </c>
      <c r="C20" s="129" t="s">
        <v>159</v>
      </c>
      <c r="D20" s="106">
        <v>9046.8712899999991</v>
      </c>
      <c r="E20" s="106">
        <v>8017.0355299999992</v>
      </c>
      <c r="F20" s="106">
        <v>7392.0002599999998</v>
      </c>
      <c r="G20" s="106">
        <v>12184.365880000001</v>
      </c>
      <c r="H20" s="106">
        <v>11320.383680000001</v>
      </c>
      <c r="I20" s="127">
        <f t="shared" si="0"/>
        <v>47960.656640000001</v>
      </c>
    </row>
    <row r="21" spans="2:9">
      <c r="B21" s="128" t="s">
        <v>160</v>
      </c>
      <c r="C21" s="129" t="s">
        <v>161</v>
      </c>
      <c r="D21" s="106">
        <v>20194.196169999999</v>
      </c>
      <c r="E21" s="106">
        <v>27475.992229999996</v>
      </c>
      <c r="F21" s="106">
        <v>13720.635200000001</v>
      </c>
      <c r="G21" s="106">
        <v>12939.05969</v>
      </c>
      <c r="H21" s="106">
        <v>15400.843989999998</v>
      </c>
      <c r="I21" s="127">
        <f t="shared" si="0"/>
        <v>89730.727279999992</v>
      </c>
    </row>
    <row r="22" spans="2:9">
      <c r="B22" s="128" t="s">
        <v>162</v>
      </c>
      <c r="C22" s="129" t="s">
        <v>163</v>
      </c>
      <c r="D22" s="106">
        <v>1805.3599899999999</v>
      </c>
      <c r="E22" s="106">
        <v>3308.5292200000099</v>
      </c>
      <c r="F22" s="106">
        <v>1145.8808499999991</v>
      </c>
      <c r="G22" s="106">
        <v>1980.3687199999999</v>
      </c>
      <c r="H22" s="106">
        <v>4247.9515100000008</v>
      </c>
      <c r="I22" s="127">
        <f t="shared" si="0"/>
        <v>12488.090290000011</v>
      </c>
    </row>
    <row r="23" spans="2:9">
      <c r="B23" s="128" t="s">
        <v>164</v>
      </c>
      <c r="C23" s="129" t="s">
        <v>165</v>
      </c>
      <c r="D23" s="106">
        <v>13243.8181</v>
      </c>
      <c r="E23" s="106">
        <v>1691.8093800000001</v>
      </c>
      <c r="F23" s="106">
        <v>3916.3900000000003</v>
      </c>
      <c r="G23" s="106">
        <v>127954.37599999999</v>
      </c>
      <c r="H23" s="106">
        <v>5083.4690000000001</v>
      </c>
      <c r="I23" s="127">
        <f t="shared" si="0"/>
        <v>151889.86248000001</v>
      </c>
    </row>
    <row r="24" spans="2:9">
      <c r="B24" s="130" t="s">
        <v>166</v>
      </c>
      <c r="C24" s="131" t="s">
        <v>167</v>
      </c>
      <c r="D24" s="106">
        <v>3831.0418</v>
      </c>
      <c r="E24" s="106">
        <v>3501.2571699999999</v>
      </c>
      <c r="F24" s="106">
        <v>12728.136930000001</v>
      </c>
      <c r="G24" s="106">
        <v>4273.5158700000002</v>
      </c>
      <c r="H24" s="106">
        <v>5523.3034300000008</v>
      </c>
      <c r="I24" s="127">
        <f t="shared" si="0"/>
        <v>29857.2552</v>
      </c>
    </row>
    <row r="25" spans="2:9" ht="20.100000000000001" customHeight="1">
      <c r="B25" s="380" t="s">
        <v>168</v>
      </c>
      <c r="C25" s="381"/>
      <c r="D25" s="382">
        <f t="shared" ref="D25:I25" si="1">SUM(D5:D24)</f>
        <v>74642.719790000003</v>
      </c>
      <c r="E25" s="383">
        <f t="shared" si="1"/>
        <v>79504.599550000014</v>
      </c>
      <c r="F25" s="383">
        <f t="shared" si="1"/>
        <v>52610.185989999998</v>
      </c>
      <c r="G25" s="383">
        <f t="shared" si="1"/>
        <v>180662.24161</v>
      </c>
      <c r="H25" s="383">
        <f t="shared" si="1"/>
        <v>80167.681129999983</v>
      </c>
      <c r="I25" s="384">
        <f t="shared" si="1"/>
        <v>467587.42807000002</v>
      </c>
    </row>
    <row r="26" spans="2:9">
      <c r="B26" s="118"/>
      <c r="C26" s="118"/>
      <c r="D26" s="118"/>
      <c r="E26" s="118"/>
      <c r="F26" s="118"/>
      <c r="G26" s="118"/>
      <c r="H26" s="118"/>
      <c r="I26" s="118"/>
    </row>
    <row r="27" spans="2:9">
      <c r="B27" s="140" t="s">
        <v>169</v>
      </c>
      <c r="C27" s="118"/>
      <c r="D27" s="118"/>
      <c r="E27" s="118"/>
      <c r="F27" s="118"/>
      <c r="G27" s="118"/>
      <c r="H27" s="118"/>
      <c r="I27" s="118"/>
    </row>
    <row r="28" spans="2:9">
      <c r="B28" s="16" t="s">
        <v>170</v>
      </c>
      <c r="C28" s="118"/>
      <c r="D28" s="118"/>
      <c r="E28" s="118"/>
      <c r="F28" s="118"/>
      <c r="G28" s="118"/>
      <c r="H28" s="118"/>
      <c r="I28" s="118"/>
    </row>
    <row r="29" spans="2:9">
      <c r="B29" s="16" t="s">
        <v>171</v>
      </c>
      <c r="C29" s="118"/>
      <c r="D29" s="118"/>
      <c r="E29" s="118"/>
      <c r="F29" s="118"/>
      <c r="G29" s="118"/>
      <c r="H29" s="118"/>
      <c r="I29" s="118"/>
    </row>
    <row r="30" spans="2:9">
      <c r="B30" s="424" t="s">
        <v>172</v>
      </c>
      <c r="C30" s="118"/>
      <c r="D30" s="118"/>
      <c r="E30" s="118"/>
      <c r="F30" s="118"/>
      <c r="G30" s="118"/>
      <c r="H30" s="118"/>
      <c r="I30" s="118"/>
    </row>
    <row r="33" spans="2:9" ht="18.75">
      <c r="B33" s="64" t="s">
        <v>237</v>
      </c>
      <c r="C33" s="118"/>
      <c r="D33" s="118"/>
      <c r="E33" s="118"/>
      <c r="F33" s="118"/>
      <c r="G33" s="118"/>
      <c r="H33" s="118"/>
      <c r="I33" s="118"/>
    </row>
    <row r="34" spans="2:9">
      <c r="B34" s="118"/>
      <c r="C34" s="118"/>
      <c r="D34" s="118"/>
      <c r="E34" s="118"/>
      <c r="F34" s="118"/>
      <c r="G34" s="118"/>
      <c r="H34" s="118"/>
      <c r="I34" s="118"/>
    </row>
    <row r="35" spans="2:9" ht="36" customHeight="1">
      <c r="B35" s="120" t="s">
        <v>126</v>
      </c>
      <c r="C35" s="121" t="s">
        <v>127</v>
      </c>
      <c r="D35" s="246" t="s">
        <v>57</v>
      </c>
      <c r="E35" s="245" t="s">
        <v>58</v>
      </c>
      <c r="F35" s="245" t="s">
        <v>59</v>
      </c>
      <c r="G35" s="245" t="s">
        <v>60</v>
      </c>
      <c r="H35" s="286" t="s">
        <v>61</v>
      </c>
      <c r="I35" s="133" t="s">
        <v>72</v>
      </c>
    </row>
    <row r="36" spans="2:9">
      <c r="B36" s="134" t="s">
        <v>128</v>
      </c>
      <c r="C36" s="284" t="s">
        <v>129</v>
      </c>
      <c r="D36" s="295">
        <v>191.58</v>
      </c>
      <c r="E36" s="296">
        <v>0.22</v>
      </c>
      <c r="F36" s="296">
        <v>0</v>
      </c>
      <c r="G36" s="296">
        <v>125.75999999999999</v>
      </c>
      <c r="H36" s="297">
        <v>0</v>
      </c>
      <c r="I36" s="285">
        <f>SUM(D36:H36)</f>
        <v>317.56</v>
      </c>
    </row>
    <row r="37" spans="2:9">
      <c r="B37" s="134" t="s">
        <v>130</v>
      </c>
      <c r="C37" s="284" t="s">
        <v>131</v>
      </c>
      <c r="D37" s="135">
        <v>4.6360000000000001</v>
      </c>
      <c r="E37" s="82">
        <v>0.4</v>
      </c>
      <c r="F37" s="82">
        <v>0</v>
      </c>
      <c r="G37" s="82">
        <v>0</v>
      </c>
      <c r="H37" s="262">
        <v>0.25</v>
      </c>
      <c r="I37" s="285">
        <f>SUM(D37:H37)</f>
        <v>5.2860000000000005</v>
      </c>
    </row>
    <row r="38" spans="2:9">
      <c r="B38" s="134" t="s">
        <v>132</v>
      </c>
      <c r="C38" s="284" t="s">
        <v>133</v>
      </c>
      <c r="D38" s="135">
        <v>0</v>
      </c>
      <c r="E38" s="82">
        <v>0</v>
      </c>
      <c r="F38" s="82">
        <v>0</v>
      </c>
      <c r="G38" s="82">
        <v>0</v>
      </c>
      <c r="H38" s="262">
        <v>0</v>
      </c>
      <c r="I38" s="285">
        <f t="shared" ref="I38:I55" si="2">SUM(D38:H38)</f>
        <v>0</v>
      </c>
    </row>
    <row r="39" spans="2:9">
      <c r="B39" s="134" t="s">
        <v>134</v>
      </c>
      <c r="C39" s="284" t="s">
        <v>135</v>
      </c>
      <c r="D39" s="135"/>
      <c r="E39" s="82">
        <v>0.56174999999999997</v>
      </c>
      <c r="F39" s="82">
        <v>0</v>
      </c>
      <c r="G39" s="82">
        <v>0</v>
      </c>
      <c r="H39" s="262"/>
      <c r="I39" s="285">
        <f t="shared" si="2"/>
        <v>0.56174999999999997</v>
      </c>
    </row>
    <row r="40" spans="2:9">
      <c r="B40" s="134" t="s">
        <v>136</v>
      </c>
      <c r="C40" s="284" t="s">
        <v>137</v>
      </c>
      <c r="D40" s="135">
        <v>546.91999999999996</v>
      </c>
      <c r="E40" s="82">
        <v>15.8109</v>
      </c>
      <c r="F40" s="82">
        <v>0</v>
      </c>
      <c r="G40" s="82">
        <v>356.81</v>
      </c>
      <c r="H40" s="262">
        <v>28.721</v>
      </c>
      <c r="I40" s="285">
        <f t="shared" si="2"/>
        <v>948.26189999999997</v>
      </c>
    </row>
    <row r="41" spans="2:9">
      <c r="B41" s="134" t="s">
        <v>138</v>
      </c>
      <c r="C41" s="284" t="s">
        <v>139</v>
      </c>
      <c r="D41" s="135">
        <v>2149.1235000000001</v>
      </c>
      <c r="E41" s="82">
        <v>209.1601</v>
      </c>
      <c r="F41" s="82">
        <v>0</v>
      </c>
      <c r="G41" s="82">
        <v>70.189460000000011</v>
      </c>
      <c r="H41" s="262">
        <v>3.7900599999999995</v>
      </c>
      <c r="I41" s="285">
        <f t="shared" si="2"/>
        <v>2432.2631200000001</v>
      </c>
    </row>
    <row r="42" spans="2:9">
      <c r="B42" s="134" t="s">
        <v>140</v>
      </c>
      <c r="C42" s="284" t="s">
        <v>141</v>
      </c>
      <c r="D42" s="135">
        <v>38090.173999999999</v>
      </c>
      <c r="E42" s="82">
        <v>276.59974999999997</v>
      </c>
      <c r="F42" s="82">
        <v>0</v>
      </c>
      <c r="G42" s="82">
        <v>209.81909999999999</v>
      </c>
      <c r="H42" s="262">
        <v>43.924999999999997</v>
      </c>
      <c r="I42" s="285">
        <f t="shared" si="2"/>
        <v>38620.517850000004</v>
      </c>
    </row>
    <row r="43" spans="2:9">
      <c r="B43" s="134" t="s">
        <v>142</v>
      </c>
      <c r="C43" s="284" t="s">
        <v>143</v>
      </c>
      <c r="D43" s="135">
        <v>2320.953399999999</v>
      </c>
      <c r="E43" s="82">
        <v>386.14639999999997</v>
      </c>
      <c r="F43" s="82">
        <v>7.620000000000001</v>
      </c>
      <c r="G43" s="82">
        <v>131.91669999999999</v>
      </c>
      <c r="H43" s="262">
        <v>1320.37841</v>
      </c>
      <c r="I43" s="285">
        <f t="shared" si="2"/>
        <v>4167.014909999999</v>
      </c>
    </row>
    <row r="44" spans="2:9">
      <c r="B44" s="134" t="s">
        <v>144</v>
      </c>
      <c r="C44" s="284" t="s">
        <v>145</v>
      </c>
      <c r="D44" s="135">
        <v>37.9925</v>
      </c>
      <c r="E44" s="82">
        <v>3.3</v>
      </c>
      <c r="F44" s="82">
        <v>0</v>
      </c>
      <c r="G44" s="82">
        <v>21.977250000000002</v>
      </c>
      <c r="H44" s="262">
        <v>1.1619999999999999</v>
      </c>
      <c r="I44" s="285">
        <f t="shared" si="2"/>
        <v>64.431750000000008</v>
      </c>
    </row>
    <row r="45" spans="2:9">
      <c r="B45" s="134" t="s">
        <v>146</v>
      </c>
      <c r="C45" s="284" t="s">
        <v>147</v>
      </c>
      <c r="D45" s="135">
        <v>5800.835</v>
      </c>
      <c r="E45" s="82">
        <v>0.63</v>
      </c>
      <c r="F45" s="82">
        <v>0</v>
      </c>
      <c r="G45" s="82">
        <v>2767.73</v>
      </c>
      <c r="H45" s="262">
        <v>12</v>
      </c>
      <c r="I45" s="285">
        <f t="shared" si="2"/>
        <v>8581.1949999999997</v>
      </c>
    </row>
    <row r="46" spans="2:9">
      <c r="B46" s="134" t="s">
        <v>148</v>
      </c>
      <c r="C46" s="284" t="s">
        <v>149</v>
      </c>
      <c r="D46" s="135">
        <v>1510.0915500000001</v>
      </c>
      <c r="E46" s="82">
        <v>72.828499999999991</v>
      </c>
      <c r="F46" s="82">
        <v>0</v>
      </c>
      <c r="G46" s="82">
        <v>1723.6171999999999</v>
      </c>
      <c r="H46" s="262">
        <v>158.6299999999998</v>
      </c>
      <c r="I46" s="285">
        <f t="shared" si="2"/>
        <v>3465.16725</v>
      </c>
    </row>
    <row r="47" spans="2:9">
      <c r="B47" s="134" t="s">
        <v>150</v>
      </c>
      <c r="C47" s="284" t="s">
        <v>151</v>
      </c>
      <c r="D47" s="135">
        <v>564.2405</v>
      </c>
      <c r="E47" s="82">
        <v>170.89285999999998</v>
      </c>
      <c r="F47" s="82">
        <v>0</v>
      </c>
      <c r="G47" s="82">
        <v>2977.6193000000003</v>
      </c>
      <c r="H47" s="262">
        <v>87.215999999999894</v>
      </c>
      <c r="I47" s="285">
        <f t="shared" si="2"/>
        <v>3799.96866</v>
      </c>
    </row>
    <row r="48" spans="2:9">
      <c r="B48" s="134" t="s">
        <v>152</v>
      </c>
      <c r="C48" s="284" t="s">
        <v>153</v>
      </c>
      <c r="D48" s="135">
        <v>2036.7420000000002</v>
      </c>
      <c r="E48" s="82">
        <v>430.70940000000002</v>
      </c>
      <c r="F48" s="82">
        <v>25874.84618</v>
      </c>
      <c r="G48" s="82">
        <v>6811.8407500000003</v>
      </c>
      <c r="H48" s="262">
        <v>30548.271769999999</v>
      </c>
      <c r="I48" s="285">
        <f t="shared" si="2"/>
        <v>65702.410100000008</v>
      </c>
    </row>
    <row r="49" spans="2:9">
      <c r="B49" s="134" t="s">
        <v>154</v>
      </c>
      <c r="C49" s="284" t="s">
        <v>155</v>
      </c>
      <c r="D49" s="135">
        <v>1693.7301699999998</v>
      </c>
      <c r="E49" s="82">
        <v>530.11165000000005</v>
      </c>
      <c r="F49" s="82">
        <v>4.6719999999999997</v>
      </c>
      <c r="G49" s="82">
        <v>506.69659000000001</v>
      </c>
      <c r="H49" s="262">
        <v>31.543810000000001</v>
      </c>
      <c r="I49" s="285">
        <f t="shared" si="2"/>
        <v>2766.7542199999998</v>
      </c>
    </row>
    <row r="50" spans="2:9">
      <c r="B50" s="134" t="s">
        <v>156</v>
      </c>
      <c r="C50" s="284" t="s">
        <v>157</v>
      </c>
      <c r="D50" s="135">
        <v>356.93009999999998</v>
      </c>
      <c r="E50" s="82">
        <v>352.52445</v>
      </c>
      <c r="F50" s="82">
        <v>9.5109999999999992</v>
      </c>
      <c r="G50" s="82">
        <v>429.85474999999997</v>
      </c>
      <c r="H50" s="262">
        <v>4861.99215</v>
      </c>
      <c r="I50" s="285">
        <f t="shared" si="2"/>
        <v>6010.8124499999994</v>
      </c>
    </row>
    <row r="51" spans="2:9">
      <c r="B51" s="134" t="s">
        <v>158</v>
      </c>
      <c r="C51" s="284" t="s">
        <v>159</v>
      </c>
      <c r="D51" s="135">
        <v>84212.674370000008</v>
      </c>
      <c r="E51" s="82">
        <v>7301.6640199999974</v>
      </c>
      <c r="F51" s="82">
        <v>6485.2126399999997</v>
      </c>
      <c r="G51" s="82">
        <v>14708.753819999998</v>
      </c>
      <c r="H51" s="262">
        <v>8807.2924299999904</v>
      </c>
      <c r="I51" s="285">
        <f t="shared" si="2"/>
        <v>121515.59727999999</v>
      </c>
    </row>
    <row r="52" spans="2:9">
      <c r="B52" s="134" t="s">
        <v>160</v>
      </c>
      <c r="C52" s="284" t="s">
        <v>161</v>
      </c>
      <c r="D52" s="135">
        <v>10154.33441999999</v>
      </c>
      <c r="E52" s="82">
        <v>35295.508949999996</v>
      </c>
      <c r="F52" s="82">
        <v>11609.535</v>
      </c>
      <c r="G52" s="82">
        <v>69748.723599999998</v>
      </c>
      <c r="H52" s="262">
        <v>597.76898000000006</v>
      </c>
      <c r="I52" s="285">
        <f t="shared" si="2"/>
        <v>127405.87094999998</v>
      </c>
    </row>
    <row r="53" spans="2:9">
      <c r="B53" s="134" t="s">
        <v>162</v>
      </c>
      <c r="C53" s="284" t="s">
        <v>163</v>
      </c>
      <c r="D53" s="135">
        <v>23.619999999999997</v>
      </c>
      <c r="E53" s="82">
        <v>289.81132000000002</v>
      </c>
      <c r="F53" s="82">
        <v>0.24099999999999999</v>
      </c>
      <c r="G53" s="82">
        <v>318.1918</v>
      </c>
      <c r="H53" s="262">
        <v>8692.34213000001</v>
      </c>
      <c r="I53" s="285">
        <f t="shared" si="2"/>
        <v>9324.2062500000102</v>
      </c>
    </row>
    <row r="54" spans="2:9">
      <c r="B54" s="134" t="s">
        <v>164</v>
      </c>
      <c r="C54" s="284" t="s">
        <v>165</v>
      </c>
      <c r="D54" s="135">
        <v>53494.309000000001</v>
      </c>
      <c r="E54" s="82">
        <v>22512.985500000003</v>
      </c>
      <c r="F54" s="82">
        <v>0</v>
      </c>
      <c r="G54" s="82">
        <v>187030.97200000001</v>
      </c>
      <c r="H54" s="262">
        <v>79.503999999999991</v>
      </c>
      <c r="I54" s="285">
        <f t="shared" si="2"/>
        <v>263117.77050000004</v>
      </c>
    </row>
    <row r="55" spans="2:9">
      <c r="B55" s="134" t="s">
        <v>166</v>
      </c>
      <c r="C55" s="284" t="s">
        <v>167</v>
      </c>
      <c r="D55" s="135">
        <v>1929.07809</v>
      </c>
      <c r="E55" s="82">
        <v>1032.2603300000001</v>
      </c>
      <c r="F55" s="82">
        <v>22879.228020000002</v>
      </c>
      <c r="G55" s="82">
        <v>1522.02755</v>
      </c>
      <c r="H55" s="262">
        <v>2960.2322699999995</v>
      </c>
      <c r="I55" s="285">
        <f t="shared" si="2"/>
        <v>30322.826260000002</v>
      </c>
    </row>
    <row r="56" spans="2:9" ht="20.100000000000001" customHeight="1">
      <c r="B56" s="380" t="s">
        <v>168</v>
      </c>
      <c r="C56" s="385"/>
      <c r="D56" s="386">
        <f t="shared" ref="D56:I56" si="3">SUM(D36:D55)</f>
        <v>205117.96460000001</v>
      </c>
      <c r="E56" s="386">
        <f t="shared" si="3"/>
        <v>68882.125879999992</v>
      </c>
      <c r="F56" s="386">
        <f t="shared" si="3"/>
        <v>66870.865839999999</v>
      </c>
      <c r="G56" s="386">
        <f t="shared" si="3"/>
        <v>289462.49987</v>
      </c>
      <c r="H56" s="386">
        <f t="shared" si="3"/>
        <v>58235.02001</v>
      </c>
      <c r="I56" s="387">
        <f t="shared" si="3"/>
        <v>688568.47620000003</v>
      </c>
    </row>
    <row r="57" spans="2:9">
      <c r="B57" s="118"/>
      <c r="C57" s="118"/>
      <c r="D57" s="118"/>
      <c r="E57" s="118"/>
      <c r="F57" s="118"/>
      <c r="G57" s="118"/>
      <c r="H57" s="118"/>
      <c r="I57" s="118"/>
    </row>
    <row r="58" spans="2:9">
      <c r="B58" s="140" t="s">
        <v>169</v>
      </c>
      <c r="C58" s="118"/>
      <c r="D58" s="118"/>
      <c r="E58" s="118"/>
      <c r="F58" s="118"/>
      <c r="G58" s="118"/>
      <c r="H58" s="118"/>
      <c r="I58" s="118"/>
    </row>
    <row r="59" spans="2:9">
      <c r="B59" s="16" t="s">
        <v>170</v>
      </c>
      <c r="C59" s="118"/>
      <c r="D59" s="118"/>
      <c r="E59" s="118"/>
      <c r="F59" s="118"/>
      <c r="G59" s="118"/>
      <c r="H59" s="118"/>
      <c r="I59" s="118"/>
    </row>
    <row r="60" spans="2:9">
      <c r="B60" s="16" t="s">
        <v>171</v>
      </c>
      <c r="C60" s="118"/>
      <c r="D60" s="118"/>
      <c r="E60" s="118"/>
      <c r="F60" s="118"/>
      <c r="G60" s="118"/>
      <c r="H60" s="118"/>
      <c r="I60" s="118"/>
    </row>
    <row r="61" spans="2:9">
      <c r="B61" s="424" t="s">
        <v>172</v>
      </c>
      <c r="C61" s="118"/>
      <c r="D61" s="118"/>
      <c r="E61" s="118"/>
      <c r="F61" s="118"/>
      <c r="G61" s="118"/>
      <c r="H61" s="118"/>
      <c r="I61" s="118"/>
    </row>
  </sheetData>
  <pageMargins left="0.7" right="0.7" top="0.75" bottom="0.75" header="0.3" footer="0.3"/>
  <pageSetup paperSize="9" orientation="portrait" verticalDpi="0"/>
  <ignoredErrors>
    <ignoredError sqref="B5:B24 B36:B5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showGridLines="0" workbookViewId="0">
      <selection activeCell="K10" sqref="K10"/>
    </sheetView>
  </sheetViews>
  <sheetFormatPr defaultRowHeight="12.75"/>
  <cols>
    <col min="1" max="1" width="4.28515625" customWidth="1"/>
    <col min="2" max="2" width="36.42578125" customWidth="1"/>
    <col min="3" max="3" width="16.28515625" customWidth="1"/>
    <col min="4" max="4" width="13.42578125" customWidth="1"/>
    <col min="5" max="5" width="12.140625" customWidth="1"/>
    <col min="6" max="6" width="15" customWidth="1"/>
    <col min="7" max="7" width="17.85546875" customWidth="1"/>
    <col min="8" max="8" width="12.5703125" customWidth="1"/>
  </cols>
  <sheetData>
    <row r="1" spans="1:10">
      <c r="A1" s="241"/>
    </row>
    <row r="2" spans="1:10" ht="18.75">
      <c r="B2" s="64" t="s">
        <v>238</v>
      </c>
      <c r="C2" s="16"/>
      <c r="D2" s="16"/>
      <c r="E2" s="16"/>
      <c r="F2" s="16"/>
      <c r="G2" s="16"/>
      <c r="H2" s="16"/>
      <c r="I2" s="16"/>
    </row>
    <row r="3" spans="1:10">
      <c r="B3" s="16"/>
      <c r="C3" s="16"/>
      <c r="D3" s="16"/>
      <c r="E3" s="16"/>
      <c r="F3" s="16"/>
      <c r="G3" s="16"/>
      <c r="H3" s="16"/>
      <c r="I3" s="16"/>
    </row>
    <row r="4" spans="1:10" ht="36" customHeight="1">
      <c r="B4" s="142" t="s">
        <v>173</v>
      </c>
      <c r="C4" s="143" t="s">
        <v>57</v>
      </c>
      <c r="D4" s="144" t="s">
        <v>58</v>
      </c>
      <c r="E4" s="144" t="s">
        <v>59</v>
      </c>
      <c r="F4" s="144" t="s">
        <v>60</v>
      </c>
      <c r="G4" s="145" t="s">
        <v>61</v>
      </c>
      <c r="H4" s="146" t="s">
        <v>72</v>
      </c>
      <c r="I4" s="16"/>
    </row>
    <row r="5" spans="1:10">
      <c r="B5" s="136" t="s">
        <v>174</v>
      </c>
      <c r="C5" s="295">
        <v>21540.81</v>
      </c>
      <c r="D5" s="296">
        <v>20722.63</v>
      </c>
      <c r="E5" s="296">
        <v>0</v>
      </c>
      <c r="F5" s="296">
        <v>0</v>
      </c>
      <c r="G5" s="297">
        <v>0</v>
      </c>
      <c r="H5" s="137">
        <f>SUM(C5:G5)</f>
        <v>42263.44</v>
      </c>
      <c r="I5" s="16"/>
    </row>
    <row r="6" spans="1:10">
      <c r="B6" s="138" t="s">
        <v>175</v>
      </c>
      <c r="C6" s="135">
        <v>0</v>
      </c>
      <c r="D6" s="82">
        <v>2.415</v>
      </c>
      <c r="E6" s="82">
        <v>0</v>
      </c>
      <c r="F6" s="82">
        <v>0</v>
      </c>
      <c r="G6" s="262">
        <v>6459.8684400000102</v>
      </c>
      <c r="H6" s="139">
        <f>SUM(C6:G6)</f>
        <v>6462.2834400000102</v>
      </c>
      <c r="I6" s="16"/>
    </row>
    <row r="7" spans="1:10">
      <c r="B7" s="138" t="s">
        <v>176</v>
      </c>
      <c r="C7" s="135">
        <v>9603.2229999999909</v>
      </c>
      <c r="D7" s="82">
        <v>3761.1</v>
      </c>
      <c r="E7" s="82">
        <v>0</v>
      </c>
      <c r="F7" s="82">
        <v>150211.05000000002</v>
      </c>
      <c r="G7" s="262"/>
      <c r="H7" s="139">
        <f>SUM(C7:G7)</f>
        <v>163575.37300000002</v>
      </c>
      <c r="I7" s="16"/>
    </row>
    <row r="8" spans="1:10">
      <c r="B8" s="138" t="s">
        <v>177</v>
      </c>
      <c r="C8" s="135">
        <v>0</v>
      </c>
      <c r="D8" s="82">
        <v>0</v>
      </c>
      <c r="E8" s="82">
        <v>0</v>
      </c>
      <c r="F8" s="82">
        <v>0</v>
      </c>
      <c r="G8" s="262">
        <v>0</v>
      </c>
      <c r="H8" s="139">
        <f t="shared" ref="H8:H14" si="0">SUM(C8:G8)</f>
        <v>0</v>
      </c>
      <c r="I8" s="16"/>
    </row>
    <row r="9" spans="1:10">
      <c r="B9" s="138" t="s">
        <v>178</v>
      </c>
      <c r="C9" s="135">
        <v>0.01</v>
      </c>
      <c r="D9" s="82">
        <v>0</v>
      </c>
      <c r="E9" s="82">
        <v>0</v>
      </c>
      <c r="F9" s="82">
        <v>0</v>
      </c>
      <c r="G9" s="262">
        <v>7.5279999999999996</v>
      </c>
      <c r="H9" s="139">
        <f t="shared" si="0"/>
        <v>7.5379999999999994</v>
      </c>
      <c r="I9" s="23"/>
    </row>
    <row r="10" spans="1:10">
      <c r="B10" s="138" t="s">
        <v>179</v>
      </c>
      <c r="C10" s="135">
        <v>110352.60741999999</v>
      </c>
      <c r="D10" s="82">
        <v>39451.414620000003</v>
      </c>
      <c r="E10" s="82">
        <v>49122.194180000006</v>
      </c>
      <c r="F10" s="82">
        <v>10519.040320000002</v>
      </c>
      <c r="G10" s="262">
        <v>39745.519189999992</v>
      </c>
      <c r="H10" s="139">
        <f t="shared" si="0"/>
        <v>249190.77572999999</v>
      </c>
      <c r="I10" s="16"/>
      <c r="J10" s="288"/>
    </row>
    <row r="11" spans="1:10">
      <c r="B11" s="138" t="s">
        <v>180</v>
      </c>
      <c r="C11" s="135">
        <v>221.14</v>
      </c>
      <c r="D11" s="82">
        <v>0</v>
      </c>
      <c r="E11" s="82">
        <v>0</v>
      </c>
      <c r="F11" s="82">
        <v>515.69000000000005</v>
      </c>
      <c r="G11" s="262"/>
      <c r="H11" s="139">
        <f t="shared" si="0"/>
        <v>736.83</v>
      </c>
      <c r="I11" s="16"/>
      <c r="J11" s="287"/>
    </row>
    <row r="12" spans="1:10">
      <c r="B12" s="138" t="s">
        <v>181</v>
      </c>
      <c r="C12" s="135">
        <v>1116.7639100000004</v>
      </c>
      <c r="D12" s="82">
        <v>2523.5155799999993</v>
      </c>
      <c r="E12" s="82">
        <v>432.0172</v>
      </c>
      <c r="F12" s="82">
        <v>13317.932279999997</v>
      </c>
      <c r="G12" s="262">
        <v>3890.9427500000002</v>
      </c>
      <c r="H12" s="139">
        <f t="shared" si="0"/>
        <v>21281.171719999998</v>
      </c>
      <c r="I12" s="23"/>
      <c r="J12" s="290"/>
    </row>
    <row r="13" spans="1:10">
      <c r="B13" s="138" t="s">
        <v>182</v>
      </c>
      <c r="C13" s="135">
        <v>3661.2663699999989</v>
      </c>
      <c r="D13" s="82">
        <v>2421.0506799999989</v>
      </c>
      <c r="E13" s="82">
        <v>17305.244459999998</v>
      </c>
      <c r="F13" s="82">
        <v>52353.35727</v>
      </c>
      <c r="G13" s="262">
        <v>6907.1683299999995</v>
      </c>
      <c r="H13" s="139">
        <f t="shared" si="0"/>
        <v>82648.087109999993</v>
      </c>
      <c r="I13" s="16"/>
      <c r="J13" s="290"/>
    </row>
    <row r="14" spans="1:10">
      <c r="B14" s="138" t="s">
        <v>108</v>
      </c>
      <c r="C14" s="298">
        <v>58622.143899999995</v>
      </c>
      <c r="D14" s="299">
        <v>0</v>
      </c>
      <c r="E14" s="299">
        <v>11.41</v>
      </c>
      <c r="F14" s="299">
        <v>62545.43</v>
      </c>
      <c r="G14" s="300">
        <v>1223.9933000000001</v>
      </c>
      <c r="H14" s="139">
        <f t="shared" si="0"/>
        <v>122402.97719999999</v>
      </c>
      <c r="I14" s="16"/>
    </row>
    <row r="15" spans="1:10" ht="20.100000000000001" customHeight="1">
      <c r="B15" s="388" t="s">
        <v>168</v>
      </c>
      <c r="C15" s="389">
        <f t="shared" ref="C15:H15" si="1">SUM(C5:C14)</f>
        <v>205117.96459999998</v>
      </c>
      <c r="D15" s="390">
        <f t="shared" si="1"/>
        <v>68882.125879999992</v>
      </c>
      <c r="E15" s="390">
        <f t="shared" si="1"/>
        <v>66870.865840000013</v>
      </c>
      <c r="F15" s="390">
        <f t="shared" si="1"/>
        <v>289462.49987000006</v>
      </c>
      <c r="G15" s="391">
        <f t="shared" si="1"/>
        <v>58235.020010000007</v>
      </c>
      <c r="H15" s="392">
        <f t="shared" si="1"/>
        <v>688568.47620000003</v>
      </c>
      <c r="I15" s="16"/>
    </row>
    <row r="16" spans="1:10">
      <c r="B16" s="16"/>
      <c r="C16" s="16"/>
      <c r="D16" s="16"/>
      <c r="E16" s="16"/>
      <c r="F16" s="16"/>
      <c r="G16" s="16"/>
      <c r="H16" s="16"/>
      <c r="I16" s="16"/>
    </row>
    <row r="17" spans="2:9">
      <c r="B17" s="140" t="s">
        <v>169</v>
      </c>
      <c r="C17" s="16"/>
      <c r="D17" s="16"/>
      <c r="E17" s="16"/>
      <c r="F17" s="16"/>
      <c r="G17" s="16"/>
      <c r="H17" s="16"/>
      <c r="I17" s="16"/>
    </row>
    <row r="18" spans="2:9">
      <c r="B18" s="16" t="s">
        <v>170</v>
      </c>
      <c r="C18" s="16"/>
      <c r="D18" s="16"/>
      <c r="E18" s="16"/>
      <c r="F18" s="16"/>
      <c r="G18" s="16"/>
      <c r="H18" s="16"/>
      <c r="I18" s="16"/>
    </row>
    <row r="19" spans="2:9">
      <c r="B19" s="16" t="s">
        <v>171</v>
      </c>
      <c r="C19" s="16"/>
      <c r="D19" s="16"/>
      <c r="E19" s="16"/>
      <c r="F19" s="16"/>
      <c r="G19" s="16"/>
      <c r="H19" s="16"/>
      <c r="I19" s="16"/>
    </row>
    <row r="20" spans="2:9">
      <c r="B20" s="141" t="s">
        <v>183</v>
      </c>
      <c r="C20" s="16"/>
      <c r="D20" s="16"/>
      <c r="E20" s="16"/>
      <c r="F20" s="16"/>
      <c r="G20" s="16"/>
      <c r="H20" s="16"/>
      <c r="I20" s="16"/>
    </row>
    <row r="21" spans="2:9">
      <c r="B21" s="141" t="s">
        <v>184</v>
      </c>
      <c r="C21" s="16"/>
      <c r="D21" s="16"/>
      <c r="E21" s="16"/>
      <c r="F21" s="16"/>
      <c r="G21" s="16"/>
      <c r="H21" s="16"/>
      <c r="I21" s="16"/>
    </row>
    <row r="22" spans="2:9">
      <c r="B22" s="141" t="s">
        <v>185</v>
      </c>
      <c r="C22" s="16"/>
      <c r="D22" s="16"/>
      <c r="E22" s="16"/>
      <c r="F22" s="16"/>
      <c r="G22" s="16"/>
      <c r="H22" s="16"/>
      <c r="I22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R86"/>
  <sheetViews>
    <sheetView showGridLines="0" workbookViewId="0"/>
  </sheetViews>
  <sheetFormatPr defaultRowHeight="12.75"/>
  <cols>
    <col min="1" max="1" width="5.42578125" style="16" customWidth="1"/>
    <col min="2" max="2" width="9" style="16" customWidth="1"/>
    <col min="3" max="3" width="21" style="16" customWidth="1"/>
    <col min="4" max="4" width="9.85546875" style="16" customWidth="1"/>
    <col min="5" max="5" width="10.7109375" style="16" bestFit="1" customWidth="1"/>
    <col min="6" max="8" width="9.140625" style="16"/>
    <col min="9" max="9" width="9.85546875" style="16" bestFit="1" customWidth="1"/>
    <col min="10" max="10" width="9.140625" style="16"/>
    <col min="11" max="11" width="10" style="16" customWidth="1"/>
    <col min="12" max="17" width="9.140625" style="16"/>
    <col min="18" max="18" width="9.5703125" style="16" customWidth="1"/>
    <col min="19" max="16384" width="9.140625" style="16"/>
  </cols>
  <sheetData>
    <row r="1" spans="1:18">
      <c r="A1" s="241"/>
    </row>
    <row r="2" spans="1:18" ht="18.75">
      <c r="B2" s="64" t="s">
        <v>241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8" ht="4.5" customHeight="1">
      <c r="B3" s="64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8">
      <c r="B4" s="16" t="s">
        <v>170</v>
      </c>
      <c r="C4" s="425"/>
      <c r="D4" s="425"/>
      <c r="E4" s="425"/>
      <c r="F4" s="425"/>
      <c r="G4" s="425"/>
      <c r="H4" s="425"/>
      <c r="I4" s="425"/>
      <c r="J4" s="425"/>
      <c r="K4" s="425"/>
      <c r="L4" s="187"/>
      <c r="M4" s="187"/>
      <c r="N4" s="187"/>
      <c r="O4" s="187"/>
      <c r="P4" s="187"/>
      <c r="Q4" s="187"/>
    </row>
    <row r="5" spans="1:18">
      <c r="B5" s="16" t="s">
        <v>171</v>
      </c>
      <c r="C5" s="425"/>
      <c r="D5" s="425"/>
      <c r="E5" s="425"/>
      <c r="F5" s="425"/>
      <c r="G5" s="425"/>
      <c r="H5" s="425"/>
      <c r="I5" s="425"/>
      <c r="J5" s="425"/>
      <c r="K5" s="425"/>
      <c r="L5" s="187"/>
      <c r="M5" s="187"/>
      <c r="N5" s="187"/>
      <c r="O5" s="187"/>
      <c r="P5" s="187"/>
      <c r="Q5" s="187"/>
    </row>
    <row r="6" spans="1:18">
      <c r="B6" s="426" t="s">
        <v>172</v>
      </c>
      <c r="C6" s="425"/>
      <c r="D6" s="425"/>
      <c r="E6" s="425"/>
      <c r="F6" s="425"/>
      <c r="G6" s="425"/>
      <c r="H6" s="425"/>
      <c r="I6" s="425"/>
      <c r="J6" s="425"/>
      <c r="K6" s="425"/>
      <c r="L6" s="187"/>
      <c r="M6" s="187"/>
      <c r="N6" s="187"/>
      <c r="O6" s="187"/>
      <c r="P6" s="187"/>
      <c r="Q6" s="187"/>
    </row>
    <row r="7" spans="1:18">
      <c r="B7" s="427" t="s">
        <v>190</v>
      </c>
      <c r="C7" s="425"/>
      <c r="D7" s="425"/>
      <c r="E7" s="425"/>
      <c r="F7" s="425"/>
      <c r="G7" s="425"/>
      <c r="H7" s="425"/>
      <c r="I7" s="425"/>
      <c r="J7" s="425"/>
      <c r="K7" s="425"/>
      <c r="L7" s="187"/>
      <c r="M7" s="187"/>
      <c r="N7" s="187"/>
      <c r="O7" s="187"/>
      <c r="P7" s="187"/>
      <c r="Q7" s="187"/>
    </row>
    <row r="8" spans="1:18">
      <c r="B8" s="426" t="s">
        <v>191</v>
      </c>
      <c r="C8" s="425"/>
      <c r="D8" s="425"/>
      <c r="E8" s="425"/>
      <c r="F8" s="425"/>
      <c r="G8" s="425"/>
      <c r="H8" s="425"/>
      <c r="I8" s="425"/>
      <c r="J8" s="425"/>
      <c r="K8" s="425"/>
      <c r="L8" s="187"/>
      <c r="M8" s="187"/>
      <c r="N8" s="187"/>
      <c r="O8" s="187"/>
      <c r="P8" s="187"/>
      <c r="Q8" s="187"/>
    </row>
    <row r="9" spans="1:18">
      <c r="B9" s="141" t="s">
        <v>184</v>
      </c>
      <c r="C9" s="425"/>
      <c r="D9" s="425"/>
      <c r="E9" s="425"/>
      <c r="F9" s="425"/>
      <c r="G9" s="425"/>
      <c r="H9" s="425"/>
      <c r="I9" s="425"/>
      <c r="J9" s="425"/>
      <c r="K9" s="425"/>
      <c r="L9" s="187"/>
      <c r="M9" s="187"/>
      <c r="N9" s="187"/>
      <c r="O9" s="187"/>
      <c r="P9" s="187"/>
      <c r="Q9" s="187"/>
    </row>
    <row r="10" spans="1:18">
      <c r="B10" s="141" t="s">
        <v>185</v>
      </c>
      <c r="C10" s="425"/>
      <c r="D10" s="425"/>
      <c r="E10" s="425"/>
      <c r="F10" s="425"/>
      <c r="G10" s="425"/>
      <c r="H10" s="425"/>
      <c r="I10" s="425"/>
      <c r="J10" s="425"/>
      <c r="K10" s="425"/>
      <c r="L10" s="187"/>
      <c r="M10" s="187"/>
      <c r="N10" s="187"/>
      <c r="O10" s="187"/>
      <c r="P10" s="187"/>
      <c r="Q10" s="187"/>
    </row>
    <row r="11" spans="1:18" ht="9.75" customHeight="1">
      <c r="B11" s="64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</row>
    <row r="12" spans="1:18" ht="18.75">
      <c r="B12" s="64" t="s">
        <v>240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8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8" ht="36" customHeight="1">
      <c r="B14" s="220" t="s">
        <v>186</v>
      </c>
      <c r="C14" s="221" t="s">
        <v>127</v>
      </c>
      <c r="D14" s="220" t="s">
        <v>187</v>
      </c>
      <c r="E14" s="221">
        <v>2000</v>
      </c>
      <c r="F14" s="221">
        <v>2001</v>
      </c>
      <c r="G14" s="221">
        <v>2002</v>
      </c>
      <c r="H14" s="221">
        <v>2003</v>
      </c>
      <c r="I14" s="221">
        <v>2004</v>
      </c>
      <c r="J14" s="221">
        <v>2006</v>
      </c>
      <c r="K14" s="221">
        <v>2007</v>
      </c>
      <c r="L14" s="221">
        <v>2008</v>
      </c>
      <c r="M14" s="221">
        <v>2009</v>
      </c>
      <c r="N14" s="221">
        <v>2010</v>
      </c>
      <c r="O14" s="222">
        <v>2011</v>
      </c>
      <c r="P14" s="222">
        <v>2012</v>
      </c>
      <c r="Q14" s="222">
        <v>2013</v>
      </c>
      <c r="R14" s="223">
        <v>2014</v>
      </c>
    </row>
    <row r="15" spans="1:18">
      <c r="B15" s="188" t="s">
        <v>128</v>
      </c>
      <c r="C15" s="189" t="s">
        <v>129</v>
      </c>
      <c r="D15" s="190">
        <v>1.2625</v>
      </c>
      <c r="E15" s="190">
        <v>5.7399997711181641</v>
      </c>
      <c r="F15" s="190">
        <v>12.960000038146973</v>
      </c>
      <c r="G15" s="190">
        <v>71.335499197244644</v>
      </c>
      <c r="H15" s="190">
        <v>1177.9465000000002</v>
      </c>
      <c r="I15" s="190">
        <v>771.48001372814178</v>
      </c>
      <c r="J15" s="191">
        <v>13.44</v>
      </c>
      <c r="K15" s="192">
        <v>123.74618000000001</v>
      </c>
      <c r="L15" s="193">
        <v>14.520039999999998</v>
      </c>
      <c r="M15" s="194">
        <v>117.68899999999999</v>
      </c>
      <c r="N15" s="194">
        <v>28.48</v>
      </c>
      <c r="O15" s="195">
        <v>31.43</v>
      </c>
      <c r="P15" s="418">
        <v>397.07</v>
      </c>
      <c r="Q15" s="419">
        <v>27.132000000000001</v>
      </c>
      <c r="R15" s="291">
        <v>167.68459999999999</v>
      </c>
    </row>
    <row r="16" spans="1:18" ht="24">
      <c r="B16" s="196" t="s">
        <v>130</v>
      </c>
      <c r="C16" s="197" t="s">
        <v>131</v>
      </c>
      <c r="D16" s="190">
        <v>704.59474</v>
      </c>
      <c r="E16" s="190">
        <v>279.55364795587957</v>
      </c>
      <c r="F16" s="190">
        <v>539.5732190804556</v>
      </c>
      <c r="G16" s="190">
        <v>180.67109253152739</v>
      </c>
      <c r="H16" s="190">
        <v>489.24173999999999</v>
      </c>
      <c r="I16" s="190">
        <v>479.50361367338337</v>
      </c>
      <c r="J16" s="190">
        <v>39.677999999999997</v>
      </c>
      <c r="K16" s="192">
        <v>49.370999999999995</v>
      </c>
      <c r="L16" s="198">
        <v>79.772449999999992</v>
      </c>
      <c r="M16" s="195">
        <v>149.72925000000001</v>
      </c>
      <c r="N16" s="195">
        <v>93.42777000000001</v>
      </c>
      <c r="O16" s="195">
        <v>176.37442999999999</v>
      </c>
      <c r="P16" s="418">
        <v>99.588920000000016</v>
      </c>
      <c r="Q16" s="419">
        <v>100.52800000000001</v>
      </c>
      <c r="R16" s="292">
        <v>133.38549999999998</v>
      </c>
    </row>
    <row r="17" spans="2:18" ht="24">
      <c r="B17" s="196" t="s">
        <v>132</v>
      </c>
      <c r="C17" s="197" t="s">
        <v>133</v>
      </c>
      <c r="D17" s="190">
        <v>56.507209999999986</v>
      </c>
      <c r="E17" s="190">
        <v>155.22808021306992</v>
      </c>
      <c r="F17" s="190">
        <v>405.07089986279607</v>
      </c>
      <c r="G17" s="190">
        <v>265.83864853903651</v>
      </c>
      <c r="H17" s="190">
        <v>173.79</v>
      </c>
      <c r="I17" s="190">
        <v>316.12290562689304</v>
      </c>
      <c r="J17" s="190">
        <v>484.44200000000012</v>
      </c>
      <c r="K17" s="192">
        <v>217.26</v>
      </c>
      <c r="L17" s="198">
        <v>143.54599999999999</v>
      </c>
      <c r="M17" s="195">
        <v>245.79</v>
      </c>
      <c r="N17" s="195">
        <v>28.378900000000002</v>
      </c>
      <c r="O17" s="195">
        <v>75.127930000000006</v>
      </c>
      <c r="P17" s="418">
        <v>5.0599999999999996</v>
      </c>
      <c r="Q17" s="419">
        <v>47.06</v>
      </c>
      <c r="R17" s="292">
        <v>62.78</v>
      </c>
    </row>
    <row r="18" spans="2:18" ht="24">
      <c r="B18" s="196" t="s">
        <v>134</v>
      </c>
      <c r="C18" s="197" t="s">
        <v>135</v>
      </c>
      <c r="D18" s="190">
        <v>272.60584999999998</v>
      </c>
      <c r="E18" s="190">
        <v>137.77542024850845</v>
      </c>
      <c r="F18" s="190">
        <v>164.41801830939949</v>
      </c>
      <c r="G18" s="190">
        <v>74.984200716018677</v>
      </c>
      <c r="H18" s="190">
        <v>155.81909999999999</v>
      </c>
      <c r="I18" s="190">
        <v>272.6131030805409</v>
      </c>
      <c r="J18" s="190">
        <v>86.1</v>
      </c>
      <c r="K18" s="192">
        <v>165.721</v>
      </c>
      <c r="L18" s="198">
        <v>160.184</v>
      </c>
      <c r="M18" s="195">
        <v>147.39600000000002</v>
      </c>
      <c r="N18" s="195">
        <v>204.60510000000002</v>
      </c>
      <c r="O18" s="195">
        <v>174.643</v>
      </c>
      <c r="P18" s="418">
        <v>150.82599999999999</v>
      </c>
      <c r="Q18" s="419">
        <v>176.01600000000002</v>
      </c>
      <c r="R18" s="292">
        <v>156.73075</v>
      </c>
    </row>
    <row r="19" spans="2:18" ht="24">
      <c r="B19" s="196" t="s">
        <v>136</v>
      </c>
      <c r="C19" s="197" t="s">
        <v>137</v>
      </c>
      <c r="D19" s="190">
        <v>2789.3441800000001</v>
      </c>
      <c r="E19" s="190">
        <v>2579.7999113947153</v>
      </c>
      <c r="F19" s="190">
        <v>1736.010593380779</v>
      </c>
      <c r="G19" s="190">
        <v>6703.1568374782801</v>
      </c>
      <c r="H19" s="190">
        <v>4704.3617600000007</v>
      </c>
      <c r="I19" s="190">
        <v>625.38949176110327</v>
      </c>
      <c r="J19" s="190">
        <v>458.262</v>
      </c>
      <c r="K19" s="192">
        <v>177.57664999999997</v>
      </c>
      <c r="L19" s="198">
        <v>66.637749999999997</v>
      </c>
      <c r="M19" s="195">
        <v>203.65024999999997</v>
      </c>
      <c r="N19" s="195">
        <v>68.956999999999994</v>
      </c>
      <c r="O19" s="195">
        <v>99.301050000000004</v>
      </c>
      <c r="P19" s="418">
        <v>255.24700999999999</v>
      </c>
      <c r="Q19" s="419">
        <v>593.53200000000004</v>
      </c>
      <c r="R19" s="292">
        <v>136.40539999999999</v>
      </c>
    </row>
    <row r="20" spans="2:18" ht="24">
      <c r="B20" s="196" t="s">
        <v>138</v>
      </c>
      <c r="C20" s="197" t="s">
        <v>139</v>
      </c>
      <c r="D20" s="190">
        <v>13480.785990000004</v>
      </c>
      <c r="E20" s="190">
        <v>11884.130829242273</v>
      </c>
      <c r="F20" s="190">
        <v>9569.2028609870504</v>
      </c>
      <c r="G20" s="190">
        <v>7862.4238130859303</v>
      </c>
      <c r="H20" s="190">
        <v>7198.2096199999987</v>
      </c>
      <c r="I20" s="190">
        <v>5349.0993086802409</v>
      </c>
      <c r="J20" s="190">
        <v>7782.9676600000021</v>
      </c>
      <c r="K20" s="192">
        <v>4128.2786500000002</v>
      </c>
      <c r="L20" s="198">
        <v>5836.8809600000004</v>
      </c>
      <c r="M20" s="195">
        <v>4652.1039599999995</v>
      </c>
      <c r="N20" s="195">
        <v>4953.2924900000007</v>
      </c>
      <c r="O20" s="195">
        <v>6105.7771399999992</v>
      </c>
      <c r="P20" s="418">
        <v>5232.2414400000007</v>
      </c>
      <c r="Q20" s="419">
        <v>4214.4405400000005</v>
      </c>
      <c r="R20" s="292">
        <v>3281.5873799999999</v>
      </c>
    </row>
    <row r="21" spans="2:18" ht="24">
      <c r="B21" s="196" t="s">
        <v>140</v>
      </c>
      <c r="C21" s="197" t="s">
        <v>141</v>
      </c>
      <c r="D21" s="190">
        <v>21889.561730000001</v>
      </c>
      <c r="E21" s="190">
        <v>20995.377511831757</v>
      </c>
      <c r="F21" s="190">
        <v>21007.451239211237</v>
      </c>
      <c r="G21" s="190">
        <v>17858.497425227484</v>
      </c>
      <c r="H21" s="190">
        <v>16200.199339999994</v>
      </c>
      <c r="I21" s="190">
        <v>14301.855516429274</v>
      </c>
      <c r="J21" s="190">
        <v>8729.8212499999972</v>
      </c>
      <c r="K21" s="192">
        <v>8495.5149600000004</v>
      </c>
      <c r="L21" s="198">
        <v>8044.6916999999985</v>
      </c>
      <c r="M21" s="195">
        <v>5904.9859499999993</v>
      </c>
      <c r="N21" s="195">
        <v>11352.1759</v>
      </c>
      <c r="O21" s="195">
        <v>12729.816299999999</v>
      </c>
      <c r="P21" s="418">
        <v>10583.470490000002</v>
      </c>
      <c r="Q21" s="419">
        <v>5073.5568800000001</v>
      </c>
      <c r="R21" s="292">
        <v>4808.7629700000007</v>
      </c>
    </row>
    <row r="22" spans="2:18" ht="24">
      <c r="B22" s="196" t="s">
        <v>142</v>
      </c>
      <c r="C22" s="197" t="s">
        <v>143</v>
      </c>
      <c r="D22" s="190">
        <v>9149.5057799999868</v>
      </c>
      <c r="E22" s="190">
        <v>13024.230215519528</v>
      </c>
      <c r="F22" s="190">
        <v>13087.069926740718</v>
      </c>
      <c r="G22" s="190">
        <v>10806.510270590894</v>
      </c>
      <c r="H22" s="190">
        <v>10897.818959999999</v>
      </c>
      <c r="I22" s="190">
        <v>11516.760074354301</v>
      </c>
      <c r="J22" s="190">
        <v>32116.35937000002</v>
      </c>
      <c r="K22" s="192">
        <v>12465.891850000002</v>
      </c>
      <c r="L22" s="198">
        <v>11680.071250000003</v>
      </c>
      <c r="M22" s="195">
        <v>9393.1914300000062</v>
      </c>
      <c r="N22" s="195">
        <v>8835.932950000004</v>
      </c>
      <c r="O22" s="195">
        <v>8804.2131200000022</v>
      </c>
      <c r="P22" s="418">
        <v>8033.6939900000007</v>
      </c>
      <c r="Q22" s="419">
        <v>8022.3959099999993</v>
      </c>
      <c r="R22" s="292">
        <v>7588.7234800000006</v>
      </c>
    </row>
    <row r="23" spans="2:18">
      <c r="B23" s="196" t="s">
        <v>144</v>
      </c>
      <c r="C23" s="197" t="s">
        <v>145</v>
      </c>
      <c r="D23" s="190">
        <v>546.28294000000005</v>
      </c>
      <c r="E23" s="190">
        <v>1018.2664007076528</v>
      </c>
      <c r="F23" s="190">
        <v>431.26524690911174</v>
      </c>
      <c r="G23" s="190">
        <v>949.2883795326743</v>
      </c>
      <c r="H23" s="190">
        <v>955.66539999999975</v>
      </c>
      <c r="I23" s="190">
        <v>951.66201982647181</v>
      </c>
      <c r="J23" s="190">
        <v>1309.8572900000004</v>
      </c>
      <c r="K23" s="192">
        <v>1044.5584900000001</v>
      </c>
      <c r="L23" s="198">
        <v>973.14756999999986</v>
      </c>
      <c r="M23" s="195">
        <v>876.99958000000015</v>
      </c>
      <c r="N23" s="195">
        <v>722.28475000000003</v>
      </c>
      <c r="O23" s="195">
        <v>672.88324999999998</v>
      </c>
      <c r="P23" s="418">
        <v>550.43540000000007</v>
      </c>
      <c r="Q23" s="419">
        <v>451.10449999999997</v>
      </c>
      <c r="R23" s="292">
        <v>482.18899999999996</v>
      </c>
    </row>
    <row r="24" spans="2:18" ht="24">
      <c r="B24" s="196" t="s">
        <v>146</v>
      </c>
      <c r="C24" s="197" t="s">
        <v>147</v>
      </c>
      <c r="D24" s="190">
        <v>20465.290530000006</v>
      </c>
      <c r="E24" s="190">
        <v>19771.847118034959</v>
      </c>
      <c r="F24" s="190">
        <v>52157.545380041003</v>
      </c>
      <c r="G24" s="190">
        <v>23193.425180680119</v>
      </c>
      <c r="H24" s="190">
        <v>25044.246789999994</v>
      </c>
      <c r="I24" s="190">
        <v>23389.007776221726</v>
      </c>
      <c r="J24" s="190">
        <v>22282.781139999996</v>
      </c>
      <c r="K24" s="192">
        <v>22158.584899999998</v>
      </c>
      <c r="L24" s="198">
        <v>18247.523999999998</v>
      </c>
      <c r="M24" s="195">
        <v>9206.4069999999992</v>
      </c>
      <c r="N24" s="195">
        <v>9292.073089999998</v>
      </c>
      <c r="O24" s="195">
        <v>6787.3980000000001</v>
      </c>
      <c r="P24" s="418">
        <v>9448.3235499999992</v>
      </c>
      <c r="Q24" s="419">
        <v>9009.5773599999993</v>
      </c>
      <c r="R24" s="292">
        <v>5924.5068700000011</v>
      </c>
    </row>
    <row r="25" spans="2:18" ht="24">
      <c r="B25" s="196" t="s">
        <v>148</v>
      </c>
      <c r="C25" s="197" t="s">
        <v>149</v>
      </c>
      <c r="D25" s="190">
        <v>10476.862119999996</v>
      </c>
      <c r="E25" s="190">
        <v>11008.95696439594</v>
      </c>
      <c r="F25" s="190">
        <v>11888.807719571516</v>
      </c>
      <c r="G25" s="190">
        <v>13175.001424080692</v>
      </c>
      <c r="H25" s="190">
        <v>11113.188379999996</v>
      </c>
      <c r="I25" s="190">
        <v>10266.444600705057</v>
      </c>
      <c r="J25" s="190">
        <v>9850.39516</v>
      </c>
      <c r="K25" s="192">
        <v>10445.192139999999</v>
      </c>
      <c r="L25" s="198">
        <v>12468.792400000002</v>
      </c>
      <c r="M25" s="195">
        <v>10108.591189999999</v>
      </c>
      <c r="N25" s="195">
        <v>9895.2230999999992</v>
      </c>
      <c r="O25" s="195">
        <v>11744.065400000001</v>
      </c>
      <c r="P25" s="418">
        <v>9283.3989999999994</v>
      </c>
      <c r="Q25" s="419">
        <v>9092.1432000000004</v>
      </c>
      <c r="R25" s="292">
        <v>9281.0532899999998</v>
      </c>
    </row>
    <row r="26" spans="2:18" ht="24">
      <c r="B26" s="196" t="s">
        <v>150</v>
      </c>
      <c r="C26" s="197" t="s">
        <v>151</v>
      </c>
      <c r="D26" s="190">
        <v>12048.83648</v>
      </c>
      <c r="E26" s="190">
        <v>14039.602683596313</v>
      </c>
      <c r="F26" s="190">
        <v>14908.646892568097</v>
      </c>
      <c r="G26" s="190">
        <v>13829.832082509995</v>
      </c>
      <c r="H26" s="190">
        <v>12036.994759999992</v>
      </c>
      <c r="I26" s="190">
        <v>13922.571457386017</v>
      </c>
      <c r="J26" s="190">
        <v>8965.0644000000011</v>
      </c>
      <c r="K26" s="192">
        <v>10615.1175</v>
      </c>
      <c r="L26" s="198">
        <v>14803.887900000003</v>
      </c>
      <c r="M26" s="195">
        <v>10833.778749999999</v>
      </c>
      <c r="N26" s="195">
        <v>11348.393400000003</v>
      </c>
      <c r="O26" s="195">
        <v>13044.264830000002</v>
      </c>
      <c r="P26" s="418">
        <v>14132.05026</v>
      </c>
      <c r="Q26" s="419">
        <v>12931.262000000001</v>
      </c>
      <c r="R26" s="292">
        <v>13963.416850000003</v>
      </c>
    </row>
    <row r="27" spans="2:18" ht="24">
      <c r="B27" s="196" t="s">
        <v>152</v>
      </c>
      <c r="C27" s="197" t="s">
        <v>153</v>
      </c>
      <c r="D27" s="190">
        <v>60667.675140000101</v>
      </c>
      <c r="E27" s="190">
        <v>34852.929523123312</v>
      </c>
      <c r="F27" s="190">
        <v>46684.926811684389</v>
      </c>
      <c r="G27" s="190">
        <v>35207.037760229548</v>
      </c>
      <c r="H27" s="190">
        <v>32752.318259999967</v>
      </c>
      <c r="I27" s="190">
        <v>29255.995788714848</v>
      </c>
      <c r="J27" s="190">
        <v>71491.05654000002</v>
      </c>
      <c r="K27" s="192">
        <v>66966.429370000013</v>
      </c>
      <c r="L27" s="198">
        <v>73162.298610000042</v>
      </c>
      <c r="M27" s="195">
        <v>40447.413359999991</v>
      </c>
      <c r="N27" s="195">
        <v>48119.665460000018</v>
      </c>
      <c r="O27" s="195">
        <v>51930.200030000022</v>
      </c>
      <c r="P27" s="418">
        <v>71382.912899999996</v>
      </c>
      <c r="Q27" s="419">
        <v>55796.010150000016</v>
      </c>
      <c r="R27" s="292">
        <v>75949.141350000005</v>
      </c>
    </row>
    <row r="28" spans="2:18">
      <c r="B28" s="196" t="s">
        <v>154</v>
      </c>
      <c r="C28" s="197" t="s">
        <v>155</v>
      </c>
      <c r="D28" s="190">
        <v>29360.086249999968</v>
      </c>
      <c r="E28" s="190">
        <v>3165.8188528947067</v>
      </c>
      <c r="F28" s="190">
        <v>3187.793662768323</v>
      </c>
      <c r="G28" s="190">
        <v>2615.0791563715466</v>
      </c>
      <c r="H28" s="190">
        <v>2090.95804</v>
      </c>
      <c r="I28" s="190">
        <v>4887.2055526273325</v>
      </c>
      <c r="J28" s="190">
        <v>2886.0329299999994</v>
      </c>
      <c r="K28" s="192">
        <v>3031.1247300000009</v>
      </c>
      <c r="L28" s="198">
        <v>2467.0722500000002</v>
      </c>
      <c r="M28" s="195">
        <v>1961.6525100000003</v>
      </c>
      <c r="N28" s="195">
        <v>1857.2798499999994</v>
      </c>
      <c r="O28" s="195">
        <v>2148.2385799999997</v>
      </c>
      <c r="P28" s="418">
        <v>2504.7098999999998</v>
      </c>
      <c r="Q28" s="419">
        <v>3454.9925000000003</v>
      </c>
      <c r="R28" s="292">
        <v>3874.5844500000003</v>
      </c>
    </row>
    <row r="29" spans="2:18" ht="24">
      <c r="B29" s="196" t="s">
        <v>156</v>
      </c>
      <c r="C29" s="197" t="s">
        <v>157</v>
      </c>
      <c r="D29" s="190">
        <v>2322.9997400000002</v>
      </c>
      <c r="E29" s="190">
        <v>3002.3549329137604</v>
      </c>
      <c r="F29" s="190">
        <v>2814.590238568373</v>
      </c>
      <c r="G29" s="190">
        <v>1838.3557400726531</v>
      </c>
      <c r="H29" s="190">
        <v>2843.7420000000011</v>
      </c>
      <c r="I29" s="190">
        <v>6422.4197499812581</v>
      </c>
      <c r="J29" s="190">
        <v>5537.2507599999999</v>
      </c>
      <c r="K29" s="192">
        <v>5672.2277999999988</v>
      </c>
      <c r="L29" s="198">
        <v>5484.2704999999969</v>
      </c>
      <c r="M29" s="195">
        <v>5468.801660000001</v>
      </c>
      <c r="N29" s="195">
        <v>5620.6125300000003</v>
      </c>
      <c r="O29" s="195">
        <v>6310.043200000001</v>
      </c>
      <c r="P29" s="418">
        <v>6426.4793800000007</v>
      </c>
      <c r="Q29" s="419">
        <v>6671.1748299999999</v>
      </c>
      <c r="R29" s="292">
        <v>9849.8842899999981</v>
      </c>
    </row>
    <row r="30" spans="2:18">
      <c r="B30" s="196" t="s">
        <v>158</v>
      </c>
      <c r="C30" s="197" t="s">
        <v>159</v>
      </c>
      <c r="D30" s="190">
        <v>18633.069719999996</v>
      </c>
      <c r="E30" s="190">
        <v>11755.458872641306</v>
      </c>
      <c r="F30" s="190">
        <v>12210.735833739051</v>
      </c>
      <c r="G30" s="190">
        <v>10829.194670209537</v>
      </c>
      <c r="H30" s="190">
        <v>10441.333389999993</v>
      </c>
      <c r="I30" s="190">
        <v>12486.12131530005</v>
      </c>
      <c r="J30" s="190">
        <v>31082.425959999997</v>
      </c>
      <c r="K30" s="192">
        <v>41871.356179999988</v>
      </c>
      <c r="L30" s="198">
        <v>46587.366050000011</v>
      </c>
      <c r="M30" s="195">
        <v>37837.436610000019</v>
      </c>
      <c r="N30" s="195">
        <v>42851.86179000001</v>
      </c>
      <c r="O30" s="195">
        <v>43198.396930000046</v>
      </c>
      <c r="P30" s="418">
        <v>50536.241310000012</v>
      </c>
      <c r="Q30" s="419">
        <v>53103.00326000002</v>
      </c>
      <c r="R30" s="292">
        <v>47960.656640000001</v>
      </c>
    </row>
    <row r="31" spans="2:18">
      <c r="B31" s="196" t="s">
        <v>160</v>
      </c>
      <c r="C31" s="197" t="s">
        <v>161</v>
      </c>
      <c r="D31" s="190">
        <v>34526.87816</v>
      </c>
      <c r="E31" s="190">
        <v>73332.0081325598</v>
      </c>
      <c r="F31" s="190">
        <v>97469.5193346655</v>
      </c>
      <c r="G31" s="190">
        <v>48803.324499362483</v>
      </c>
      <c r="H31" s="190">
        <v>71369.01462000006</v>
      </c>
      <c r="I31" s="190">
        <v>102153.72615818397</v>
      </c>
      <c r="J31" s="190">
        <v>38885.465030000028</v>
      </c>
      <c r="K31" s="192">
        <v>54934.237229999999</v>
      </c>
      <c r="L31" s="198">
        <v>42608.012310000013</v>
      </c>
      <c r="M31" s="195">
        <v>34506.138050000009</v>
      </c>
      <c r="N31" s="195">
        <v>43276.604880000021</v>
      </c>
      <c r="O31" s="195">
        <v>45933.585640000019</v>
      </c>
      <c r="P31" s="418">
        <v>68527.156170000002</v>
      </c>
      <c r="Q31" s="419">
        <v>55232.691690000021</v>
      </c>
      <c r="R31" s="292">
        <v>89730.727279999992</v>
      </c>
    </row>
    <row r="32" spans="2:18">
      <c r="B32" s="196" t="s">
        <v>162</v>
      </c>
      <c r="C32" s="197" t="s">
        <v>163</v>
      </c>
      <c r="D32" s="190">
        <v>1673.998250000001</v>
      </c>
      <c r="E32" s="190">
        <v>1649.1370317546534</v>
      </c>
      <c r="F32" s="190">
        <v>1739.7606976361712</v>
      </c>
      <c r="G32" s="190">
        <v>1278.4358901838459</v>
      </c>
      <c r="H32" s="190">
        <v>849.47780999999964</v>
      </c>
      <c r="I32" s="190">
        <v>1065.8482809947454</v>
      </c>
      <c r="J32" s="190">
        <v>9154.5260999999991</v>
      </c>
      <c r="K32" s="192">
        <v>10806.141030000001</v>
      </c>
      <c r="L32" s="198">
        <v>12038.747890000001</v>
      </c>
      <c r="M32" s="195">
        <v>12503.169110000003</v>
      </c>
      <c r="N32" s="195">
        <v>11658.938860000006</v>
      </c>
      <c r="O32" s="195">
        <v>12761.225789999999</v>
      </c>
      <c r="P32" s="418">
        <v>12378.112409999991</v>
      </c>
      <c r="Q32" s="419">
        <v>13511.060260000002</v>
      </c>
      <c r="R32" s="292">
        <v>12488.090290000011</v>
      </c>
    </row>
    <row r="33" spans="2:18" ht="24">
      <c r="B33" s="196" t="s">
        <v>164</v>
      </c>
      <c r="C33" s="197" t="s">
        <v>165</v>
      </c>
      <c r="D33" s="190">
        <v>25007.294010000001</v>
      </c>
      <c r="E33" s="190">
        <v>32013.251748551847</v>
      </c>
      <c r="F33" s="190">
        <v>43106.000014103949</v>
      </c>
      <c r="G33" s="190">
        <v>47174.28735916689</v>
      </c>
      <c r="H33" s="190">
        <v>47346.100039999998</v>
      </c>
      <c r="I33" s="190">
        <v>50829.111204978079</v>
      </c>
      <c r="J33" s="190">
        <v>83361.302789999987</v>
      </c>
      <c r="K33" s="192">
        <v>87050.394569999975</v>
      </c>
      <c r="L33" s="198">
        <v>72012.779320000031</v>
      </c>
      <c r="M33" s="195">
        <v>23325.920019999994</v>
      </c>
      <c r="N33" s="195">
        <v>48861.168000000005</v>
      </c>
      <c r="O33" s="195">
        <v>59806.502480000003</v>
      </c>
      <c r="P33" s="418">
        <v>86384.469789999988</v>
      </c>
      <c r="Q33" s="419">
        <v>184225.37474</v>
      </c>
      <c r="R33" s="292">
        <v>151889.86248000001</v>
      </c>
    </row>
    <row r="34" spans="2:18" ht="24">
      <c r="B34" s="196" t="s">
        <v>166</v>
      </c>
      <c r="C34" s="197" t="s">
        <v>167</v>
      </c>
      <c r="D34" s="190">
        <v>2856.8374600000002</v>
      </c>
      <c r="E34" s="190">
        <v>2493.1401511281729</v>
      </c>
      <c r="F34" s="190">
        <v>4440.7602182512637</v>
      </c>
      <c r="G34" s="190">
        <v>6197.2114301263682</v>
      </c>
      <c r="H34" s="190">
        <v>3752.6630800000003</v>
      </c>
      <c r="I34" s="190">
        <v>1360.8810630135486</v>
      </c>
      <c r="J34" s="190">
        <v>18498.472430000002</v>
      </c>
      <c r="K34" s="192">
        <v>22290.784250000004</v>
      </c>
      <c r="L34" s="198">
        <v>26094.703430000005</v>
      </c>
      <c r="M34" s="195">
        <v>18389.458910000008</v>
      </c>
      <c r="N34" s="195">
        <v>18809.293560000002</v>
      </c>
      <c r="O34" s="195">
        <v>24148.763540000011</v>
      </c>
      <c r="P34" s="418">
        <v>14936.83642</v>
      </c>
      <c r="Q34" s="419">
        <v>11430.842120000001</v>
      </c>
      <c r="R34" s="292">
        <v>29857.2552</v>
      </c>
    </row>
    <row r="35" spans="2:18">
      <c r="B35" s="199" t="s">
        <v>188</v>
      </c>
      <c r="C35" s="200" t="s">
        <v>189</v>
      </c>
      <c r="D35" s="201">
        <v>3546.7784500000012</v>
      </c>
      <c r="E35" s="201">
        <v>2849.3553596884012</v>
      </c>
      <c r="F35" s="201">
        <v>3333.3756147567183</v>
      </c>
      <c r="G35" s="201">
        <v>4403.5546282321848</v>
      </c>
      <c r="H35" s="201">
        <v>6356.7330800000018</v>
      </c>
      <c r="I35" s="201">
        <v>1873.0423654448241</v>
      </c>
      <c r="J35" s="202">
        <v>0</v>
      </c>
      <c r="K35" s="192">
        <v>0</v>
      </c>
      <c r="L35" s="202">
        <v>0</v>
      </c>
      <c r="M35" s="203"/>
      <c r="N35" s="204"/>
      <c r="O35" s="205"/>
      <c r="P35" s="204"/>
      <c r="Q35" s="54"/>
      <c r="R35" s="228"/>
    </row>
    <row r="36" spans="2:18" ht="20.100000000000001" customHeight="1">
      <c r="B36" s="206"/>
      <c r="C36" s="379" t="s">
        <v>168</v>
      </c>
      <c r="D36" s="377">
        <f t="shared" ref="D36:I36" si="0">SUM(D15:D35)</f>
        <v>270477.05723000003</v>
      </c>
      <c r="E36" s="377">
        <f t="shared" si="0"/>
        <v>260013.9633881677</v>
      </c>
      <c r="F36" s="377">
        <f t="shared" si="0"/>
        <v>340895.48442287405</v>
      </c>
      <c r="G36" s="377">
        <f t="shared" si="0"/>
        <v>253317.44598812493</v>
      </c>
      <c r="H36" s="377">
        <f t="shared" si="0"/>
        <v>267949.82266999997</v>
      </c>
      <c r="I36" s="377">
        <f t="shared" si="0"/>
        <v>292496.86136071186</v>
      </c>
      <c r="J36" s="378">
        <f t="shared" ref="J36:R36" si="1">SUM(J15:J35)</f>
        <v>353015.70081000001</v>
      </c>
      <c r="K36" s="378">
        <f t="shared" si="1"/>
        <v>362709.50848000002</v>
      </c>
      <c r="L36" s="378">
        <f t="shared" si="1"/>
        <v>352974.90638000006</v>
      </c>
      <c r="M36" s="378">
        <f t="shared" si="1"/>
        <v>226280.30259000004</v>
      </c>
      <c r="N36" s="378">
        <f t="shared" si="1"/>
        <v>277878.64938000008</v>
      </c>
      <c r="O36" s="378">
        <f t="shared" si="1"/>
        <v>306682.2506400001</v>
      </c>
      <c r="P36" s="378">
        <f t="shared" si="1"/>
        <v>371248.32433999999</v>
      </c>
      <c r="Q36" s="378">
        <f t="shared" ref="Q36" si="2">SUM(Q15:Q35)</f>
        <v>433163.89794000005</v>
      </c>
      <c r="R36" s="420">
        <f t="shared" si="1"/>
        <v>467587.42807000002</v>
      </c>
    </row>
    <row r="37" spans="2:18">
      <c r="B37" s="20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2:18">
      <c r="B38" s="208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2:18" ht="18.75">
      <c r="B39" s="64" t="s">
        <v>242</v>
      </c>
      <c r="C39" s="209"/>
      <c r="D39" s="209"/>
      <c r="E39" s="209"/>
      <c r="F39" s="209"/>
      <c r="G39" s="209"/>
      <c r="H39" s="209"/>
      <c r="I39" s="209"/>
      <c r="J39" s="209"/>
      <c r="K39" s="209"/>
      <c r="L39" s="187"/>
      <c r="M39" s="187"/>
      <c r="N39" s="187"/>
      <c r="O39" s="187"/>
      <c r="P39" s="187"/>
      <c r="Q39" s="187"/>
    </row>
    <row r="40" spans="2:18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187"/>
      <c r="M40" s="187"/>
      <c r="N40" s="187"/>
      <c r="O40" s="187"/>
      <c r="P40" s="187"/>
      <c r="Q40" s="187"/>
    </row>
    <row r="41" spans="2:18" ht="36" customHeight="1">
      <c r="B41" s="224" t="s">
        <v>186</v>
      </c>
      <c r="C41" s="225" t="s">
        <v>192</v>
      </c>
      <c r="D41" s="224" t="s">
        <v>187</v>
      </c>
      <c r="E41" s="226">
        <v>2000</v>
      </c>
      <c r="F41" s="226">
        <v>2001</v>
      </c>
      <c r="G41" s="226">
        <v>2002</v>
      </c>
      <c r="H41" s="226">
        <v>2003</v>
      </c>
      <c r="I41" s="226">
        <v>2004</v>
      </c>
      <c r="J41" s="226">
        <v>2006</v>
      </c>
      <c r="K41" s="226">
        <v>2007</v>
      </c>
      <c r="L41" s="227">
        <v>2008</v>
      </c>
      <c r="M41" s="221">
        <v>2009</v>
      </c>
      <c r="N41" s="221">
        <v>2010</v>
      </c>
      <c r="O41" s="222">
        <v>2011</v>
      </c>
      <c r="P41" s="222">
        <v>2012</v>
      </c>
      <c r="Q41" s="222">
        <v>2013</v>
      </c>
      <c r="R41" s="223">
        <v>2014</v>
      </c>
    </row>
    <row r="42" spans="2:18">
      <c r="B42" s="210" t="s">
        <v>128</v>
      </c>
      <c r="C42" s="211" t="s">
        <v>129</v>
      </c>
      <c r="D42" s="190">
        <v>1.2625</v>
      </c>
      <c r="E42" s="190">
        <v>5.7399997711181641</v>
      </c>
      <c r="F42" s="190">
        <v>12.960000038146973</v>
      </c>
      <c r="G42" s="190">
        <v>71.335499197244644</v>
      </c>
      <c r="H42" s="190">
        <v>1177.9465000000002</v>
      </c>
      <c r="I42" s="190">
        <v>771.48001372814178</v>
      </c>
      <c r="J42" s="191">
        <v>32.31</v>
      </c>
      <c r="K42" s="192">
        <v>47.57</v>
      </c>
      <c r="L42" s="212">
        <v>14.430039999999998</v>
      </c>
      <c r="M42" s="194">
        <v>499.67349999999999</v>
      </c>
      <c r="N42" s="194">
        <v>2.9</v>
      </c>
      <c r="O42" s="195">
        <v>1</v>
      </c>
      <c r="P42" s="418">
        <v>6.5350000000000001</v>
      </c>
      <c r="Q42" s="419">
        <v>63.91</v>
      </c>
      <c r="R42" s="422">
        <v>317.56</v>
      </c>
    </row>
    <row r="43" spans="2:18">
      <c r="B43" s="213" t="s">
        <v>130</v>
      </c>
      <c r="C43" s="214" t="s">
        <v>131</v>
      </c>
      <c r="D43" s="190">
        <v>704.59474</v>
      </c>
      <c r="E43" s="190">
        <v>279.55364795587957</v>
      </c>
      <c r="F43" s="190">
        <v>539.5732190804556</v>
      </c>
      <c r="G43" s="190">
        <v>180.67109253152739</v>
      </c>
      <c r="H43" s="190">
        <v>489.24173999999999</v>
      </c>
      <c r="I43" s="190">
        <v>479.50361367338337</v>
      </c>
      <c r="J43" s="190">
        <v>43.228999999999999</v>
      </c>
      <c r="K43" s="192">
        <v>16.293530000000001</v>
      </c>
      <c r="L43" s="132">
        <v>10.530199999999999</v>
      </c>
      <c r="M43" s="195">
        <v>83.724899999999991</v>
      </c>
      <c r="N43" s="195">
        <v>485.75199999999995</v>
      </c>
      <c r="O43" s="195">
        <v>228.27599999999998</v>
      </c>
      <c r="P43" s="418">
        <v>124.64049999999999</v>
      </c>
      <c r="Q43" s="419">
        <v>351.45299999999997</v>
      </c>
      <c r="R43" s="423">
        <v>5.2860000000000005</v>
      </c>
    </row>
    <row r="44" spans="2:18">
      <c r="B44" s="213" t="s">
        <v>132</v>
      </c>
      <c r="C44" s="214" t="s">
        <v>133</v>
      </c>
      <c r="D44" s="190">
        <v>56.507209999999986</v>
      </c>
      <c r="E44" s="190">
        <v>155.22808021306992</v>
      </c>
      <c r="F44" s="190">
        <v>405.07089986279607</v>
      </c>
      <c r="G44" s="190">
        <v>265.83864853903651</v>
      </c>
      <c r="H44" s="190">
        <v>173.79</v>
      </c>
      <c r="I44" s="190">
        <v>316.12290562689304</v>
      </c>
      <c r="J44" s="190">
        <v>166.267</v>
      </c>
      <c r="K44" s="192">
        <v>2.41</v>
      </c>
      <c r="L44" s="132">
        <v>6.6550000000000002</v>
      </c>
      <c r="M44" s="195">
        <v>12.84</v>
      </c>
      <c r="N44" s="215">
        <v>0</v>
      </c>
      <c r="O44" s="195">
        <v>11.300929999999999</v>
      </c>
      <c r="P44" s="418">
        <v>0.40500000000000003</v>
      </c>
      <c r="Q44" s="419">
        <v>0</v>
      </c>
      <c r="R44" s="423">
        <v>0</v>
      </c>
    </row>
    <row r="45" spans="2:18">
      <c r="B45" s="213" t="s">
        <v>134</v>
      </c>
      <c r="C45" s="214" t="s">
        <v>135</v>
      </c>
      <c r="D45" s="190">
        <v>272.60584999999998</v>
      </c>
      <c r="E45" s="190">
        <v>137.77542024850845</v>
      </c>
      <c r="F45" s="190">
        <v>164.41801830939949</v>
      </c>
      <c r="G45" s="190">
        <v>74.984200716018677</v>
      </c>
      <c r="H45" s="190">
        <v>155.81909999999999</v>
      </c>
      <c r="I45" s="190">
        <v>272.6131030805409</v>
      </c>
      <c r="J45" s="190">
        <v>1.5129999999999999</v>
      </c>
      <c r="K45" s="192">
        <v>7.5019999999999998</v>
      </c>
      <c r="L45" s="132">
        <v>4.7552300000000001</v>
      </c>
      <c r="M45" s="195">
        <v>2.4449999999999998</v>
      </c>
      <c r="N45" s="195">
        <v>0.93</v>
      </c>
      <c r="O45" s="195">
        <v>0.03</v>
      </c>
      <c r="P45" s="418">
        <v>0</v>
      </c>
      <c r="Q45" s="419">
        <v>20.9</v>
      </c>
      <c r="R45" s="423">
        <v>0.56174999999999997</v>
      </c>
    </row>
    <row r="46" spans="2:18">
      <c r="B46" s="213" t="s">
        <v>136</v>
      </c>
      <c r="C46" s="214" t="s">
        <v>137</v>
      </c>
      <c r="D46" s="216">
        <v>2789.3441800000001</v>
      </c>
      <c r="E46" s="190">
        <v>2579.7999113947153</v>
      </c>
      <c r="F46" s="190">
        <v>1736.010593380779</v>
      </c>
      <c r="G46" s="190">
        <v>6703.1568374782801</v>
      </c>
      <c r="H46" s="190">
        <v>4704.3617600000007</v>
      </c>
      <c r="I46" s="190">
        <v>625.38949176110327</v>
      </c>
      <c r="J46" s="190">
        <v>3676.7847499999998</v>
      </c>
      <c r="K46" s="192">
        <v>463.37539999999996</v>
      </c>
      <c r="L46" s="132">
        <v>507.31020000000001</v>
      </c>
      <c r="M46" s="195">
        <v>1056.30125</v>
      </c>
      <c r="N46" s="195">
        <v>1137.3599999999999</v>
      </c>
      <c r="O46" s="195">
        <v>1299.885</v>
      </c>
      <c r="P46" s="418">
        <v>1169.2</v>
      </c>
      <c r="Q46" s="419">
        <v>2890.8</v>
      </c>
      <c r="R46" s="423">
        <v>948.26189999999997</v>
      </c>
    </row>
    <row r="47" spans="2:18">
      <c r="B47" s="213" t="s">
        <v>138</v>
      </c>
      <c r="C47" s="214" t="s">
        <v>139</v>
      </c>
      <c r="D47" s="216">
        <v>13480.785990000004</v>
      </c>
      <c r="E47" s="190">
        <v>11884.130829242273</v>
      </c>
      <c r="F47" s="190">
        <v>9569.2028609870504</v>
      </c>
      <c r="G47" s="190">
        <v>7862.4238130859303</v>
      </c>
      <c r="H47" s="190">
        <v>7198.2096199999987</v>
      </c>
      <c r="I47" s="190">
        <v>5349.0993086802409</v>
      </c>
      <c r="J47" s="190">
        <v>3090.9704000000006</v>
      </c>
      <c r="K47" s="192">
        <v>2822.8964000000019</v>
      </c>
      <c r="L47" s="132">
        <v>3895.025180000001</v>
      </c>
      <c r="M47" s="195">
        <v>3411.395410000001</v>
      </c>
      <c r="N47" s="195">
        <v>3856.662580000002</v>
      </c>
      <c r="O47" s="195">
        <v>4196.8278099999998</v>
      </c>
      <c r="P47" s="418">
        <v>3729.29666</v>
      </c>
      <c r="Q47" s="419">
        <v>2673.3495400000002</v>
      </c>
      <c r="R47" s="423">
        <v>2432.2631200000001</v>
      </c>
    </row>
    <row r="48" spans="2:18">
      <c r="B48" s="213" t="s">
        <v>140</v>
      </c>
      <c r="C48" s="214" t="s">
        <v>141</v>
      </c>
      <c r="D48" s="216">
        <v>21889.561730000001</v>
      </c>
      <c r="E48" s="190">
        <v>20995.377511831757</v>
      </c>
      <c r="F48" s="190">
        <v>21007.451239211237</v>
      </c>
      <c r="G48" s="190">
        <v>17858.497425227484</v>
      </c>
      <c r="H48" s="190">
        <v>16200.199339999994</v>
      </c>
      <c r="I48" s="190">
        <v>14301.855516429274</v>
      </c>
      <c r="J48" s="190">
        <v>47167.870299999995</v>
      </c>
      <c r="K48" s="192">
        <v>51045.235970000002</v>
      </c>
      <c r="L48" s="132">
        <v>39355.253819999998</v>
      </c>
      <c r="M48" s="195">
        <v>25934.131800000003</v>
      </c>
      <c r="N48" s="195">
        <v>32998.669500000004</v>
      </c>
      <c r="O48" s="195">
        <v>39162.540299999986</v>
      </c>
      <c r="P48" s="418">
        <v>40154.476999999999</v>
      </c>
      <c r="Q48" s="419">
        <v>33661.207399999999</v>
      </c>
      <c r="R48" s="423">
        <v>38620.517850000004</v>
      </c>
    </row>
    <row r="49" spans="2:18">
      <c r="B49" s="213" t="s">
        <v>142</v>
      </c>
      <c r="C49" s="214" t="s">
        <v>143</v>
      </c>
      <c r="D49" s="216">
        <v>9149.5057799999868</v>
      </c>
      <c r="E49" s="190">
        <v>13024.230215519528</v>
      </c>
      <c r="F49" s="190">
        <v>13087.069926740718</v>
      </c>
      <c r="G49" s="190">
        <v>10806.510270590894</v>
      </c>
      <c r="H49" s="190">
        <v>10897.818959999999</v>
      </c>
      <c r="I49" s="190">
        <v>11516.760074354301</v>
      </c>
      <c r="J49" s="190">
        <v>8853.6691099999989</v>
      </c>
      <c r="K49" s="192">
        <v>9092.4431299999997</v>
      </c>
      <c r="L49" s="132">
        <v>7197.4691699999967</v>
      </c>
      <c r="M49" s="195">
        <v>5391.7502700000023</v>
      </c>
      <c r="N49" s="195">
        <v>5082.710769999996</v>
      </c>
      <c r="O49" s="195">
        <v>5569.3715299999967</v>
      </c>
      <c r="P49" s="418">
        <v>5027.4070700000002</v>
      </c>
      <c r="Q49" s="419">
        <v>4748.48909</v>
      </c>
      <c r="R49" s="423">
        <v>4167.014909999999</v>
      </c>
    </row>
    <row r="50" spans="2:18">
      <c r="B50" s="213" t="s">
        <v>144</v>
      </c>
      <c r="C50" s="214" t="s">
        <v>145</v>
      </c>
      <c r="D50" s="190">
        <v>546.28294000000005</v>
      </c>
      <c r="E50" s="190">
        <v>1018.2664007076528</v>
      </c>
      <c r="F50" s="190">
        <v>431.26524690911174</v>
      </c>
      <c r="G50" s="190">
        <v>949.2883795326743</v>
      </c>
      <c r="H50" s="190">
        <v>955.66539999999975</v>
      </c>
      <c r="I50" s="190">
        <v>951.66201982647181</v>
      </c>
      <c r="J50" s="190">
        <v>1452.6709000000001</v>
      </c>
      <c r="K50" s="192">
        <v>1480.3336500000005</v>
      </c>
      <c r="L50" s="132">
        <v>1323.8980099999999</v>
      </c>
      <c r="M50" s="195">
        <v>1218.2547300000003</v>
      </c>
      <c r="N50" s="195">
        <v>702.94727000000034</v>
      </c>
      <c r="O50" s="195">
        <v>87.217400000000012</v>
      </c>
      <c r="P50" s="418">
        <v>43.442900000000002</v>
      </c>
      <c r="Q50" s="419">
        <v>56.610500000000002</v>
      </c>
      <c r="R50" s="423">
        <v>64.431750000000008</v>
      </c>
    </row>
    <row r="51" spans="2:18">
      <c r="B51" s="213" t="s">
        <v>146</v>
      </c>
      <c r="C51" s="214" t="s">
        <v>147</v>
      </c>
      <c r="D51" s="190">
        <v>20465.290530000006</v>
      </c>
      <c r="E51" s="190">
        <v>19771.847118034959</v>
      </c>
      <c r="F51" s="190">
        <v>52157.545380041003</v>
      </c>
      <c r="G51" s="190">
        <v>23193.425180680119</v>
      </c>
      <c r="H51" s="190">
        <v>25044.246789999994</v>
      </c>
      <c r="I51" s="190">
        <v>23389.007776221726</v>
      </c>
      <c r="J51" s="190">
        <v>10319.395999999999</v>
      </c>
      <c r="K51" s="192">
        <v>10070.365</v>
      </c>
      <c r="L51" s="132">
        <v>8192.0884999999998</v>
      </c>
      <c r="M51" s="195">
        <v>8100.570999999999</v>
      </c>
      <c r="N51" s="195">
        <v>16392.024959999999</v>
      </c>
      <c r="O51" s="195">
        <v>20842.830040000001</v>
      </c>
      <c r="P51" s="418">
        <v>19666.04247</v>
      </c>
      <c r="Q51" s="419">
        <v>13362.984999999999</v>
      </c>
      <c r="R51" s="423">
        <v>8581.1949999999997</v>
      </c>
    </row>
    <row r="52" spans="2:18">
      <c r="B52" s="213" t="s">
        <v>148</v>
      </c>
      <c r="C52" s="214" t="s">
        <v>149</v>
      </c>
      <c r="D52" s="190">
        <v>10476.862119999996</v>
      </c>
      <c r="E52" s="190">
        <v>11008.95696439594</v>
      </c>
      <c r="F52" s="190">
        <v>11888.807719571516</v>
      </c>
      <c r="G52" s="190">
        <v>13175.001424080692</v>
      </c>
      <c r="H52" s="190">
        <v>11113.188379999996</v>
      </c>
      <c r="I52" s="190">
        <v>10266.444600705057</v>
      </c>
      <c r="J52" s="190">
        <v>2730.1156199999996</v>
      </c>
      <c r="K52" s="192">
        <v>3866.48</v>
      </c>
      <c r="L52" s="132">
        <v>4540.8391999999994</v>
      </c>
      <c r="M52" s="195">
        <v>3371.0946299999991</v>
      </c>
      <c r="N52" s="195">
        <v>3051.8028500000005</v>
      </c>
      <c r="O52" s="195">
        <v>3808.9175799999989</v>
      </c>
      <c r="P52" s="418">
        <v>3401.8499000000002</v>
      </c>
      <c r="Q52" s="419">
        <v>3554.3219199999999</v>
      </c>
      <c r="R52" s="423">
        <v>3465.16725</v>
      </c>
    </row>
    <row r="53" spans="2:18">
      <c r="B53" s="213" t="s">
        <v>150</v>
      </c>
      <c r="C53" s="214" t="s">
        <v>151</v>
      </c>
      <c r="D53" s="190">
        <v>12048.83648</v>
      </c>
      <c r="E53" s="190">
        <v>14039.602683596313</v>
      </c>
      <c r="F53" s="190">
        <v>14908.646892568097</v>
      </c>
      <c r="G53" s="190">
        <v>13829.832082509995</v>
      </c>
      <c r="H53" s="190">
        <v>12036.994759999992</v>
      </c>
      <c r="I53" s="190">
        <v>13922.571457386017</v>
      </c>
      <c r="J53" s="190">
        <v>3631.2379999999998</v>
      </c>
      <c r="K53" s="192">
        <v>2296.0701000000004</v>
      </c>
      <c r="L53" s="132">
        <v>1964.4637500000003</v>
      </c>
      <c r="M53" s="195">
        <v>1539.27727</v>
      </c>
      <c r="N53" s="195">
        <v>2614.2198800000006</v>
      </c>
      <c r="O53" s="195">
        <v>3725.8598000000011</v>
      </c>
      <c r="P53" s="418">
        <v>3632.54495</v>
      </c>
      <c r="Q53" s="419">
        <v>2930.0839999999998</v>
      </c>
      <c r="R53" s="423">
        <v>3799.96866</v>
      </c>
    </row>
    <row r="54" spans="2:18">
      <c r="B54" s="213" t="s">
        <v>152</v>
      </c>
      <c r="C54" s="214" t="s">
        <v>153</v>
      </c>
      <c r="D54" s="190">
        <v>60667.675140000101</v>
      </c>
      <c r="E54" s="190">
        <v>34852.929523123312</v>
      </c>
      <c r="F54" s="190">
        <v>46684.926811684389</v>
      </c>
      <c r="G54" s="190">
        <v>35207.037760229548</v>
      </c>
      <c r="H54" s="190">
        <v>32752.318259999967</v>
      </c>
      <c r="I54" s="190">
        <v>29255.995788714848</v>
      </c>
      <c r="J54" s="217">
        <v>57508.483119999961</v>
      </c>
      <c r="K54" s="192">
        <v>62928.040309999895</v>
      </c>
      <c r="L54" s="132">
        <v>72187.639309999853</v>
      </c>
      <c r="M54" s="195">
        <v>49625.330214999973</v>
      </c>
      <c r="N54" s="195">
        <v>48580.04806999999</v>
      </c>
      <c r="O54" s="195">
        <v>51178.706599999699</v>
      </c>
      <c r="P54" s="418">
        <v>65537.403069999797</v>
      </c>
      <c r="Q54" s="419">
        <v>48747.486969999998</v>
      </c>
      <c r="R54" s="423">
        <v>65702.410100000008</v>
      </c>
    </row>
    <row r="55" spans="2:18">
      <c r="B55" s="213" t="s">
        <v>154</v>
      </c>
      <c r="C55" s="214" t="s">
        <v>155</v>
      </c>
      <c r="D55" s="190">
        <v>29360.086249999968</v>
      </c>
      <c r="E55" s="190">
        <v>3165.8188528947067</v>
      </c>
      <c r="F55" s="190">
        <v>3187.793662768323</v>
      </c>
      <c r="G55" s="190">
        <v>2615.0791563715466</v>
      </c>
      <c r="H55" s="190">
        <v>2090.95804</v>
      </c>
      <c r="I55" s="190">
        <v>4887.2055526273325</v>
      </c>
      <c r="J55" s="217">
        <v>2565.9709400000002</v>
      </c>
      <c r="K55" s="192">
        <v>2553.0980300000006</v>
      </c>
      <c r="L55" s="132">
        <v>2574.2966999999985</v>
      </c>
      <c r="M55" s="195">
        <v>1665.61637</v>
      </c>
      <c r="N55" s="195">
        <v>1558.009059999999</v>
      </c>
      <c r="O55" s="195">
        <v>2630.3427000000006</v>
      </c>
      <c r="P55" s="418">
        <v>2536.7315699999995</v>
      </c>
      <c r="Q55" s="419">
        <v>3148.47874</v>
      </c>
      <c r="R55" s="423">
        <v>2766.7542199999998</v>
      </c>
    </row>
    <row r="56" spans="2:18">
      <c r="B56" s="213" t="s">
        <v>156</v>
      </c>
      <c r="C56" s="214" t="s">
        <v>157</v>
      </c>
      <c r="D56" s="190">
        <v>2322.9997400000002</v>
      </c>
      <c r="E56" s="190">
        <v>3002.3549329137604</v>
      </c>
      <c r="F56" s="190">
        <v>2814.590238568373</v>
      </c>
      <c r="G56" s="190">
        <v>1838.3557400726531</v>
      </c>
      <c r="H56" s="190">
        <v>2843.7420000000011</v>
      </c>
      <c r="I56" s="190">
        <v>6422.4197499812581</v>
      </c>
      <c r="J56" s="217">
        <v>4890.3471400000008</v>
      </c>
      <c r="K56" s="192">
        <v>4410.6951800000061</v>
      </c>
      <c r="L56" s="132">
        <v>4672.4321799999989</v>
      </c>
      <c r="M56" s="195">
        <v>5204.2277299999969</v>
      </c>
      <c r="N56" s="195">
        <v>4337.0686999999898</v>
      </c>
      <c r="O56" s="195">
        <v>4091.1309100000062</v>
      </c>
      <c r="P56" s="418">
        <v>4457.4475000000002</v>
      </c>
      <c r="Q56" s="419">
        <v>4641.2236599999997</v>
      </c>
      <c r="R56" s="423">
        <v>6010.8124499999994</v>
      </c>
    </row>
    <row r="57" spans="2:18">
      <c r="B57" s="213" t="s">
        <v>158</v>
      </c>
      <c r="C57" s="197" t="s">
        <v>159</v>
      </c>
      <c r="D57" s="190">
        <v>18633.069719999996</v>
      </c>
      <c r="E57" s="190">
        <v>11755.458872641306</v>
      </c>
      <c r="F57" s="190">
        <v>12210.735833739051</v>
      </c>
      <c r="G57" s="190">
        <v>10829.194670209537</v>
      </c>
      <c r="H57" s="190">
        <v>10441.333389999993</v>
      </c>
      <c r="I57" s="190">
        <v>12486.12131530005</v>
      </c>
      <c r="J57" s="217">
        <v>139666.83713999999</v>
      </c>
      <c r="K57" s="192">
        <v>169384.41264999978</v>
      </c>
      <c r="L57" s="132">
        <v>153998.80210999982</v>
      </c>
      <c r="M57" s="195">
        <v>118799.56627499993</v>
      </c>
      <c r="N57" s="195">
        <v>128767.60354999991</v>
      </c>
      <c r="O57" s="195">
        <v>128931.9801</v>
      </c>
      <c r="P57" s="418">
        <v>121146.72837</v>
      </c>
      <c r="Q57" s="419">
        <v>128975.57816999998</v>
      </c>
      <c r="R57" s="423">
        <v>121515.59727999999</v>
      </c>
    </row>
    <row r="58" spans="2:18">
      <c r="B58" s="213" t="s">
        <v>160</v>
      </c>
      <c r="C58" s="214" t="s">
        <v>161</v>
      </c>
      <c r="D58" s="190">
        <v>34526.87816</v>
      </c>
      <c r="E58" s="190">
        <v>73332.0081325598</v>
      </c>
      <c r="F58" s="190">
        <v>97469.5193346655</v>
      </c>
      <c r="G58" s="190">
        <v>48803.324499362483</v>
      </c>
      <c r="H58" s="190">
        <v>71369.01462000006</v>
      </c>
      <c r="I58" s="190">
        <v>102153.72615818397</v>
      </c>
      <c r="J58" s="217">
        <v>83679.466780000017</v>
      </c>
      <c r="K58" s="192">
        <v>114075.51677999995</v>
      </c>
      <c r="L58" s="132">
        <v>80854.588170000003</v>
      </c>
      <c r="M58" s="195">
        <v>62256.602100000004</v>
      </c>
      <c r="N58" s="195">
        <v>125038.21743</v>
      </c>
      <c r="O58" s="195">
        <v>139200.83299</v>
      </c>
      <c r="P58" s="418">
        <v>97088.44853999991</v>
      </c>
      <c r="Q58" s="419">
        <v>90973.096160000016</v>
      </c>
      <c r="R58" s="423">
        <v>127405.87094999998</v>
      </c>
    </row>
    <row r="59" spans="2:18">
      <c r="B59" s="213" t="s">
        <v>162</v>
      </c>
      <c r="C59" s="214" t="s">
        <v>163</v>
      </c>
      <c r="D59" s="190">
        <v>1673.998250000001</v>
      </c>
      <c r="E59" s="190">
        <v>1649.1370317546534</v>
      </c>
      <c r="F59" s="190">
        <v>1739.7606976361712</v>
      </c>
      <c r="G59" s="190">
        <v>1278.4358901838459</v>
      </c>
      <c r="H59" s="190">
        <v>849.47780999999964</v>
      </c>
      <c r="I59" s="190">
        <v>1065.8482809947454</v>
      </c>
      <c r="J59" s="217">
        <v>4274.60329</v>
      </c>
      <c r="K59" s="192">
        <v>5300.7439599999989</v>
      </c>
      <c r="L59" s="132">
        <v>7365.3588700000091</v>
      </c>
      <c r="M59" s="195">
        <v>9367.2945200000031</v>
      </c>
      <c r="N59" s="195">
        <v>7175.8778799999991</v>
      </c>
      <c r="O59" s="195">
        <v>9101.4021799999919</v>
      </c>
      <c r="P59" s="418">
        <v>9241.7148200000101</v>
      </c>
      <c r="Q59" s="419">
        <v>10567.049879999991</v>
      </c>
      <c r="R59" s="423">
        <v>9324.2062500000102</v>
      </c>
    </row>
    <row r="60" spans="2:18">
      <c r="B60" s="213" t="s">
        <v>164</v>
      </c>
      <c r="C60" s="214" t="s">
        <v>165</v>
      </c>
      <c r="D60" s="190">
        <v>25007.294010000001</v>
      </c>
      <c r="E60" s="190">
        <v>32013.251748551847</v>
      </c>
      <c r="F60" s="190">
        <v>43106.000014103949</v>
      </c>
      <c r="G60" s="190">
        <v>47174.28735916689</v>
      </c>
      <c r="H60" s="190">
        <v>47346.100039999998</v>
      </c>
      <c r="I60" s="190">
        <v>50829.111204978079</v>
      </c>
      <c r="J60" s="217">
        <v>116041.26098000002</v>
      </c>
      <c r="K60" s="192">
        <v>126305.73931000005</v>
      </c>
      <c r="L60" s="132">
        <v>230900.88766000004</v>
      </c>
      <c r="M60" s="195">
        <v>147075.15310000003</v>
      </c>
      <c r="N60" s="195">
        <v>159095.47710000002</v>
      </c>
      <c r="O60" s="195">
        <v>148418.30677</v>
      </c>
      <c r="P60" s="418">
        <v>200432.24470000001</v>
      </c>
      <c r="Q60" s="419">
        <v>301996.91521000001</v>
      </c>
      <c r="R60" s="423">
        <v>263117.77050000004</v>
      </c>
    </row>
    <row r="61" spans="2:18">
      <c r="B61" s="213" t="s">
        <v>166</v>
      </c>
      <c r="C61" s="214" t="s">
        <v>167</v>
      </c>
      <c r="D61" s="190">
        <v>2856.8374600000002</v>
      </c>
      <c r="E61" s="190">
        <v>2493.1401511281729</v>
      </c>
      <c r="F61" s="190">
        <v>4440.7602182512637</v>
      </c>
      <c r="G61" s="190">
        <v>6197.2114301263682</v>
      </c>
      <c r="H61" s="190">
        <v>3752.6630800000003</v>
      </c>
      <c r="I61" s="190">
        <v>1360.8810630135486</v>
      </c>
      <c r="J61" s="217">
        <v>18227.697810000005</v>
      </c>
      <c r="K61" s="192">
        <v>26133.085620000002</v>
      </c>
      <c r="L61" s="132">
        <v>23118.31725</v>
      </c>
      <c r="M61" s="195">
        <v>17932.699099999998</v>
      </c>
      <c r="N61" s="195">
        <v>16636.08943</v>
      </c>
      <c r="O61" s="195">
        <v>20156.367160000005</v>
      </c>
      <c r="P61" s="418">
        <v>11415.880020000001</v>
      </c>
      <c r="Q61" s="419">
        <v>13375.452609999998</v>
      </c>
      <c r="R61" s="423">
        <v>30322.826260000002</v>
      </c>
    </row>
    <row r="62" spans="2:18">
      <c r="B62" s="218" t="s">
        <v>188</v>
      </c>
      <c r="C62" s="219" t="s">
        <v>189</v>
      </c>
      <c r="D62" s="201">
        <v>3546.7784500000012</v>
      </c>
      <c r="E62" s="201">
        <v>2849.3553596884012</v>
      </c>
      <c r="F62" s="201">
        <v>3333.3756147567183</v>
      </c>
      <c r="G62" s="201">
        <v>4403.5546282321848</v>
      </c>
      <c r="H62" s="201">
        <v>6356.7330800000018</v>
      </c>
      <c r="I62" s="201">
        <v>1873.0423654448241</v>
      </c>
      <c r="J62" s="192">
        <v>0</v>
      </c>
      <c r="K62" s="202">
        <v>0</v>
      </c>
      <c r="L62" s="215">
        <v>0</v>
      </c>
      <c r="M62" s="204"/>
      <c r="N62" s="204"/>
      <c r="O62" s="204"/>
      <c r="P62" s="204"/>
      <c r="Q62" s="54"/>
      <c r="R62" s="415"/>
    </row>
    <row r="63" spans="2:18" ht="20.100000000000001" customHeight="1">
      <c r="B63" s="374"/>
      <c r="C63" s="375" t="s">
        <v>34</v>
      </c>
      <c r="D63" s="376">
        <v>270477.05723000003</v>
      </c>
      <c r="E63" s="377">
        <v>260013.9633881677</v>
      </c>
      <c r="F63" s="377">
        <v>340895.48442287405</v>
      </c>
      <c r="G63" s="377">
        <v>253317.44598812493</v>
      </c>
      <c r="H63" s="377">
        <v>267949.82266999997</v>
      </c>
      <c r="I63" s="377">
        <v>292496.86136071186</v>
      </c>
      <c r="J63" s="378">
        <f t="shared" ref="J63:R63" si="3">SUM(J42:J62)</f>
        <v>508020.70127999998</v>
      </c>
      <c r="K63" s="378">
        <f t="shared" si="3"/>
        <v>592302.30701999972</v>
      </c>
      <c r="L63" s="378">
        <f t="shared" si="3"/>
        <v>642685.04054999969</v>
      </c>
      <c r="M63" s="378">
        <f t="shared" si="3"/>
        <v>462547.94916999992</v>
      </c>
      <c r="N63" s="378">
        <f t="shared" si="3"/>
        <v>557514.37102999992</v>
      </c>
      <c r="O63" s="378">
        <f t="shared" si="3"/>
        <v>582643.12579999969</v>
      </c>
      <c r="P63" s="378">
        <f t="shared" si="3"/>
        <v>588812.44003999978</v>
      </c>
      <c r="Q63" s="421">
        <f t="shared" si="3"/>
        <v>666739.39185000001</v>
      </c>
      <c r="R63" s="378">
        <f t="shared" si="3"/>
        <v>688568.47620000003</v>
      </c>
    </row>
    <row r="64" spans="2:18">
      <c r="B64" s="207"/>
      <c r="C64" s="209"/>
      <c r="D64" s="209"/>
      <c r="E64" s="209"/>
      <c r="F64" s="209"/>
      <c r="G64" s="209"/>
      <c r="H64" s="209"/>
      <c r="I64" s="209"/>
      <c r="J64" s="209"/>
      <c r="K64" s="209"/>
      <c r="L64" s="187"/>
      <c r="M64" s="187"/>
      <c r="N64" s="187"/>
      <c r="O64" s="187"/>
      <c r="P64" s="187"/>
      <c r="Q64" s="187"/>
    </row>
    <row r="66" spans="2:11" ht="18.75">
      <c r="B66" s="64" t="s">
        <v>239</v>
      </c>
      <c r="C66" s="187"/>
      <c r="D66" s="187"/>
      <c r="E66" s="187"/>
      <c r="F66" s="187"/>
      <c r="G66" s="187"/>
      <c r="H66" s="187"/>
      <c r="I66" s="187"/>
      <c r="J66" s="187"/>
      <c r="K66" s="187"/>
    </row>
    <row r="67" spans="2:11">
      <c r="B67" s="187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2:11" ht="48">
      <c r="B68" s="267" t="s">
        <v>96</v>
      </c>
      <c r="C68" s="268" t="s">
        <v>174</v>
      </c>
      <c r="D68" s="268" t="s">
        <v>175</v>
      </c>
      <c r="E68" s="268" t="s">
        <v>176</v>
      </c>
      <c r="F68" s="268" t="s">
        <v>177</v>
      </c>
      <c r="G68" s="268" t="s">
        <v>178</v>
      </c>
      <c r="H68" s="268" t="s">
        <v>179</v>
      </c>
      <c r="I68" s="268" t="s">
        <v>193</v>
      </c>
      <c r="J68" s="268" t="s">
        <v>108</v>
      </c>
      <c r="K68" s="269" t="s">
        <v>34</v>
      </c>
    </row>
    <row r="69" spans="2:11">
      <c r="B69" s="236" t="s">
        <v>187</v>
      </c>
      <c r="C69" s="407">
        <v>25412.429660000005</v>
      </c>
      <c r="D69" s="407">
        <v>335.26989999999989</v>
      </c>
      <c r="E69" s="407">
        <v>198620.02289000043</v>
      </c>
      <c r="F69" s="407">
        <v>0</v>
      </c>
      <c r="G69" s="407">
        <v>409.31371000000007</v>
      </c>
      <c r="H69" s="407">
        <v>74944.286070000016</v>
      </c>
      <c r="I69" s="407">
        <v>8605.5942200000354</v>
      </c>
      <c r="J69" s="407">
        <v>96327.930229999591</v>
      </c>
      <c r="K69" s="408">
        <f t="shared" ref="K69:K74" si="4">SUM(C69:J69)</f>
        <v>404654.84668000008</v>
      </c>
    </row>
    <row r="70" spans="2:11">
      <c r="B70" s="229">
        <v>2000</v>
      </c>
      <c r="C70" s="231">
        <v>28820.477609549649</v>
      </c>
      <c r="D70" s="231">
        <v>0</v>
      </c>
      <c r="E70" s="231">
        <v>140493.61930776713</v>
      </c>
      <c r="F70" s="231">
        <v>0</v>
      </c>
      <c r="G70" s="231">
        <v>0</v>
      </c>
      <c r="H70" s="231">
        <v>71189.884609550703</v>
      </c>
      <c r="I70" s="231">
        <v>11971.232091861613</v>
      </c>
      <c r="J70" s="231">
        <v>73309.826121399208</v>
      </c>
      <c r="K70" s="230">
        <f t="shared" si="4"/>
        <v>325785.03974012833</v>
      </c>
    </row>
    <row r="71" spans="2:11">
      <c r="B71" s="229">
        <v>2001</v>
      </c>
      <c r="C71" s="231">
        <v>28720.964312997763</v>
      </c>
      <c r="D71" s="231">
        <v>0</v>
      </c>
      <c r="E71" s="231">
        <v>216198.34707868285</v>
      </c>
      <c r="F71" s="231">
        <v>0</v>
      </c>
      <c r="G71" s="231">
        <v>0</v>
      </c>
      <c r="H71" s="231">
        <v>85945.821029666811</v>
      </c>
      <c r="I71" s="231">
        <v>18374.016131823581</v>
      </c>
      <c r="J71" s="231">
        <v>85444.33014126058</v>
      </c>
      <c r="K71" s="230">
        <f t="shared" si="4"/>
        <v>434683.4786944316</v>
      </c>
    </row>
    <row r="72" spans="2:11">
      <c r="B72" s="229">
        <v>2002</v>
      </c>
      <c r="C72" s="231">
        <v>52991.275273905252</v>
      </c>
      <c r="D72" s="192">
        <v>0</v>
      </c>
      <c r="E72" s="231">
        <v>150701.20075561141</v>
      </c>
      <c r="F72" s="192">
        <v>0</v>
      </c>
      <c r="G72" s="192">
        <v>0</v>
      </c>
      <c r="H72" s="231">
        <v>93958.865433644271</v>
      </c>
      <c r="I72" s="231">
        <v>19519.302241409576</v>
      </c>
      <c r="J72" s="231">
        <v>83249.930178895433</v>
      </c>
      <c r="K72" s="230">
        <f t="shared" si="4"/>
        <v>400420.5738834659</v>
      </c>
    </row>
    <row r="73" spans="2:11">
      <c r="B73" s="229">
        <v>2003</v>
      </c>
      <c r="C73" s="231">
        <v>45479.109449999996</v>
      </c>
      <c r="D73" s="231">
        <v>0</v>
      </c>
      <c r="E73" s="231">
        <v>269808.5657700001</v>
      </c>
      <c r="F73" s="231">
        <v>0</v>
      </c>
      <c r="G73" s="231">
        <v>0</v>
      </c>
      <c r="H73" s="231">
        <v>116389.71742000003</v>
      </c>
      <c r="I73" s="231">
        <v>34217.179770000163</v>
      </c>
      <c r="J73" s="231">
        <v>65492.864200000084</v>
      </c>
      <c r="K73" s="230">
        <f t="shared" si="4"/>
        <v>531387.43661000032</v>
      </c>
    </row>
    <row r="74" spans="2:11">
      <c r="B74" s="232">
        <v>2004</v>
      </c>
      <c r="C74" s="233">
        <v>47725.682332436088</v>
      </c>
      <c r="D74" s="233">
        <v>0</v>
      </c>
      <c r="E74" s="234">
        <v>433513.61354115419</v>
      </c>
      <c r="F74" s="233">
        <v>0</v>
      </c>
      <c r="G74" s="233">
        <v>0</v>
      </c>
      <c r="H74" s="233">
        <v>150508.10453941301</v>
      </c>
      <c r="I74" s="233">
        <v>20484.744817741637</v>
      </c>
      <c r="J74" s="233">
        <v>90262.759007863991</v>
      </c>
      <c r="K74" s="235">
        <f t="shared" si="4"/>
        <v>742494.9042386089</v>
      </c>
    </row>
    <row r="75" spans="2:11">
      <c r="B75" s="409"/>
      <c r="C75" s="192"/>
      <c r="D75" s="192"/>
      <c r="E75" s="410"/>
      <c r="F75" s="192"/>
      <c r="G75" s="192"/>
      <c r="H75" s="192"/>
      <c r="I75" s="192"/>
      <c r="J75" s="192"/>
      <c r="K75" s="411"/>
    </row>
    <row r="76" spans="2:11">
      <c r="B76" s="236">
        <v>2006</v>
      </c>
      <c r="C76" s="191">
        <v>66477.259000000005</v>
      </c>
      <c r="D76" s="191">
        <v>3702.9848099999999</v>
      </c>
      <c r="E76" s="237">
        <v>125811.22885999996</v>
      </c>
      <c r="F76" s="191">
        <v>1.1638899999999999</v>
      </c>
      <c r="G76" s="191">
        <v>403.48</v>
      </c>
      <c r="H76" s="191">
        <v>213227.71449999983</v>
      </c>
      <c r="I76" s="191">
        <v>35633.885930000004</v>
      </c>
      <c r="J76" s="191">
        <v>62762.984290000022</v>
      </c>
      <c r="K76" s="408">
        <f t="shared" ref="K76:K84" si="5">SUM(C76:J76)</f>
        <v>508020.7012799998</v>
      </c>
    </row>
    <row r="77" spans="2:11">
      <c r="B77" s="229">
        <v>2007</v>
      </c>
      <c r="C77" s="217">
        <v>71052.389110000062</v>
      </c>
      <c r="D77" s="217">
        <v>4574.7823199999975</v>
      </c>
      <c r="E77" s="217">
        <v>154949.14475999994</v>
      </c>
      <c r="F77" s="217">
        <v>1.1739999999999999</v>
      </c>
      <c r="G77" s="217">
        <v>1006.55384</v>
      </c>
      <c r="H77" s="217">
        <v>246098.03277999989</v>
      </c>
      <c r="I77" s="217">
        <v>47433.748500000031</v>
      </c>
      <c r="J77" s="217">
        <v>67186.481710000124</v>
      </c>
      <c r="K77" s="230">
        <f t="shared" si="5"/>
        <v>592302.30701999995</v>
      </c>
    </row>
    <row r="78" spans="2:11">
      <c r="B78" s="229">
        <v>2008</v>
      </c>
      <c r="C78" s="198">
        <v>63020.723500000015</v>
      </c>
      <c r="D78" s="198">
        <v>3341.8049000000019</v>
      </c>
      <c r="E78" s="198">
        <v>131042.94085999994</v>
      </c>
      <c r="F78" s="231">
        <v>0</v>
      </c>
      <c r="G78" s="231">
        <v>605.05939999999998</v>
      </c>
      <c r="H78" s="198">
        <v>250951.87052999964</v>
      </c>
      <c r="I78" s="217">
        <v>60111.937909999964</v>
      </c>
      <c r="J78" s="198">
        <v>133610.70345000003</v>
      </c>
      <c r="K78" s="230">
        <f t="shared" si="5"/>
        <v>642685.04054999957</v>
      </c>
    </row>
    <row r="79" spans="2:11">
      <c r="B79" s="238">
        <v>2009</v>
      </c>
      <c r="C79" s="239">
        <v>45886.186499999996</v>
      </c>
      <c r="D79" s="198">
        <v>4407.4723200000017</v>
      </c>
      <c r="E79" s="198">
        <v>84562.735020000022</v>
      </c>
      <c r="F79" s="231">
        <v>0</v>
      </c>
      <c r="G79" s="231">
        <v>531.83000000000004</v>
      </c>
      <c r="H79" s="198">
        <v>184400.27269999994</v>
      </c>
      <c r="I79" s="217">
        <v>59334.213019999996</v>
      </c>
      <c r="J79" s="198">
        <v>83425.239610000004</v>
      </c>
      <c r="K79" s="230">
        <f t="shared" si="5"/>
        <v>462547.94916999998</v>
      </c>
    </row>
    <row r="80" spans="2:11">
      <c r="B80" s="238">
        <v>2010</v>
      </c>
      <c r="C80" s="239">
        <v>52657.138999999966</v>
      </c>
      <c r="D80" s="198">
        <v>3021.8588499999996</v>
      </c>
      <c r="E80" s="198">
        <v>89283.01</v>
      </c>
      <c r="F80" s="231">
        <v>0</v>
      </c>
      <c r="G80" s="231">
        <v>354.74</v>
      </c>
      <c r="H80" s="198">
        <v>193494.91267000005</v>
      </c>
      <c r="I80" s="217">
        <v>49752.914519999991</v>
      </c>
      <c r="J80" s="198">
        <v>168949.79599000001</v>
      </c>
      <c r="K80" s="230">
        <f t="shared" si="5"/>
        <v>557514.37103000004</v>
      </c>
    </row>
    <row r="81" spans="2:11">
      <c r="B81" s="238">
        <v>2011</v>
      </c>
      <c r="C81" s="240">
        <v>35252.522770000003</v>
      </c>
      <c r="D81" s="192">
        <v>5056.627219999993</v>
      </c>
      <c r="E81" s="192">
        <v>105491.526</v>
      </c>
      <c r="F81" s="231">
        <v>0</v>
      </c>
      <c r="G81" s="192">
        <v>330.40310000000005</v>
      </c>
      <c r="H81" s="192">
        <v>208087.74062999969</v>
      </c>
      <c r="I81" s="192">
        <v>58532.978230000001</v>
      </c>
      <c r="J81" s="192">
        <v>169891.32785</v>
      </c>
      <c r="K81" s="230">
        <f t="shared" si="5"/>
        <v>582643.12579999969</v>
      </c>
    </row>
    <row r="82" spans="2:11">
      <c r="B82" s="238">
        <v>2012</v>
      </c>
      <c r="C82" s="271">
        <v>47485.044999999998</v>
      </c>
      <c r="D82" s="270">
        <v>5051.00838999999</v>
      </c>
      <c r="E82" s="270">
        <v>94453.215100000001</v>
      </c>
      <c r="F82" s="192">
        <v>0</v>
      </c>
      <c r="G82" s="270">
        <v>259.62900000000002</v>
      </c>
      <c r="H82" s="270">
        <v>208881.88394000003</v>
      </c>
      <c r="I82" s="270">
        <v>129326.57788000013</v>
      </c>
      <c r="J82" s="270">
        <v>103355.08072999999</v>
      </c>
      <c r="K82" s="230">
        <f t="shared" si="5"/>
        <v>588812.44004000002</v>
      </c>
    </row>
    <row r="83" spans="2:11">
      <c r="B83" s="229">
        <v>2013</v>
      </c>
      <c r="C83" s="412">
        <v>50283.248</v>
      </c>
      <c r="D83" s="412">
        <v>6373.51242000001</v>
      </c>
      <c r="E83" s="412">
        <v>171647.13858000009</v>
      </c>
      <c r="F83" s="192">
        <v>0</v>
      </c>
      <c r="G83" s="413">
        <v>548.30399999999997</v>
      </c>
      <c r="H83" s="412">
        <v>227100.04538999996</v>
      </c>
      <c r="I83" s="413">
        <v>86658.544250000006</v>
      </c>
      <c r="J83" s="413">
        <v>124128.59921000001</v>
      </c>
      <c r="K83" s="230">
        <f t="shared" si="5"/>
        <v>666739.39185000013</v>
      </c>
    </row>
    <row r="84" spans="2:11">
      <c r="B84" s="414">
        <v>2014</v>
      </c>
      <c r="C84" s="416">
        <v>42263.44</v>
      </c>
      <c r="D84" s="417">
        <v>6462.2834400000102</v>
      </c>
      <c r="E84" s="417">
        <v>163575.37300000002</v>
      </c>
      <c r="F84" s="289">
        <v>0</v>
      </c>
      <c r="G84" s="417">
        <v>744.36800000000005</v>
      </c>
      <c r="H84" s="417">
        <v>249190.77572999999</v>
      </c>
      <c r="I84" s="417">
        <v>103929.25882999999</v>
      </c>
      <c r="J84" s="417">
        <v>122402.97719999999</v>
      </c>
      <c r="K84" s="235">
        <f t="shared" si="5"/>
        <v>688568.47619999992</v>
      </c>
    </row>
    <row r="85" spans="2:11">
      <c r="H85" s="187"/>
      <c r="I85" s="187"/>
      <c r="J85" s="187"/>
      <c r="K85" s="187"/>
    </row>
    <row r="86" spans="2:11">
      <c r="H86" s="187"/>
      <c r="I86" s="187"/>
      <c r="J86" s="187"/>
      <c r="K86" s="187"/>
    </row>
  </sheetData>
  <pageMargins left="0.7" right="0.7" top="0.75" bottom="0.75" header="0.3" footer="0.3"/>
  <ignoredErrors>
    <ignoredError sqref="R36 K70:K84 D63:P63 E36:P36" formulaRange="1"/>
    <ignoredError sqref="B15:B35 B42:B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DA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3" width="16.85546875" style="16" customWidth="1"/>
    <col min="4" max="4" width="16" style="16" customWidth="1"/>
    <col min="5" max="5" width="15.42578125" style="16" customWidth="1"/>
    <col min="6" max="6" width="18.140625" style="16" customWidth="1"/>
    <col min="7" max="7" width="17" style="16" customWidth="1"/>
    <col min="8" max="8" width="15.7109375" style="16" customWidth="1"/>
    <col min="9" max="9" width="15" style="16" customWidth="1"/>
    <col min="10" max="10" width="11.42578125" style="16" customWidth="1"/>
    <col min="11" max="11" width="9.140625" style="16"/>
    <col min="12" max="12" width="14.42578125" style="16" customWidth="1"/>
    <col min="13" max="13" width="12.5703125" style="16" customWidth="1"/>
    <col min="14" max="17" width="12" style="16" customWidth="1"/>
    <col min="18" max="18" width="14.28515625" style="16" customWidth="1"/>
    <col min="19" max="19" width="12" style="16" customWidth="1"/>
    <col min="20" max="16384" width="9.140625" style="16"/>
  </cols>
  <sheetData>
    <row r="1" spans="1:105">
      <c r="A1" s="241"/>
    </row>
    <row r="2" spans="1:105" ht="18.75">
      <c r="B2" s="64" t="s">
        <v>225</v>
      </c>
      <c r="D2" s="19"/>
    </row>
    <row r="3" spans="1:105" ht="18.75">
      <c r="B3" s="65" t="s">
        <v>17</v>
      </c>
    </row>
    <row r="4" spans="1:105" ht="15.75">
      <c r="B4" s="43"/>
    </row>
    <row r="5" spans="1:105" ht="12.75" customHeight="1">
      <c r="B5" s="435" t="s">
        <v>23</v>
      </c>
      <c r="C5" s="439" t="s">
        <v>13</v>
      </c>
      <c r="D5" s="440"/>
      <c r="E5" s="440"/>
      <c r="F5" s="440"/>
      <c r="G5" s="441"/>
      <c r="H5" s="442" t="s">
        <v>72</v>
      </c>
    </row>
    <row r="6" spans="1:105" s="68" customFormat="1" ht="37.5" customHeight="1">
      <c r="A6" s="66"/>
      <c r="B6" s="436"/>
      <c r="C6" s="33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443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67"/>
    </row>
    <row r="7" spans="1:105" ht="24.95" customHeight="1">
      <c r="B7" s="69" t="s">
        <v>25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51">
        <f t="shared" ref="H7:H12" si="0">SUM(C7:G7)</f>
        <v>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</row>
    <row r="8" spans="1:105" ht="24.95" customHeight="1">
      <c r="B8" s="71" t="s">
        <v>26</v>
      </c>
      <c r="C8" s="72">
        <v>0</v>
      </c>
      <c r="D8" s="70">
        <v>0</v>
      </c>
      <c r="E8" s="70">
        <v>0</v>
      </c>
      <c r="F8" s="87">
        <v>144.21149</v>
      </c>
      <c r="G8" s="73">
        <v>0</v>
      </c>
      <c r="H8" s="74">
        <f t="shared" si="0"/>
        <v>144.21149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:105" ht="24.95" customHeight="1">
      <c r="B9" s="52" t="s">
        <v>27</v>
      </c>
      <c r="C9" s="87">
        <v>272.01407900000004</v>
      </c>
      <c r="D9" s="87">
        <v>256.13899899999996</v>
      </c>
      <c r="E9" s="70">
        <v>0</v>
      </c>
      <c r="F9" s="87">
        <v>136.04418100000001</v>
      </c>
      <c r="G9" s="70">
        <v>0</v>
      </c>
      <c r="H9" s="53">
        <f t="shared" si="0"/>
        <v>664.19725900000003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</row>
    <row r="10" spans="1:105" ht="24.95" customHeight="1">
      <c r="B10" s="52" t="s">
        <v>28</v>
      </c>
      <c r="C10" s="87">
        <v>103.77211099999998</v>
      </c>
      <c r="D10" s="87">
        <v>204.25503000000003</v>
      </c>
      <c r="E10" s="87">
        <v>144.86779000000001</v>
      </c>
      <c r="F10" s="87">
        <v>561.85337800000025</v>
      </c>
      <c r="G10" s="87">
        <v>408.67574000000002</v>
      </c>
      <c r="H10" s="53">
        <f t="shared" si="0"/>
        <v>1423.4240490000002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105" ht="24.95" customHeight="1">
      <c r="B11" s="56" t="s">
        <v>29</v>
      </c>
      <c r="C11" s="70">
        <v>0</v>
      </c>
      <c r="D11" s="87">
        <v>1.224</v>
      </c>
      <c r="E11" s="70">
        <v>0</v>
      </c>
      <c r="F11" s="70">
        <v>0</v>
      </c>
      <c r="G11" s="87">
        <v>428.44535200000007</v>
      </c>
      <c r="H11" s="53">
        <f t="shared" si="0"/>
        <v>429.66935200000006</v>
      </c>
    </row>
    <row r="12" spans="1:105" ht="24.95" customHeight="1">
      <c r="B12" s="57" t="s">
        <v>14</v>
      </c>
      <c r="C12" s="87">
        <v>203.81100000000001</v>
      </c>
      <c r="D12" s="87">
        <v>732.332717</v>
      </c>
      <c r="E12" s="87">
        <v>74.367991000000004</v>
      </c>
      <c r="F12" s="87">
        <v>496.11199999999997</v>
      </c>
      <c r="G12" s="87">
        <v>366.86899999999997</v>
      </c>
      <c r="H12" s="53">
        <f t="shared" si="0"/>
        <v>1873.492708</v>
      </c>
    </row>
    <row r="13" spans="1:105" ht="21.75" customHeight="1">
      <c r="B13" s="58" t="s">
        <v>34</v>
      </c>
      <c r="C13" s="75">
        <f t="shared" ref="C13:H13" si="1">SUM(C7:C12)</f>
        <v>579.59719000000007</v>
      </c>
      <c r="D13" s="59">
        <f t="shared" si="1"/>
        <v>1193.950746</v>
      </c>
      <c r="E13" s="59">
        <f t="shared" si="1"/>
        <v>219.23578100000003</v>
      </c>
      <c r="F13" s="76">
        <f t="shared" si="1"/>
        <v>1338.2210490000002</v>
      </c>
      <c r="G13" s="59">
        <f t="shared" si="1"/>
        <v>1203.990092</v>
      </c>
      <c r="H13" s="60">
        <f t="shared" si="1"/>
        <v>4534.994858</v>
      </c>
    </row>
    <row r="14" spans="1:105" ht="17.25" customHeight="1"/>
    <row r="15" spans="1:105" ht="17.25" customHeight="1">
      <c r="B15" s="140" t="s">
        <v>32</v>
      </c>
      <c r="C15" s="428"/>
      <c r="D15" s="428"/>
      <c r="E15" s="428"/>
      <c r="F15" s="428"/>
      <c r="G15" s="428"/>
      <c r="H15" s="428"/>
      <c r="I15" s="15"/>
    </row>
    <row r="16" spans="1:105" ht="15" customHeight="1">
      <c r="B16" s="15" t="s">
        <v>39</v>
      </c>
      <c r="C16" s="15"/>
      <c r="D16" s="15"/>
      <c r="E16" s="15"/>
      <c r="F16" s="15"/>
      <c r="G16" s="15"/>
      <c r="H16" s="15"/>
      <c r="I16" s="15"/>
    </row>
    <row r="17" spans="2:10" ht="15" customHeight="1">
      <c r="B17" s="16" t="s">
        <v>30</v>
      </c>
    </row>
    <row r="18" spans="2:10" ht="15" customHeight="1">
      <c r="B18" s="437" t="s">
        <v>40</v>
      </c>
      <c r="C18" s="437"/>
      <c r="D18" s="437"/>
      <c r="E18" s="437"/>
      <c r="F18" s="437"/>
      <c r="G18" s="437"/>
      <c r="H18" s="437"/>
      <c r="I18" s="437"/>
      <c r="J18" s="438"/>
    </row>
    <row r="19" spans="2:10" ht="15" customHeight="1">
      <c r="B19" s="77"/>
      <c r="C19" s="77"/>
      <c r="D19" s="77"/>
      <c r="E19" s="77"/>
      <c r="F19" s="77"/>
      <c r="G19" s="77"/>
      <c r="H19" s="77"/>
      <c r="I19" s="77"/>
      <c r="J19" s="17"/>
    </row>
    <row r="20" spans="2:10" ht="15" customHeight="1">
      <c r="B20" s="77"/>
      <c r="C20" s="77"/>
      <c r="D20" s="77"/>
      <c r="E20" s="77"/>
      <c r="F20" s="77"/>
      <c r="G20" s="77"/>
      <c r="H20" s="77"/>
      <c r="I20" s="77"/>
      <c r="J20" s="17"/>
    </row>
  </sheetData>
  <mergeCells count="4">
    <mergeCell ref="B5:B6"/>
    <mergeCell ref="B18:J18"/>
    <mergeCell ref="C5:G5"/>
    <mergeCell ref="H5:H6"/>
  </mergeCells>
  <phoneticPr fontId="2" type="noConversion"/>
  <pageMargins left="0.75" right="0.75" top="1" bottom="1" header="0.5" footer="0.5"/>
  <pageSetup paperSize="9" scale="83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35"/>
  <sheetViews>
    <sheetView showGridLines="0" workbookViewId="0"/>
  </sheetViews>
  <sheetFormatPr defaultRowHeight="12.75"/>
  <cols>
    <col min="1" max="1" width="6.85546875" style="16" customWidth="1"/>
    <col min="2" max="2" width="12.7109375" style="16" customWidth="1"/>
    <col min="3" max="3" width="21.85546875" style="16" customWidth="1"/>
    <col min="4" max="4" width="13.42578125" style="16" customWidth="1"/>
    <col min="5" max="5" width="13.28515625" style="16" customWidth="1"/>
    <col min="6" max="6" width="13.85546875" style="16" customWidth="1"/>
    <col min="7" max="7" width="14" style="16" customWidth="1"/>
    <col min="8" max="8" width="17" style="16" customWidth="1"/>
    <col min="9" max="9" width="20" style="16" customWidth="1"/>
    <col min="10" max="10" width="16.85546875" style="16" customWidth="1"/>
    <col min="11" max="16384" width="9.140625" style="16"/>
  </cols>
  <sheetData>
    <row r="1" spans="1:10">
      <c r="A1" s="241"/>
    </row>
    <row r="2" spans="1:10" ht="18.75">
      <c r="B2" s="117" t="s">
        <v>227</v>
      </c>
    </row>
    <row r="3" spans="1:10" ht="18.75">
      <c r="B3" s="65" t="s">
        <v>31</v>
      </c>
    </row>
    <row r="5" spans="1:10">
      <c r="B5" s="244"/>
      <c r="C5" s="243"/>
      <c r="D5" s="453" t="s">
        <v>87</v>
      </c>
      <c r="E5" s="453"/>
      <c r="F5" s="453"/>
      <c r="G5" s="453"/>
      <c r="H5" s="453"/>
      <c r="I5" s="453"/>
      <c r="J5" s="242"/>
    </row>
    <row r="6" spans="1:10" ht="24.75" customHeight="1">
      <c r="B6" s="149" t="s">
        <v>96</v>
      </c>
      <c r="C6" s="247" t="s">
        <v>12</v>
      </c>
      <c r="D6" s="248" t="s">
        <v>194</v>
      </c>
      <c r="E6" s="33" t="s">
        <v>57</v>
      </c>
      <c r="F6" s="33" t="s">
        <v>58</v>
      </c>
      <c r="G6" s="33" t="s">
        <v>59</v>
      </c>
      <c r="H6" s="33" t="s">
        <v>60</v>
      </c>
      <c r="I6" s="38" t="s">
        <v>61</v>
      </c>
      <c r="J6" s="152" t="s">
        <v>72</v>
      </c>
    </row>
    <row r="7" spans="1:10">
      <c r="B7" s="444" t="s">
        <v>105</v>
      </c>
      <c r="C7" s="454" t="s">
        <v>195</v>
      </c>
      <c r="D7" s="346" t="s">
        <v>196</v>
      </c>
      <c r="E7" s="347">
        <v>90</v>
      </c>
      <c r="F7" s="347">
        <v>286</v>
      </c>
      <c r="G7" s="347">
        <v>52</v>
      </c>
      <c r="H7" s="347">
        <v>271</v>
      </c>
      <c r="I7" s="347">
        <v>168</v>
      </c>
      <c r="J7" s="320">
        <f>SUM(E7:I7)</f>
        <v>867</v>
      </c>
    </row>
    <row r="8" spans="1:10">
      <c r="B8" s="445"/>
      <c r="C8" s="455"/>
      <c r="D8" s="348" t="s">
        <v>197</v>
      </c>
      <c r="E8" s="347">
        <v>519</v>
      </c>
      <c r="F8" s="347">
        <v>501</v>
      </c>
      <c r="G8" s="347">
        <v>436</v>
      </c>
      <c r="H8" s="347">
        <v>1014</v>
      </c>
      <c r="I8" s="347">
        <v>725</v>
      </c>
      <c r="J8" s="310">
        <f t="shared" ref="J8:J55" si="0">SUM(E8:I8)</f>
        <v>3195</v>
      </c>
    </row>
    <row r="9" spans="1:10">
      <c r="B9" s="445"/>
      <c r="C9" s="456"/>
      <c r="D9" s="349" t="s">
        <v>198</v>
      </c>
      <c r="E9" s="347">
        <v>26</v>
      </c>
      <c r="F9" s="347">
        <v>14</v>
      </c>
      <c r="G9" s="347">
        <v>7</v>
      </c>
      <c r="H9" s="347">
        <v>60</v>
      </c>
      <c r="I9" s="347">
        <v>28</v>
      </c>
      <c r="J9" s="310">
        <f t="shared" si="0"/>
        <v>135</v>
      </c>
    </row>
    <row r="10" spans="1:10">
      <c r="B10" s="445"/>
      <c r="C10" s="350" t="s">
        <v>199</v>
      </c>
      <c r="D10" s="351"/>
      <c r="E10" s="304">
        <f t="shared" ref="E10:J10" si="1">SUBTOTAL(9,E7:E9)</f>
        <v>635</v>
      </c>
      <c r="F10" s="304">
        <f t="shared" si="1"/>
        <v>801</v>
      </c>
      <c r="G10" s="304">
        <f t="shared" si="1"/>
        <v>495</v>
      </c>
      <c r="H10" s="304">
        <f t="shared" si="1"/>
        <v>1345</v>
      </c>
      <c r="I10" s="304">
        <f t="shared" si="1"/>
        <v>921</v>
      </c>
      <c r="J10" s="306">
        <f t="shared" si="1"/>
        <v>4197</v>
      </c>
    </row>
    <row r="11" spans="1:10">
      <c r="B11" s="445"/>
      <c r="C11" s="457" t="s">
        <v>200</v>
      </c>
      <c r="D11" s="352" t="s">
        <v>196</v>
      </c>
      <c r="E11" s="308">
        <v>411</v>
      </c>
      <c r="F11" s="263">
        <v>262</v>
      </c>
      <c r="G11" s="263">
        <v>3</v>
      </c>
      <c r="H11" s="263">
        <v>62</v>
      </c>
      <c r="I11" s="263">
        <v>147</v>
      </c>
      <c r="J11" s="310">
        <f t="shared" si="0"/>
        <v>885</v>
      </c>
    </row>
    <row r="12" spans="1:10">
      <c r="B12" s="445"/>
      <c r="C12" s="449"/>
      <c r="D12" s="352" t="s">
        <v>197</v>
      </c>
      <c r="E12" s="308">
        <v>146</v>
      </c>
      <c r="F12" s="263">
        <v>136</v>
      </c>
      <c r="G12" s="263">
        <v>70</v>
      </c>
      <c r="H12" s="263">
        <v>72</v>
      </c>
      <c r="I12" s="263">
        <v>81</v>
      </c>
      <c r="J12" s="310">
        <f t="shared" si="0"/>
        <v>505</v>
      </c>
    </row>
    <row r="13" spans="1:10">
      <c r="B13" s="445"/>
      <c r="C13" s="458"/>
      <c r="D13" s="352" t="s">
        <v>198</v>
      </c>
      <c r="E13" s="308">
        <v>0</v>
      </c>
      <c r="F13" s="263">
        <v>0</v>
      </c>
      <c r="G13" s="263">
        <v>0</v>
      </c>
      <c r="H13" s="263">
        <v>0</v>
      </c>
      <c r="I13" s="263">
        <v>1</v>
      </c>
      <c r="J13" s="310">
        <f t="shared" si="0"/>
        <v>1</v>
      </c>
    </row>
    <row r="14" spans="1:10">
      <c r="B14" s="445"/>
      <c r="C14" s="311" t="s">
        <v>201</v>
      </c>
      <c r="D14" s="351"/>
      <c r="E14" s="304">
        <f t="shared" ref="E14:J14" si="2">SUBTOTAL(9,E11:E13)</f>
        <v>557</v>
      </c>
      <c r="F14" s="304">
        <f t="shared" si="2"/>
        <v>398</v>
      </c>
      <c r="G14" s="304">
        <f t="shared" si="2"/>
        <v>73</v>
      </c>
      <c r="H14" s="304">
        <f t="shared" si="2"/>
        <v>134</v>
      </c>
      <c r="I14" s="304">
        <f t="shared" si="2"/>
        <v>229</v>
      </c>
      <c r="J14" s="306">
        <f t="shared" si="2"/>
        <v>1391</v>
      </c>
    </row>
    <row r="15" spans="1:10">
      <c r="B15" s="445"/>
      <c r="C15" s="459" t="s">
        <v>202</v>
      </c>
      <c r="D15" s="352" t="s">
        <v>196</v>
      </c>
      <c r="E15" s="308">
        <v>552</v>
      </c>
      <c r="F15" s="263">
        <v>869</v>
      </c>
      <c r="G15" s="263">
        <v>282</v>
      </c>
      <c r="H15" s="263">
        <v>861</v>
      </c>
      <c r="I15" s="263">
        <v>542</v>
      </c>
      <c r="J15" s="310">
        <f t="shared" si="0"/>
        <v>3106</v>
      </c>
    </row>
    <row r="16" spans="1:10">
      <c r="B16" s="445"/>
      <c r="C16" s="460"/>
      <c r="D16" s="352" t="s">
        <v>197</v>
      </c>
      <c r="E16" s="308">
        <v>0</v>
      </c>
      <c r="F16" s="263">
        <v>0</v>
      </c>
      <c r="G16" s="263">
        <v>0</v>
      </c>
      <c r="H16" s="263">
        <v>0</v>
      </c>
      <c r="I16" s="263">
        <v>0</v>
      </c>
      <c r="J16" s="310">
        <f t="shared" si="0"/>
        <v>0</v>
      </c>
    </row>
    <row r="17" spans="2:10">
      <c r="B17" s="445"/>
      <c r="C17" s="461"/>
      <c r="D17" s="352" t="s">
        <v>198</v>
      </c>
      <c r="E17" s="308">
        <v>0</v>
      </c>
      <c r="F17" s="263">
        <v>0</v>
      </c>
      <c r="G17" s="263">
        <v>0</v>
      </c>
      <c r="H17" s="263">
        <v>0</v>
      </c>
      <c r="I17" s="263">
        <v>0</v>
      </c>
      <c r="J17" s="310">
        <f t="shared" si="0"/>
        <v>0</v>
      </c>
    </row>
    <row r="18" spans="2:10">
      <c r="B18" s="445"/>
      <c r="C18" s="353" t="s">
        <v>203</v>
      </c>
      <c r="D18" s="351"/>
      <c r="E18" s="304">
        <f t="shared" ref="E18:J18" si="3">SUBTOTAL(9,E15:E17)</f>
        <v>552</v>
      </c>
      <c r="F18" s="304">
        <f t="shared" si="3"/>
        <v>869</v>
      </c>
      <c r="G18" s="304">
        <f t="shared" si="3"/>
        <v>282</v>
      </c>
      <c r="H18" s="304">
        <f t="shared" si="3"/>
        <v>861</v>
      </c>
      <c r="I18" s="304">
        <f t="shared" si="3"/>
        <v>542</v>
      </c>
      <c r="J18" s="306">
        <f t="shared" si="3"/>
        <v>3106</v>
      </c>
    </row>
    <row r="19" spans="2:10">
      <c r="B19" s="445"/>
      <c r="C19" s="457" t="s">
        <v>204</v>
      </c>
      <c r="D19" s="352" t="s">
        <v>196</v>
      </c>
      <c r="E19" s="308">
        <v>32</v>
      </c>
      <c r="F19" s="263">
        <v>18</v>
      </c>
      <c r="G19" s="263">
        <v>57</v>
      </c>
      <c r="H19" s="263">
        <v>0</v>
      </c>
      <c r="I19" s="263">
        <v>0</v>
      </c>
      <c r="J19" s="310">
        <f t="shared" si="0"/>
        <v>107</v>
      </c>
    </row>
    <row r="20" spans="2:10">
      <c r="B20" s="445"/>
      <c r="C20" s="449"/>
      <c r="D20" s="352" t="s">
        <v>197</v>
      </c>
      <c r="E20" s="308">
        <v>58</v>
      </c>
      <c r="F20" s="263">
        <v>9</v>
      </c>
      <c r="G20" s="263">
        <v>0</v>
      </c>
      <c r="H20" s="263">
        <v>36</v>
      </c>
      <c r="I20" s="263">
        <v>405</v>
      </c>
      <c r="J20" s="310">
        <f t="shared" si="0"/>
        <v>508</v>
      </c>
    </row>
    <row r="21" spans="2:10">
      <c r="B21" s="445"/>
      <c r="C21" s="458"/>
      <c r="D21" s="352" t="s">
        <v>198</v>
      </c>
      <c r="E21" s="308">
        <v>0</v>
      </c>
      <c r="F21" s="263">
        <v>0</v>
      </c>
      <c r="G21" s="263">
        <v>0</v>
      </c>
      <c r="H21" s="263">
        <v>0</v>
      </c>
      <c r="I21" s="263">
        <v>0</v>
      </c>
      <c r="J21" s="310">
        <f t="shared" si="0"/>
        <v>0</v>
      </c>
    </row>
    <row r="22" spans="2:10">
      <c r="B22" s="446"/>
      <c r="C22" s="321" t="s">
        <v>205</v>
      </c>
      <c r="D22" s="351"/>
      <c r="E22" s="318">
        <f t="shared" ref="E22:J22" si="4">SUBTOTAL(9,E19:E21)</f>
        <v>90</v>
      </c>
      <c r="F22" s="318">
        <f t="shared" si="4"/>
        <v>27</v>
      </c>
      <c r="G22" s="318">
        <f t="shared" si="4"/>
        <v>57</v>
      </c>
      <c r="H22" s="318">
        <f t="shared" si="4"/>
        <v>36</v>
      </c>
      <c r="I22" s="318">
        <f t="shared" si="4"/>
        <v>405</v>
      </c>
      <c r="J22" s="320">
        <f t="shared" si="4"/>
        <v>615</v>
      </c>
    </row>
    <row r="23" spans="2:10" ht="26.25" customHeight="1">
      <c r="B23" s="254" t="s">
        <v>112</v>
      </c>
      <c r="C23" s="160"/>
      <c r="D23" s="255"/>
      <c r="E23" s="59">
        <f t="shared" ref="E23:J23" si="5">SUBTOTAL(9,E7:E21)</f>
        <v>1834</v>
      </c>
      <c r="F23" s="59">
        <f t="shared" si="5"/>
        <v>2095</v>
      </c>
      <c r="G23" s="59">
        <f t="shared" si="5"/>
        <v>907</v>
      </c>
      <c r="H23" s="59">
        <f t="shared" si="5"/>
        <v>2376</v>
      </c>
      <c r="I23" s="59">
        <f t="shared" si="5"/>
        <v>2097</v>
      </c>
      <c r="J23" s="83">
        <f t="shared" si="5"/>
        <v>9309</v>
      </c>
    </row>
    <row r="24" spans="2:10">
      <c r="B24" s="444" t="s">
        <v>113</v>
      </c>
      <c r="C24" s="447" t="s">
        <v>195</v>
      </c>
      <c r="D24" s="253" t="s">
        <v>196</v>
      </c>
      <c r="E24" s="154">
        <v>172.584</v>
      </c>
      <c r="F24" s="155">
        <v>99.278999999999996</v>
      </c>
      <c r="G24" s="155">
        <v>42.25</v>
      </c>
      <c r="H24" s="155">
        <v>416.75799999999998</v>
      </c>
      <c r="I24" s="155">
        <v>891.51900000000001</v>
      </c>
      <c r="J24" s="157">
        <f t="shared" si="0"/>
        <v>1622.3899999999999</v>
      </c>
    </row>
    <row r="25" spans="2:10">
      <c r="B25" s="445"/>
      <c r="C25" s="448"/>
      <c r="D25" s="253" t="s">
        <v>197</v>
      </c>
      <c r="E25" s="154">
        <v>456.238</v>
      </c>
      <c r="F25" s="155">
        <v>456.75099999999998</v>
      </c>
      <c r="G25" s="155">
        <v>481.85399999999998</v>
      </c>
      <c r="H25" s="155">
        <v>472.73200000000003</v>
      </c>
      <c r="I25" s="155">
        <v>469.37299999999999</v>
      </c>
      <c r="J25" s="157">
        <f t="shared" si="0"/>
        <v>2336.9479999999999</v>
      </c>
    </row>
    <row r="26" spans="2:10">
      <c r="B26" s="445"/>
      <c r="C26" s="448"/>
      <c r="D26" s="253" t="s">
        <v>198</v>
      </c>
      <c r="E26" s="154">
        <v>44.088999999999999</v>
      </c>
      <c r="F26" s="155">
        <v>15.894</v>
      </c>
      <c r="G26" s="155">
        <v>1.8819999999999999</v>
      </c>
      <c r="H26" s="155">
        <v>21.933</v>
      </c>
      <c r="I26" s="155">
        <v>15.302</v>
      </c>
      <c r="J26" s="157">
        <f t="shared" si="0"/>
        <v>99.1</v>
      </c>
    </row>
    <row r="27" spans="2:10">
      <c r="B27" s="445"/>
      <c r="C27" s="354" t="s">
        <v>199</v>
      </c>
      <c r="D27" s="351"/>
      <c r="E27" s="304">
        <f t="shared" ref="E27:J27" si="6">SUBTOTAL(9,E24:E26)</f>
        <v>672.91100000000006</v>
      </c>
      <c r="F27" s="304">
        <f t="shared" si="6"/>
        <v>571.92399999999998</v>
      </c>
      <c r="G27" s="304">
        <f t="shared" si="6"/>
        <v>525.98599999999999</v>
      </c>
      <c r="H27" s="304">
        <f t="shared" si="6"/>
        <v>911.423</v>
      </c>
      <c r="I27" s="304">
        <f t="shared" si="6"/>
        <v>1376.194</v>
      </c>
      <c r="J27" s="306">
        <f t="shared" si="6"/>
        <v>4058.4379999999996</v>
      </c>
    </row>
    <row r="28" spans="2:10">
      <c r="B28" s="445"/>
      <c r="C28" s="457" t="s">
        <v>200</v>
      </c>
      <c r="D28" s="352" t="s">
        <v>196</v>
      </c>
      <c r="E28" s="308">
        <v>330.78699999999998</v>
      </c>
      <c r="F28" s="263">
        <v>270.952</v>
      </c>
      <c r="G28" s="263">
        <v>19.684000000000001</v>
      </c>
      <c r="H28" s="263">
        <v>92.308000000000007</v>
      </c>
      <c r="I28" s="263">
        <v>131.334</v>
      </c>
      <c r="J28" s="310">
        <f t="shared" si="0"/>
        <v>845.06500000000005</v>
      </c>
    </row>
    <row r="29" spans="2:10">
      <c r="B29" s="445"/>
      <c r="C29" s="449"/>
      <c r="D29" s="352" t="s">
        <v>197</v>
      </c>
      <c r="E29" s="308">
        <v>69.266999999999996</v>
      </c>
      <c r="F29" s="263">
        <v>0</v>
      </c>
      <c r="G29" s="263">
        <v>66.034000000000006</v>
      </c>
      <c r="H29" s="263">
        <v>298.94799999999998</v>
      </c>
      <c r="I29" s="263">
        <v>8.5210000000000008</v>
      </c>
      <c r="J29" s="310">
        <f t="shared" si="0"/>
        <v>442.77</v>
      </c>
    </row>
    <row r="30" spans="2:10">
      <c r="B30" s="445"/>
      <c r="C30" s="458"/>
      <c r="D30" s="352" t="s">
        <v>198</v>
      </c>
      <c r="E30" s="308">
        <v>0</v>
      </c>
      <c r="F30" s="263">
        <v>0</v>
      </c>
      <c r="G30" s="263">
        <v>0</v>
      </c>
      <c r="H30" s="263">
        <v>0</v>
      </c>
      <c r="I30" s="263">
        <v>0</v>
      </c>
      <c r="J30" s="310">
        <f t="shared" si="0"/>
        <v>0</v>
      </c>
    </row>
    <row r="31" spans="2:10">
      <c r="B31" s="445"/>
      <c r="C31" s="311" t="s">
        <v>201</v>
      </c>
      <c r="D31" s="351"/>
      <c r="E31" s="304">
        <f t="shared" ref="E31:J31" si="7">SUBTOTAL(9,E28:E30)</f>
        <v>400.05399999999997</v>
      </c>
      <c r="F31" s="304">
        <f t="shared" si="7"/>
        <v>270.952</v>
      </c>
      <c r="G31" s="304">
        <f t="shared" si="7"/>
        <v>85.718000000000004</v>
      </c>
      <c r="H31" s="304">
        <f t="shared" si="7"/>
        <v>391.25599999999997</v>
      </c>
      <c r="I31" s="304">
        <f t="shared" si="7"/>
        <v>139.85500000000002</v>
      </c>
      <c r="J31" s="306">
        <f t="shared" si="7"/>
        <v>1287.835</v>
      </c>
    </row>
    <row r="32" spans="2:10">
      <c r="B32" s="445"/>
      <c r="C32" s="459" t="s">
        <v>202</v>
      </c>
      <c r="D32" s="352" t="s">
        <v>196</v>
      </c>
      <c r="E32" s="308">
        <v>128.93600000000001</v>
      </c>
      <c r="F32" s="263">
        <v>549.01599999999996</v>
      </c>
      <c r="G32" s="263">
        <v>225.91499999999999</v>
      </c>
      <c r="H32" s="263">
        <v>439.65300000000002</v>
      </c>
      <c r="I32" s="263">
        <v>280.27</v>
      </c>
      <c r="J32" s="310">
        <f t="shared" si="0"/>
        <v>1623.79</v>
      </c>
    </row>
    <row r="33" spans="2:10">
      <c r="B33" s="445"/>
      <c r="C33" s="460"/>
      <c r="D33" s="352" t="s">
        <v>197</v>
      </c>
      <c r="E33" s="308">
        <v>3.02</v>
      </c>
      <c r="F33" s="263">
        <v>0</v>
      </c>
      <c r="G33" s="263">
        <v>5</v>
      </c>
      <c r="H33" s="263">
        <v>0</v>
      </c>
      <c r="I33" s="263">
        <v>232.66</v>
      </c>
      <c r="J33" s="310">
        <f t="shared" si="0"/>
        <v>240.68</v>
      </c>
    </row>
    <row r="34" spans="2:10">
      <c r="B34" s="445"/>
      <c r="C34" s="461"/>
      <c r="D34" s="352" t="s">
        <v>198</v>
      </c>
      <c r="E34" s="308">
        <v>0</v>
      </c>
      <c r="F34" s="263">
        <v>0</v>
      </c>
      <c r="G34" s="263">
        <v>0</v>
      </c>
      <c r="H34" s="263">
        <v>0</v>
      </c>
      <c r="I34" s="263">
        <v>0</v>
      </c>
      <c r="J34" s="310">
        <f t="shared" si="0"/>
        <v>0</v>
      </c>
    </row>
    <row r="35" spans="2:10">
      <c r="B35" s="445"/>
      <c r="C35" s="353" t="s">
        <v>203</v>
      </c>
      <c r="D35" s="351"/>
      <c r="E35" s="304">
        <f t="shared" ref="E35:J35" si="8">SUBTOTAL(9,E32:E34)</f>
        <v>131.95600000000002</v>
      </c>
      <c r="F35" s="304">
        <f t="shared" si="8"/>
        <v>549.01599999999996</v>
      </c>
      <c r="G35" s="304">
        <f t="shared" si="8"/>
        <v>230.91499999999999</v>
      </c>
      <c r="H35" s="304">
        <f t="shared" si="8"/>
        <v>439.65300000000002</v>
      </c>
      <c r="I35" s="304">
        <f t="shared" si="8"/>
        <v>512.92999999999995</v>
      </c>
      <c r="J35" s="306">
        <f t="shared" si="8"/>
        <v>1864.47</v>
      </c>
    </row>
    <row r="36" spans="2:10">
      <c r="B36" s="445"/>
      <c r="C36" s="457" t="s">
        <v>204</v>
      </c>
      <c r="D36" s="352" t="s">
        <v>196</v>
      </c>
      <c r="E36" s="308">
        <v>59.347000000000001</v>
      </c>
      <c r="F36" s="263">
        <v>16.361000000000001</v>
      </c>
      <c r="G36" s="263">
        <v>48.597999999999999</v>
      </c>
      <c r="H36" s="263">
        <v>5.944</v>
      </c>
      <c r="I36" s="263">
        <v>331.21699999999998</v>
      </c>
      <c r="J36" s="310">
        <f t="shared" si="0"/>
        <v>461.46699999999998</v>
      </c>
    </row>
    <row r="37" spans="2:10">
      <c r="B37" s="445"/>
      <c r="C37" s="449"/>
      <c r="D37" s="352" t="s">
        <v>197</v>
      </c>
      <c r="E37" s="308">
        <v>11.257</v>
      </c>
      <c r="F37" s="263">
        <v>2.0659999999999998</v>
      </c>
      <c r="G37" s="263">
        <v>0</v>
      </c>
      <c r="H37" s="263">
        <v>0</v>
      </c>
      <c r="I37" s="263">
        <v>99.328999999999994</v>
      </c>
      <c r="J37" s="310">
        <f t="shared" si="0"/>
        <v>112.65199999999999</v>
      </c>
    </row>
    <row r="38" spans="2:10">
      <c r="B38" s="445"/>
      <c r="C38" s="458"/>
      <c r="D38" s="352" t="s">
        <v>198</v>
      </c>
      <c r="E38" s="308">
        <v>0</v>
      </c>
      <c r="F38" s="263">
        <v>0</v>
      </c>
      <c r="G38" s="263">
        <v>0</v>
      </c>
      <c r="H38" s="263">
        <v>0.56299999999999994</v>
      </c>
      <c r="I38" s="263">
        <v>0</v>
      </c>
      <c r="J38" s="310">
        <f t="shared" si="0"/>
        <v>0.56299999999999994</v>
      </c>
    </row>
    <row r="39" spans="2:10">
      <c r="B39" s="445"/>
      <c r="C39" s="321" t="s">
        <v>205</v>
      </c>
      <c r="D39" s="351"/>
      <c r="E39" s="318">
        <f t="shared" ref="E39:J39" si="9">SUBTOTAL(9,E36:E38)</f>
        <v>70.603999999999999</v>
      </c>
      <c r="F39" s="318">
        <f t="shared" si="9"/>
        <v>18.427</v>
      </c>
      <c r="G39" s="318">
        <f t="shared" si="9"/>
        <v>48.597999999999999</v>
      </c>
      <c r="H39" s="318">
        <f t="shared" si="9"/>
        <v>6.5069999999999997</v>
      </c>
      <c r="I39" s="318">
        <f t="shared" si="9"/>
        <v>430.54599999999999</v>
      </c>
      <c r="J39" s="320">
        <f t="shared" si="9"/>
        <v>574.6819999999999</v>
      </c>
    </row>
    <row r="40" spans="2:10" ht="24.75" customHeight="1">
      <c r="B40" s="120" t="s">
        <v>114</v>
      </c>
      <c r="C40" s="160"/>
      <c r="D40" s="255"/>
      <c r="E40" s="59">
        <f t="shared" ref="E40:J40" si="10">SUBTOTAL(9,E24:E38)</f>
        <v>1275.5250000000001</v>
      </c>
      <c r="F40" s="59">
        <f t="shared" si="10"/>
        <v>1410.319</v>
      </c>
      <c r="G40" s="59">
        <f t="shared" si="10"/>
        <v>891.21699999999987</v>
      </c>
      <c r="H40" s="59">
        <f t="shared" si="10"/>
        <v>1748.8390000000002</v>
      </c>
      <c r="I40" s="59">
        <f t="shared" si="10"/>
        <v>2459.5250000000001</v>
      </c>
      <c r="J40" s="83">
        <f t="shared" si="10"/>
        <v>7785.4249999999993</v>
      </c>
    </row>
    <row r="41" spans="2:10">
      <c r="B41" s="444" t="s">
        <v>115</v>
      </c>
      <c r="C41" s="448" t="s">
        <v>198</v>
      </c>
      <c r="D41" s="253" t="s">
        <v>196</v>
      </c>
      <c r="E41" s="154">
        <v>40.74679962851107</v>
      </c>
      <c r="F41" s="155">
        <v>28.422399719238282</v>
      </c>
      <c r="G41" s="155">
        <v>5.583839975833893</v>
      </c>
      <c r="H41" s="155">
        <v>16.493390187740324</v>
      </c>
      <c r="I41" s="155">
        <v>0</v>
      </c>
      <c r="J41" s="157">
        <f t="shared" si="0"/>
        <v>91.246429511323583</v>
      </c>
    </row>
    <row r="42" spans="2:10">
      <c r="B42" s="445"/>
      <c r="C42" s="448"/>
      <c r="D42" s="253" t="s">
        <v>197</v>
      </c>
      <c r="E42" s="154">
        <v>149.39003862565755</v>
      </c>
      <c r="F42" s="155">
        <v>265.24376410087945</v>
      </c>
      <c r="G42" s="155">
        <v>82.009999759852889</v>
      </c>
      <c r="H42" s="155">
        <v>21.026839948266744</v>
      </c>
      <c r="I42" s="155">
        <v>0</v>
      </c>
      <c r="J42" s="157">
        <f t="shared" si="0"/>
        <v>517.67064243465666</v>
      </c>
    </row>
    <row r="43" spans="2:10">
      <c r="B43" s="445"/>
      <c r="C43" s="448"/>
      <c r="D43" s="253" t="s">
        <v>198</v>
      </c>
      <c r="E43" s="154">
        <v>46.734779955506326</v>
      </c>
      <c r="F43" s="155">
        <v>3.5510000610351562</v>
      </c>
      <c r="G43" s="155">
        <v>3.5380001068115237E-2</v>
      </c>
      <c r="H43" s="155">
        <v>134.95540076978506</v>
      </c>
      <c r="I43" s="155">
        <v>0</v>
      </c>
      <c r="J43" s="157">
        <f t="shared" si="0"/>
        <v>185.27656078739466</v>
      </c>
    </row>
    <row r="44" spans="2:10">
      <c r="B44" s="445"/>
      <c r="C44" s="354" t="s">
        <v>206</v>
      </c>
      <c r="D44" s="351"/>
      <c r="E44" s="304">
        <f t="shared" ref="E44:J44" si="11">SUBTOTAL(9,E41:E43)</f>
        <v>236.87161820967495</v>
      </c>
      <c r="F44" s="304">
        <f t="shared" si="11"/>
        <v>297.21716388115289</v>
      </c>
      <c r="G44" s="304">
        <f t="shared" si="11"/>
        <v>87.629219736754905</v>
      </c>
      <c r="H44" s="304">
        <f t="shared" si="11"/>
        <v>172.47563090579212</v>
      </c>
      <c r="I44" s="304">
        <f t="shared" si="11"/>
        <v>0</v>
      </c>
      <c r="J44" s="306">
        <f t="shared" si="11"/>
        <v>794.1936327333749</v>
      </c>
    </row>
    <row r="45" spans="2:10">
      <c r="B45" s="445"/>
      <c r="C45" s="449" t="s">
        <v>200</v>
      </c>
      <c r="D45" s="352" t="s">
        <v>196</v>
      </c>
      <c r="E45" s="308">
        <v>211.43463022851944</v>
      </c>
      <c r="F45" s="263">
        <v>67.470810248851777</v>
      </c>
      <c r="G45" s="263">
        <v>25.039239898290486</v>
      </c>
      <c r="H45" s="263">
        <v>360.66097804656624</v>
      </c>
      <c r="I45" s="263">
        <v>270.83909141409396</v>
      </c>
      <c r="J45" s="310">
        <f t="shared" si="0"/>
        <v>935.44474983632176</v>
      </c>
    </row>
    <row r="46" spans="2:10">
      <c r="B46" s="445"/>
      <c r="C46" s="449"/>
      <c r="D46" s="352" t="s">
        <v>197</v>
      </c>
      <c r="E46" s="308">
        <v>152.73379977322369</v>
      </c>
      <c r="F46" s="263">
        <v>243.60704985893517</v>
      </c>
      <c r="G46" s="263">
        <v>326.66847136080264</v>
      </c>
      <c r="H46" s="263">
        <v>687.50892046093941</v>
      </c>
      <c r="I46" s="263">
        <v>768.57460959616117</v>
      </c>
      <c r="J46" s="310">
        <f t="shared" si="0"/>
        <v>2179.0928510500621</v>
      </c>
    </row>
    <row r="47" spans="2:10">
      <c r="B47" s="445"/>
      <c r="C47" s="449"/>
      <c r="D47" s="352" t="s">
        <v>198</v>
      </c>
      <c r="E47" s="308">
        <v>30.068769635871053</v>
      </c>
      <c r="F47" s="263">
        <v>2.5795099651217459</v>
      </c>
      <c r="G47" s="263">
        <v>0.7365000008903444</v>
      </c>
      <c r="H47" s="263">
        <v>6.5976898812837899</v>
      </c>
      <c r="I47" s="263">
        <v>14.057689642176031</v>
      </c>
      <c r="J47" s="310">
        <f t="shared" si="0"/>
        <v>54.040159125342967</v>
      </c>
    </row>
    <row r="48" spans="2:10">
      <c r="B48" s="445"/>
      <c r="C48" s="311" t="s">
        <v>201</v>
      </c>
      <c r="D48" s="351"/>
      <c r="E48" s="304">
        <f t="shared" ref="E48:J48" si="12">SUBTOTAL(9,E45:E47)</f>
        <v>394.23719963761414</v>
      </c>
      <c r="F48" s="304">
        <f t="shared" si="12"/>
        <v>313.65737007290869</v>
      </c>
      <c r="G48" s="304">
        <f t="shared" si="12"/>
        <v>352.44421125998343</v>
      </c>
      <c r="H48" s="304">
        <f t="shared" si="12"/>
        <v>1054.7675883887894</v>
      </c>
      <c r="I48" s="304">
        <f t="shared" si="12"/>
        <v>1053.4713906524312</v>
      </c>
      <c r="J48" s="306">
        <f t="shared" si="12"/>
        <v>3168.5777600117272</v>
      </c>
    </row>
    <row r="49" spans="2:10">
      <c r="B49" s="445"/>
      <c r="C49" s="460" t="s">
        <v>202</v>
      </c>
      <c r="D49" s="352" t="s">
        <v>196</v>
      </c>
      <c r="E49" s="308">
        <v>512.09389941406255</v>
      </c>
      <c r="F49" s="263">
        <v>909.18468359375004</v>
      </c>
      <c r="G49" s="263">
        <v>130.25456005859374</v>
      </c>
      <c r="H49" s="263">
        <v>175.42362048339845</v>
      </c>
      <c r="I49" s="263">
        <v>189.565</v>
      </c>
      <c r="J49" s="310">
        <f t="shared" si="0"/>
        <v>1916.521763549805</v>
      </c>
    </row>
    <row r="50" spans="2:10">
      <c r="B50" s="445"/>
      <c r="C50" s="460"/>
      <c r="D50" s="352" t="s">
        <v>197</v>
      </c>
      <c r="E50" s="308">
        <v>0</v>
      </c>
      <c r="F50" s="263">
        <v>0</v>
      </c>
      <c r="G50" s="263">
        <v>0</v>
      </c>
      <c r="H50" s="263">
        <v>25.218900024414062</v>
      </c>
      <c r="I50" s="263">
        <v>280.53399999999999</v>
      </c>
      <c r="J50" s="310">
        <f t="shared" si="0"/>
        <v>305.75290002441403</v>
      </c>
    </row>
    <row r="51" spans="2:10">
      <c r="B51" s="445"/>
      <c r="C51" s="460"/>
      <c r="D51" s="352" t="s">
        <v>198</v>
      </c>
      <c r="E51" s="308">
        <v>0</v>
      </c>
      <c r="F51" s="263">
        <v>0</v>
      </c>
      <c r="G51" s="263">
        <v>0</v>
      </c>
      <c r="H51" s="263">
        <v>0</v>
      </c>
      <c r="I51" s="263">
        <v>0</v>
      </c>
      <c r="J51" s="310">
        <f t="shared" si="0"/>
        <v>0</v>
      </c>
    </row>
    <row r="52" spans="2:10">
      <c r="B52" s="445"/>
      <c r="C52" s="353" t="s">
        <v>203</v>
      </c>
      <c r="D52" s="351"/>
      <c r="E52" s="304">
        <f t="shared" ref="E52:J52" si="13">SUBTOTAL(9,E49:E51)</f>
        <v>512.09389941406255</v>
      </c>
      <c r="F52" s="304">
        <f t="shared" si="13"/>
        <v>909.18468359375004</v>
      </c>
      <c r="G52" s="304">
        <f t="shared" si="13"/>
        <v>130.25456005859374</v>
      </c>
      <c r="H52" s="304">
        <f t="shared" si="13"/>
        <v>200.64252050781252</v>
      </c>
      <c r="I52" s="304">
        <f t="shared" si="13"/>
        <v>470.09899999999999</v>
      </c>
      <c r="J52" s="306">
        <f t="shared" si="13"/>
        <v>2222.2746635742192</v>
      </c>
    </row>
    <row r="53" spans="2:10">
      <c r="B53" s="445"/>
      <c r="C53" s="449" t="s">
        <v>204</v>
      </c>
      <c r="D53" s="352" t="s">
        <v>196</v>
      </c>
      <c r="E53" s="308">
        <v>18.422140012264251</v>
      </c>
      <c r="F53" s="263">
        <v>3.4771999511718752</v>
      </c>
      <c r="G53" s="263">
        <v>0</v>
      </c>
      <c r="H53" s="263">
        <v>1.0375400390625</v>
      </c>
      <c r="I53" s="263">
        <v>6.1197700195312503</v>
      </c>
      <c r="J53" s="310">
        <f t="shared" si="0"/>
        <v>29.056650022029878</v>
      </c>
    </row>
    <row r="54" spans="2:10">
      <c r="B54" s="445"/>
      <c r="C54" s="449"/>
      <c r="D54" s="352" t="s">
        <v>197</v>
      </c>
      <c r="E54" s="308">
        <v>15.831407711505889</v>
      </c>
      <c r="F54" s="263">
        <v>10.634</v>
      </c>
      <c r="G54" s="263">
        <v>36.112349792480465</v>
      </c>
      <c r="H54" s="263">
        <v>0</v>
      </c>
      <c r="I54" s="263">
        <v>153.30516009521483</v>
      </c>
      <c r="J54" s="310">
        <f t="shared" si="0"/>
        <v>215.88291759920119</v>
      </c>
    </row>
    <row r="55" spans="2:10">
      <c r="B55" s="445"/>
      <c r="C55" s="458"/>
      <c r="D55" s="355" t="s">
        <v>198</v>
      </c>
      <c r="E55" s="335">
        <v>0</v>
      </c>
      <c r="F55" s="336">
        <v>0</v>
      </c>
      <c r="G55" s="336">
        <v>0</v>
      </c>
      <c r="H55" s="336">
        <v>0</v>
      </c>
      <c r="I55" s="336">
        <v>0</v>
      </c>
      <c r="J55" s="356">
        <f t="shared" si="0"/>
        <v>0</v>
      </c>
    </row>
    <row r="56" spans="2:10">
      <c r="B56" s="445"/>
      <c r="C56" s="311" t="s">
        <v>205</v>
      </c>
      <c r="D56" s="351"/>
      <c r="E56" s="263">
        <f t="shared" ref="E56:J56" si="14">SUBTOTAL(9,E53:E55)</f>
        <v>34.25354772377014</v>
      </c>
      <c r="F56" s="263">
        <f t="shared" si="14"/>
        <v>14.111199951171876</v>
      </c>
      <c r="G56" s="263">
        <f t="shared" si="14"/>
        <v>36.112349792480465</v>
      </c>
      <c r="H56" s="263">
        <f t="shared" si="14"/>
        <v>1.0375400390625</v>
      </c>
      <c r="I56" s="263">
        <f t="shared" si="14"/>
        <v>159.42493011474608</v>
      </c>
      <c r="J56" s="310">
        <f t="shared" si="14"/>
        <v>244.93956762123108</v>
      </c>
    </row>
    <row r="57" spans="2:10" ht="27" customHeight="1">
      <c r="B57" s="120" t="s">
        <v>116</v>
      </c>
      <c r="C57" s="160"/>
      <c r="D57" s="256"/>
      <c r="E57" s="59">
        <f t="shared" ref="E57:J57" si="15">SUBTOTAL(9,E41:E55)</f>
        <v>1177.4562649851216</v>
      </c>
      <c r="F57" s="59">
        <f t="shared" si="15"/>
        <v>1534.1704174989834</v>
      </c>
      <c r="G57" s="59">
        <f t="shared" si="15"/>
        <v>606.44034084781254</v>
      </c>
      <c r="H57" s="59">
        <f t="shared" si="15"/>
        <v>1428.9232798414566</v>
      </c>
      <c r="I57" s="59">
        <f t="shared" si="15"/>
        <v>1682.9953207671774</v>
      </c>
      <c r="J57" s="83">
        <f t="shared" si="15"/>
        <v>6429.9856239405526</v>
      </c>
    </row>
    <row r="58" spans="2:10">
      <c r="B58" s="444">
        <v>2005</v>
      </c>
      <c r="C58" s="447" t="s">
        <v>198</v>
      </c>
      <c r="D58" s="249" t="s">
        <v>196</v>
      </c>
      <c r="E58" s="257">
        <v>0</v>
      </c>
      <c r="F58" s="257">
        <v>0</v>
      </c>
      <c r="G58" s="257">
        <v>0</v>
      </c>
      <c r="H58" s="257">
        <f>38.099998474121/1000</f>
        <v>3.8099998474121002E-2</v>
      </c>
      <c r="I58" s="258">
        <v>0</v>
      </c>
      <c r="J58" s="157">
        <f>SUM(E58:I58)</f>
        <v>3.8099998474121002E-2</v>
      </c>
    </row>
    <row r="59" spans="2:10">
      <c r="B59" s="445"/>
      <c r="C59" s="448"/>
      <c r="D59" s="251" t="s">
        <v>197</v>
      </c>
      <c r="E59" s="257">
        <v>0</v>
      </c>
      <c r="F59" s="257">
        <v>0</v>
      </c>
      <c r="G59" s="257">
        <v>0</v>
      </c>
      <c r="H59" s="257">
        <f>1024.27000761032/1000</f>
        <v>1.0242700076103199</v>
      </c>
      <c r="I59" s="257">
        <v>0</v>
      </c>
      <c r="J59" s="157">
        <f>SUM(E59:I59)</f>
        <v>1.0242700076103199</v>
      </c>
    </row>
    <row r="60" spans="2:10">
      <c r="B60" s="445"/>
      <c r="C60" s="448"/>
      <c r="D60" s="252" t="s">
        <v>198</v>
      </c>
      <c r="E60" s="257">
        <v>0</v>
      </c>
      <c r="F60" s="257">
        <v>0</v>
      </c>
      <c r="G60" s="257">
        <v>0</v>
      </c>
      <c r="H60" s="257">
        <f>100775.369399115/1000</f>
        <v>100.77536939911501</v>
      </c>
      <c r="I60" s="257">
        <v>0</v>
      </c>
      <c r="J60" s="157">
        <f>SUM(E60:I60)</f>
        <v>100.77536939911501</v>
      </c>
    </row>
    <row r="61" spans="2:10">
      <c r="B61" s="445"/>
      <c r="C61" s="354" t="s">
        <v>206</v>
      </c>
      <c r="D61" s="351"/>
      <c r="E61" s="304">
        <f t="shared" ref="E61:J61" si="16">SUBTOTAL(9,E58:E60)</f>
        <v>0</v>
      </c>
      <c r="F61" s="304">
        <f t="shared" si="16"/>
        <v>0</v>
      </c>
      <c r="G61" s="304">
        <f t="shared" si="16"/>
        <v>0</v>
      </c>
      <c r="H61" s="304">
        <f t="shared" si="16"/>
        <v>101.83773940519944</v>
      </c>
      <c r="I61" s="304">
        <f t="shared" si="16"/>
        <v>0</v>
      </c>
      <c r="J61" s="306">
        <f t="shared" si="16"/>
        <v>101.83773940519944</v>
      </c>
    </row>
    <row r="62" spans="2:10">
      <c r="B62" s="445"/>
      <c r="C62" s="449" t="s">
        <v>200</v>
      </c>
      <c r="D62" s="346" t="s">
        <v>196</v>
      </c>
      <c r="E62" s="357">
        <f>458639.230384126/1000</f>
        <v>458.63923038412599</v>
      </c>
      <c r="F62" s="357">
        <f>546281.293993711/1000</f>
        <v>546.28129399371096</v>
      </c>
      <c r="G62" s="357">
        <f>13674.2922925464/1000</f>
        <v>13.674292292546401</v>
      </c>
      <c r="H62" s="357">
        <f>431292.297761768/1000</f>
        <v>431.292297761768</v>
      </c>
      <c r="I62" s="357">
        <f>198652.591249108/1000</f>
        <v>198.65259124910799</v>
      </c>
      <c r="J62" s="320">
        <f>SUM(E62:I62)</f>
        <v>1648.5397056812592</v>
      </c>
    </row>
    <row r="63" spans="2:10">
      <c r="B63" s="445"/>
      <c r="C63" s="449"/>
      <c r="D63" s="348" t="s">
        <v>197</v>
      </c>
      <c r="E63" s="357">
        <f>318512.428315222/1000</f>
        <v>318.512428315222</v>
      </c>
      <c r="F63" s="357">
        <f>490582.787241012/1000</f>
        <v>490.582787241012</v>
      </c>
      <c r="G63" s="357">
        <f>333910.641129553/1000</f>
        <v>333.91064112955303</v>
      </c>
      <c r="H63" s="357">
        <f>1006068.46176085/1000</f>
        <v>1006.06846176085</v>
      </c>
      <c r="I63" s="357">
        <f>690141.728089776/1000</f>
        <v>690.14172808977605</v>
      </c>
      <c r="J63" s="310">
        <f>SUM(E63:I63)</f>
        <v>2839.2160465364132</v>
      </c>
    </row>
    <row r="64" spans="2:10">
      <c r="B64" s="445"/>
      <c r="C64" s="449"/>
      <c r="D64" s="349" t="s">
        <v>198</v>
      </c>
      <c r="E64" s="357">
        <f>10964.8799701035/1000</f>
        <v>10.9648799701035</v>
      </c>
      <c r="F64" s="357">
        <f>3565.52001225948/1000</f>
        <v>3.5655200122594803</v>
      </c>
      <c r="G64" s="357">
        <f>2167.67002743482/1000</f>
        <v>2.16767002743482</v>
      </c>
      <c r="H64" s="357">
        <f>12018.9405796974/1000</f>
        <v>12.0189405796974</v>
      </c>
      <c r="I64" s="357">
        <f>85.8600006103515/1000</f>
        <v>8.5860000610351511E-2</v>
      </c>
      <c r="J64" s="356">
        <f>SUM(E64:I64)</f>
        <v>28.802870590105552</v>
      </c>
    </row>
    <row r="65" spans="2:10">
      <c r="B65" s="445"/>
      <c r="C65" s="311" t="s">
        <v>201</v>
      </c>
      <c r="D65" s="351"/>
      <c r="E65" s="304">
        <f t="shared" ref="E65:J65" si="17">SUBTOTAL(9,E62:E64)</f>
        <v>788.11653866945153</v>
      </c>
      <c r="F65" s="304">
        <f t="shared" si="17"/>
        <v>1040.4296012469824</v>
      </c>
      <c r="G65" s="304">
        <f t="shared" si="17"/>
        <v>349.75260344953426</v>
      </c>
      <c r="H65" s="304">
        <f t="shared" si="17"/>
        <v>1449.3797001023154</v>
      </c>
      <c r="I65" s="304">
        <f t="shared" si="17"/>
        <v>888.88017933949436</v>
      </c>
      <c r="J65" s="306">
        <f t="shared" si="17"/>
        <v>4516.5586228077773</v>
      </c>
    </row>
    <row r="66" spans="2:10">
      <c r="B66" s="445"/>
      <c r="C66" s="450" t="s">
        <v>202</v>
      </c>
      <c r="D66" s="346" t="s">
        <v>196</v>
      </c>
      <c r="E66" s="357">
        <f>344538/1000</f>
        <v>344.53800000000001</v>
      </c>
      <c r="F66" s="357">
        <f>587116.751953125/1000</f>
        <v>587.116751953125</v>
      </c>
      <c r="G66" s="357">
        <f>120089.033447266/1000</f>
        <v>120.089033447266</v>
      </c>
      <c r="H66" s="357">
        <f>174293.253417969/1000</f>
        <v>174.293253417969</v>
      </c>
      <c r="I66" s="357">
        <f>233886.899999976/1000</f>
        <v>233.88689999997601</v>
      </c>
      <c r="J66" s="310">
        <f>SUM(E66:I66)</f>
        <v>1459.9239388183362</v>
      </c>
    </row>
    <row r="67" spans="2:10">
      <c r="B67" s="445"/>
      <c r="C67" s="450"/>
      <c r="D67" s="348" t="s">
        <v>197</v>
      </c>
      <c r="E67" s="357">
        <v>0</v>
      </c>
      <c r="F67" s="357">
        <v>0</v>
      </c>
      <c r="G67" s="357">
        <f>32794/1000</f>
        <v>32.793999999999997</v>
      </c>
      <c r="H67" s="357">
        <f>60666.66796875/1000</f>
        <v>60.666667968749998</v>
      </c>
      <c r="I67" s="357">
        <f>186.739997863769/1000</f>
        <v>0.18673999786376899</v>
      </c>
      <c r="J67" s="310">
        <f>SUM(E67:I67)</f>
        <v>93.647407966613756</v>
      </c>
    </row>
    <row r="68" spans="2:10">
      <c r="B68" s="445"/>
      <c r="C68" s="450"/>
      <c r="D68" s="349" t="s">
        <v>198</v>
      </c>
      <c r="E68" s="357">
        <v>0</v>
      </c>
      <c r="F68" s="357">
        <v>0</v>
      </c>
      <c r="G68" s="357">
        <v>0</v>
      </c>
      <c r="H68" s="357">
        <v>0</v>
      </c>
      <c r="I68" s="357">
        <v>0</v>
      </c>
      <c r="J68" s="310">
        <f>SUM(E68:I68)</f>
        <v>0</v>
      </c>
    </row>
    <row r="69" spans="2:10">
      <c r="B69" s="445"/>
      <c r="C69" s="353" t="s">
        <v>203</v>
      </c>
      <c r="D69" s="351"/>
      <c r="E69" s="304">
        <f t="shared" ref="E69:J69" si="18">SUBTOTAL(9,E66:E68)</f>
        <v>344.53800000000001</v>
      </c>
      <c r="F69" s="304">
        <f t="shared" si="18"/>
        <v>587.116751953125</v>
      </c>
      <c r="G69" s="304">
        <f t="shared" si="18"/>
        <v>152.883033447266</v>
      </c>
      <c r="H69" s="304">
        <f t="shared" si="18"/>
        <v>234.959921386719</v>
      </c>
      <c r="I69" s="304">
        <f t="shared" si="18"/>
        <v>234.07363999783979</v>
      </c>
      <c r="J69" s="306">
        <f t="shared" si="18"/>
        <v>1553.57134678495</v>
      </c>
    </row>
    <row r="70" spans="2:10">
      <c r="B70" s="445"/>
      <c r="C70" s="451" t="s">
        <v>204</v>
      </c>
      <c r="D70" s="346" t="s">
        <v>196</v>
      </c>
      <c r="E70" s="357">
        <f>17849.2101026773/1000</f>
        <v>17.849210102677301</v>
      </c>
      <c r="F70" s="357">
        <f>47424.75/1000</f>
        <v>47.424750000000003</v>
      </c>
      <c r="G70" s="357">
        <v>0</v>
      </c>
      <c r="H70" s="357">
        <v>0</v>
      </c>
      <c r="I70" s="357">
        <f>4197.33999633789/1000</f>
        <v>4.1973399963378899</v>
      </c>
      <c r="J70" s="310">
        <f>SUM(E70:I70)</f>
        <v>69.471300099015195</v>
      </c>
    </row>
    <row r="71" spans="2:10">
      <c r="B71" s="445"/>
      <c r="C71" s="451"/>
      <c r="D71" s="348" t="s">
        <v>197</v>
      </c>
      <c r="E71" s="357">
        <f>17092.2772343158/1000</f>
        <v>17.092277234315798</v>
      </c>
      <c r="F71" s="357">
        <v>12.692</v>
      </c>
      <c r="G71" s="357">
        <f>17237.5234375/1000</f>
        <v>17.237523437499998</v>
      </c>
      <c r="H71" s="357">
        <v>0</v>
      </c>
      <c r="I71" s="357">
        <f>478482.980224609/1000</f>
        <v>478.48298022460904</v>
      </c>
      <c r="J71" s="310">
        <f>SUM(E71:I71)</f>
        <v>525.50478089642479</v>
      </c>
    </row>
    <row r="72" spans="2:10">
      <c r="B72" s="445"/>
      <c r="C72" s="452"/>
      <c r="D72" s="349" t="s">
        <v>198</v>
      </c>
      <c r="E72" s="357">
        <v>0</v>
      </c>
      <c r="F72" s="357">
        <v>0.315</v>
      </c>
      <c r="G72" s="357">
        <v>0</v>
      </c>
      <c r="H72" s="357">
        <v>0</v>
      </c>
      <c r="I72" s="357">
        <v>0</v>
      </c>
      <c r="J72" s="356">
        <f>SUM(E72:I72)</f>
        <v>0.315</v>
      </c>
    </row>
    <row r="73" spans="2:10">
      <c r="B73" s="446"/>
      <c r="C73" s="314" t="s">
        <v>205</v>
      </c>
      <c r="D73" s="351"/>
      <c r="E73" s="304">
        <f t="shared" ref="E73:J73" si="19">SUBTOTAL(9,E70:E72)</f>
        <v>34.941487336993099</v>
      </c>
      <c r="F73" s="304">
        <f t="shared" si="19"/>
        <v>60.431750000000001</v>
      </c>
      <c r="G73" s="304">
        <f t="shared" si="19"/>
        <v>17.237523437499998</v>
      </c>
      <c r="H73" s="304">
        <f t="shared" si="19"/>
        <v>0</v>
      </c>
      <c r="I73" s="304">
        <f t="shared" si="19"/>
        <v>482.68032022094695</v>
      </c>
      <c r="J73" s="306">
        <f t="shared" si="19"/>
        <v>595.2910809954401</v>
      </c>
    </row>
    <row r="74" spans="2:10" ht="25.5" customHeight="1">
      <c r="B74" s="120" t="s">
        <v>117</v>
      </c>
      <c r="C74" s="159"/>
      <c r="D74" s="256"/>
      <c r="E74" s="59">
        <f t="shared" ref="E74:J74" si="20">SUBTOTAL(9,E58:E72)</f>
        <v>1167.5960260064446</v>
      </c>
      <c r="F74" s="59">
        <f t="shared" si="20"/>
        <v>1687.9781032001074</v>
      </c>
      <c r="G74" s="59">
        <f t="shared" si="20"/>
        <v>519.87316033430022</v>
      </c>
      <c r="H74" s="59">
        <f t="shared" si="20"/>
        <v>1786.177360894234</v>
      </c>
      <c r="I74" s="59">
        <f t="shared" si="20"/>
        <v>1605.634139558281</v>
      </c>
      <c r="J74" s="83">
        <f t="shared" si="20"/>
        <v>6767.258789993366</v>
      </c>
    </row>
    <row r="75" spans="2:10">
      <c r="B75" s="444">
        <v>2006</v>
      </c>
      <c r="C75" s="447" t="s">
        <v>198</v>
      </c>
      <c r="D75" s="249" t="s">
        <v>196</v>
      </c>
      <c r="E75" s="259">
        <v>0</v>
      </c>
      <c r="F75" s="259">
        <v>0</v>
      </c>
      <c r="G75" s="259">
        <v>0</v>
      </c>
      <c r="H75" s="260">
        <v>5.5840001106262201E-2</v>
      </c>
      <c r="I75" s="259">
        <v>0</v>
      </c>
      <c r="J75" s="157">
        <f>SUM(E75:I75)</f>
        <v>5.5840001106262201E-2</v>
      </c>
    </row>
    <row r="76" spans="2:10">
      <c r="B76" s="445"/>
      <c r="C76" s="448"/>
      <c r="D76" s="251" t="s">
        <v>197</v>
      </c>
      <c r="E76" s="259">
        <v>0</v>
      </c>
      <c r="F76" s="259">
        <v>0</v>
      </c>
      <c r="G76" s="259">
        <v>0</v>
      </c>
      <c r="H76" s="260">
        <v>4.4230001211166298E-2</v>
      </c>
      <c r="I76" s="259">
        <v>0</v>
      </c>
      <c r="J76" s="157">
        <f>SUM(E76:I76)</f>
        <v>4.4230001211166298E-2</v>
      </c>
    </row>
    <row r="77" spans="2:10">
      <c r="B77" s="445"/>
      <c r="C77" s="448"/>
      <c r="D77" s="252" t="s">
        <v>198</v>
      </c>
      <c r="E77" s="259">
        <v>0</v>
      </c>
      <c r="F77" s="259">
        <v>0</v>
      </c>
      <c r="G77" s="259">
        <v>0</v>
      </c>
      <c r="H77" s="259">
        <v>108.68696993243699</v>
      </c>
      <c r="I77" s="259">
        <v>0</v>
      </c>
      <c r="J77" s="157">
        <f>SUM(E77:I77)</f>
        <v>108.68696993243699</v>
      </c>
    </row>
    <row r="78" spans="2:10">
      <c r="B78" s="445"/>
      <c r="C78" s="354" t="s">
        <v>206</v>
      </c>
      <c r="D78" s="351"/>
      <c r="E78" s="304">
        <f t="shared" ref="E78:J78" si="21">SUBTOTAL(9,E75:E77)</f>
        <v>0</v>
      </c>
      <c r="F78" s="304">
        <f t="shared" si="21"/>
        <v>0</v>
      </c>
      <c r="G78" s="304">
        <f t="shared" si="21"/>
        <v>0</v>
      </c>
      <c r="H78" s="304">
        <f t="shared" si="21"/>
        <v>108.78703993475442</v>
      </c>
      <c r="I78" s="304">
        <f t="shared" si="21"/>
        <v>0</v>
      </c>
      <c r="J78" s="306">
        <f t="shared" si="21"/>
        <v>108.78703993475442</v>
      </c>
    </row>
    <row r="79" spans="2:10">
      <c r="B79" s="445"/>
      <c r="C79" s="449" t="s">
        <v>200</v>
      </c>
      <c r="D79" s="346" t="s">
        <v>196</v>
      </c>
      <c r="E79" s="358">
        <v>261.766949647903</v>
      </c>
      <c r="F79" s="359">
        <v>444.58153353547999</v>
      </c>
      <c r="G79" s="359">
        <v>26.0506700037717</v>
      </c>
      <c r="H79" s="359">
        <v>311.24789371007699</v>
      </c>
      <c r="I79" s="359">
        <v>213.66939018303199</v>
      </c>
      <c r="J79" s="320">
        <f>SUM(E79:I79)</f>
        <v>1257.3164370802638</v>
      </c>
    </row>
    <row r="80" spans="2:10">
      <c r="B80" s="445"/>
      <c r="C80" s="449"/>
      <c r="D80" s="348" t="s">
        <v>197</v>
      </c>
      <c r="E80" s="360">
        <v>347.891767924801</v>
      </c>
      <c r="F80" s="347">
        <v>889.77927776193599</v>
      </c>
      <c r="G80" s="347">
        <v>361.64991833360102</v>
      </c>
      <c r="H80" s="347">
        <v>739.55407012639205</v>
      </c>
      <c r="I80" s="347">
        <v>776.61552939172805</v>
      </c>
      <c r="J80" s="310">
        <f>SUM(E80:I80)</f>
        <v>3115.4905635384584</v>
      </c>
    </row>
    <row r="81" spans="2:10">
      <c r="B81" s="445"/>
      <c r="C81" s="449"/>
      <c r="D81" s="349" t="s">
        <v>198</v>
      </c>
      <c r="E81" s="361">
        <v>3.7446800270080498</v>
      </c>
      <c r="F81" s="362">
        <v>2.3016399841308499</v>
      </c>
      <c r="G81" s="363">
        <v>0.13119100105762399</v>
      </c>
      <c r="H81" s="362">
        <v>0</v>
      </c>
      <c r="I81" s="362">
        <v>0</v>
      </c>
      <c r="J81" s="356">
        <f>SUM(E81:I81)</f>
        <v>6.1775110121965229</v>
      </c>
    </row>
    <row r="82" spans="2:10">
      <c r="B82" s="445"/>
      <c r="C82" s="311" t="s">
        <v>201</v>
      </c>
      <c r="D82" s="351"/>
      <c r="E82" s="304">
        <f t="shared" ref="E82:J82" si="22">SUBTOTAL(9,E79:E81)</f>
        <v>613.40339759971209</v>
      </c>
      <c r="F82" s="304">
        <f t="shared" si="22"/>
        <v>1336.6624512815467</v>
      </c>
      <c r="G82" s="304">
        <f t="shared" si="22"/>
        <v>387.83177933843035</v>
      </c>
      <c r="H82" s="304">
        <f t="shared" si="22"/>
        <v>1050.801963836469</v>
      </c>
      <c r="I82" s="304">
        <f t="shared" si="22"/>
        <v>990.28491957476001</v>
      </c>
      <c r="J82" s="306">
        <f t="shared" si="22"/>
        <v>4378.9845116309189</v>
      </c>
    </row>
    <row r="83" spans="2:10">
      <c r="B83" s="445"/>
      <c r="C83" s="450" t="s">
        <v>202</v>
      </c>
      <c r="D83" s="346" t="s">
        <v>196</v>
      </c>
      <c r="E83" s="358">
        <v>531.66200000000003</v>
      </c>
      <c r="F83" s="359">
        <v>386.22934765625001</v>
      </c>
      <c r="G83" s="359">
        <v>164.635913503647</v>
      </c>
      <c r="H83" s="359">
        <v>328.59215173244502</v>
      </c>
      <c r="I83" s="364">
        <v>265.76900000000001</v>
      </c>
      <c r="J83" s="310">
        <f>SUM(E83:I83)</f>
        <v>1676.8884128923421</v>
      </c>
    </row>
    <row r="84" spans="2:10">
      <c r="B84" s="445"/>
      <c r="C84" s="450"/>
      <c r="D84" s="348" t="s">
        <v>197</v>
      </c>
      <c r="E84" s="360">
        <v>10.926</v>
      </c>
      <c r="F84" s="347">
        <v>104.072</v>
      </c>
      <c r="G84" s="347">
        <v>73.27</v>
      </c>
      <c r="H84" s="347">
        <v>6.1681999144554096</v>
      </c>
      <c r="I84" s="365">
        <v>0</v>
      </c>
      <c r="J84" s="310">
        <f>SUM(E84:I84)</f>
        <v>194.43619991445541</v>
      </c>
    </row>
    <row r="85" spans="2:10">
      <c r="B85" s="445"/>
      <c r="C85" s="450"/>
      <c r="D85" s="349" t="s">
        <v>198</v>
      </c>
      <c r="E85" s="361">
        <v>0</v>
      </c>
      <c r="F85" s="362">
        <v>0</v>
      </c>
      <c r="G85" s="362">
        <v>0</v>
      </c>
      <c r="H85" s="362">
        <v>0</v>
      </c>
      <c r="I85" s="366">
        <v>0</v>
      </c>
      <c r="J85" s="310">
        <f>SUM(E85:I85)</f>
        <v>0</v>
      </c>
    </row>
    <row r="86" spans="2:10">
      <c r="B86" s="445"/>
      <c r="C86" s="353" t="s">
        <v>203</v>
      </c>
      <c r="D86" s="351"/>
      <c r="E86" s="304">
        <f t="shared" ref="E86:J86" si="23">SUBTOTAL(9,E83:E85)</f>
        <v>542.58800000000008</v>
      </c>
      <c r="F86" s="304">
        <f t="shared" si="23"/>
        <v>490.30134765625002</v>
      </c>
      <c r="G86" s="304">
        <f t="shared" si="23"/>
        <v>237.90591350364701</v>
      </c>
      <c r="H86" s="304">
        <f t="shared" si="23"/>
        <v>334.7603516469004</v>
      </c>
      <c r="I86" s="304">
        <f t="shared" si="23"/>
        <v>265.76900000000001</v>
      </c>
      <c r="J86" s="306">
        <f t="shared" si="23"/>
        <v>1871.3246128067976</v>
      </c>
    </row>
    <row r="87" spans="2:10">
      <c r="B87" s="445"/>
      <c r="C87" s="451" t="s">
        <v>204</v>
      </c>
      <c r="D87" s="346" t="s">
        <v>196</v>
      </c>
      <c r="E87" s="347">
        <v>0.60419005584716701</v>
      </c>
      <c r="F87" s="347">
        <v>15.352</v>
      </c>
      <c r="G87" s="347">
        <v>0</v>
      </c>
      <c r="H87" s="347">
        <v>0</v>
      </c>
      <c r="I87" s="367">
        <v>0.39890000152587801</v>
      </c>
      <c r="J87" s="310">
        <f>SUM(E87:I87)</f>
        <v>16.355090057373047</v>
      </c>
    </row>
    <row r="88" spans="2:10">
      <c r="B88" s="445"/>
      <c r="C88" s="451"/>
      <c r="D88" s="348" t="s">
        <v>197</v>
      </c>
      <c r="E88" s="347">
        <v>23.1160521011352</v>
      </c>
      <c r="F88" s="347">
        <v>13.7692299852371</v>
      </c>
      <c r="G88" s="347">
        <v>13.988939941406199</v>
      </c>
      <c r="H88" s="347">
        <v>0</v>
      </c>
      <c r="I88" s="347">
        <v>549.60936962890605</v>
      </c>
      <c r="J88" s="310">
        <f>SUM(E88:I88)</f>
        <v>600.48359165668455</v>
      </c>
    </row>
    <row r="89" spans="2:10">
      <c r="B89" s="445"/>
      <c r="C89" s="452"/>
      <c r="D89" s="349" t="s">
        <v>198</v>
      </c>
      <c r="E89" s="347">
        <v>0</v>
      </c>
      <c r="F89" s="347">
        <v>0</v>
      </c>
      <c r="G89" s="347">
        <v>0</v>
      </c>
      <c r="H89" s="347">
        <v>0</v>
      </c>
      <c r="I89" s="347">
        <v>0</v>
      </c>
      <c r="J89" s="356">
        <f>SUM(E89:I89)</f>
        <v>0</v>
      </c>
    </row>
    <row r="90" spans="2:10">
      <c r="B90" s="446"/>
      <c r="C90" s="314" t="s">
        <v>205</v>
      </c>
      <c r="D90" s="351"/>
      <c r="E90" s="304">
        <f t="shared" ref="E90:J90" si="24">SUBTOTAL(9,E87:E89)</f>
        <v>23.720242156982366</v>
      </c>
      <c r="F90" s="304">
        <f t="shared" si="24"/>
        <v>29.1212299852371</v>
      </c>
      <c r="G90" s="304">
        <f t="shared" si="24"/>
        <v>13.988939941406199</v>
      </c>
      <c r="H90" s="304">
        <f t="shared" si="24"/>
        <v>0</v>
      </c>
      <c r="I90" s="304">
        <f t="shared" si="24"/>
        <v>550.00826963043198</v>
      </c>
      <c r="J90" s="306">
        <f t="shared" si="24"/>
        <v>616.83868171405766</v>
      </c>
    </row>
    <row r="91" spans="2:10" ht="27.75" customHeight="1">
      <c r="B91" s="120" t="s">
        <v>118</v>
      </c>
      <c r="C91" s="159"/>
      <c r="D91" s="256"/>
      <c r="E91" s="59">
        <f t="shared" ref="E91:J91" si="25">SUBTOTAL(9,E75:E89)</f>
        <v>1179.7116397566942</v>
      </c>
      <c r="F91" s="59">
        <f t="shared" si="25"/>
        <v>1856.0850289230339</v>
      </c>
      <c r="G91" s="59">
        <f t="shared" si="25"/>
        <v>639.72663278348352</v>
      </c>
      <c r="H91" s="59">
        <f t="shared" si="25"/>
        <v>1494.3493554181239</v>
      </c>
      <c r="I91" s="59">
        <f t="shared" si="25"/>
        <v>1806.062189205192</v>
      </c>
      <c r="J91" s="83">
        <f t="shared" si="25"/>
        <v>6975.9348460865276</v>
      </c>
    </row>
    <row r="92" spans="2:10">
      <c r="B92" s="444">
        <v>2007</v>
      </c>
      <c r="C92" s="447" t="s">
        <v>198</v>
      </c>
      <c r="D92" s="249" t="s">
        <v>196</v>
      </c>
      <c r="E92" s="259">
        <v>0</v>
      </c>
      <c r="F92" s="259">
        <v>0</v>
      </c>
      <c r="G92" s="259">
        <v>0</v>
      </c>
      <c r="H92" s="259">
        <v>0</v>
      </c>
      <c r="I92" s="259">
        <v>0</v>
      </c>
      <c r="J92" s="157">
        <f>SUM(E92:I92)</f>
        <v>0</v>
      </c>
    </row>
    <row r="93" spans="2:10">
      <c r="B93" s="445"/>
      <c r="C93" s="448"/>
      <c r="D93" s="251" t="s">
        <v>197</v>
      </c>
      <c r="E93" s="259">
        <v>0</v>
      </c>
      <c r="F93" s="259">
        <v>0</v>
      </c>
      <c r="G93" s="259">
        <v>0</v>
      </c>
      <c r="H93" s="259">
        <v>0</v>
      </c>
      <c r="I93" s="259">
        <v>0</v>
      </c>
      <c r="J93" s="157">
        <f t="shared" ref="J93:J106" si="26">SUM(E93:I93)</f>
        <v>0</v>
      </c>
    </row>
    <row r="94" spans="2:10">
      <c r="B94" s="445"/>
      <c r="C94" s="448"/>
      <c r="D94" s="252" t="s">
        <v>198</v>
      </c>
      <c r="E94" s="259">
        <v>0</v>
      </c>
      <c r="F94" s="259">
        <v>0</v>
      </c>
      <c r="G94" s="259">
        <v>0</v>
      </c>
      <c r="H94" s="259">
        <v>101.50768065742589</v>
      </c>
      <c r="I94" s="259">
        <v>0</v>
      </c>
      <c r="J94" s="157">
        <f t="shared" si="26"/>
        <v>101.50768065742589</v>
      </c>
    </row>
    <row r="95" spans="2:10">
      <c r="B95" s="445"/>
      <c r="C95" s="354" t="s">
        <v>206</v>
      </c>
      <c r="D95" s="368"/>
      <c r="E95" s="304">
        <f t="shared" ref="E95:J95" si="27">SUM(E92:E94)</f>
        <v>0</v>
      </c>
      <c r="F95" s="304">
        <f t="shared" si="27"/>
        <v>0</v>
      </c>
      <c r="G95" s="304">
        <f t="shared" si="27"/>
        <v>0</v>
      </c>
      <c r="H95" s="304">
        <f t="shared" si="27"/>
        <v>101.50768065742589</v>
      </c>
      <c r="I95" s="304">
        <f t="shared" si="27"/>
        <v>0</v>
      </c>
      <c r="J95" s="306">
        <f t="shared" si="27"/>
        <v>101.50768065742589</v>
      </c>
    </row>
    <row r="96" spans="2:10">
      <c r="B96" s="445"/>
      <c r="C96" s="449" t="s">
        <v>200</v>
      </c>
      <c r="D96" s="346" t="s">
        <v>196</v>
      </c>
      <c r="E96" s="347">
        <v>335.91796822077038</v>
      </c>
      <c r="F96" s="347">
        <v>506.89323247063157</v>
      </c>
      <c r="G96" s="347">
        <v>38.508299945294858</v>
      </c>
      <c r="H96" s="347">
        <v>144.80021642696857</v>
      </c>
      <c r="I96" s="347">
        <v>192.04117017805575</v>
      </c>
      <c r="J96" s="320">
        <f t="shared" si="26"/>
        <v>1218.1608872417212</v>
      </c>
    </row>
    <row r="97" spans="2:10">
      <c r="B97" s="445"/>
      <c r="C97" s="449"/>
      <c r="D97" s="348" t="s">
        <v>197</v>
      </c>
      <c r="E97" s="347">
        <v>513.8941380335018</v>
      </c>
      <c r="F97" s="347">
        <v>696.00539083397393</v>
      </c>
      <c r="G97" s="347">
        <v>234.18433040203155</v>
      </c>
      <c r="H97" s="347">
        <v>684.42864853736762</v>
      </c>
      <c r="I97" s="347">
        <v>536.80243267548087</v>
      </c>
      <c r="J97" s="310">
        <f t="shared" si="26"/>
        <v>2665.3149404823557</v>
      </c>
    </row>
    <row r="98" spans="2:10">
      <c r="B98" s="445"/>
      <c r="C98" s="449"/>
      <c r="D98" s="349" t="s">
        <v>198</v>
      </c>
      <c r="E98" s="347">
        <v>13.128370080646128</v>
      </c>
      <c r="F98" s="347">
        <v>3.1337200317382812</v>
      </c>
      <c r="G98" s="347">
        <v>0</v>
      </c>
      <c r="H98" s="347">
        <v>0</v>
      </c>
      <c r="I98" s="347">
        <v>0</v>
      </c>
      <c r="J98" s="356">
        <f t="shared" si="26"/>
        <v>16.26209011238441</v>
      </c>
    </row>
    <row r="99" spans="2:10">
      <c r="B99" s="445"/>
      <c r="C99" s="311" t="s">
        <v>201</v>
      </c>
      <c r="D99" s="368"/>
      <c r="E99" s="304">
        <f t="shared" ref="E99:J99" si="28">SUM(E96:E98)</f>
        <v>862.94047633491834</v>
      </c>
      <c r="F99" s="304">
        <f t="shared" si="28"/>
        <v>1206.0323433363437</v>
      </c>
      <c r="G99" s="304">
        <f t="shared" si="28"/>
        <v>272.69263034732643</v>
      </c>
      <c r="H99" s="304">
        <f t="shared" si="28"/>
        <v>829.22886496433625</v>
      </c>
      <c r="I99" s="304">
        <f t="shared" si="28"/>
        <v>728.84360285353659</v>
      </c>
      <c r="J99" s="306">
        <f t="shared" si="28"/>
        <v>3899.7379178364617</v>
      </c>
    </row>
    <row r="100" spans="2:10">
      <c r="B100" s="445"/>
      <c r="C100" s="450" t="s">
        <v>202</v>
      </c>
      <c r="D100" s="346" t="s">
        <v>196</v>
      </c>
      <c r="E100" s="347">
        <v>407.41899999999998</v>
      </c>
      <c r="F100" s="347">
        <v>267.20542006015779</v>
      </c>
      <c r="G100" s="347">
        <v>247.55408924961091</v>
      </c>
      <c r="H100" s="347">
        <v>442.92787499999997</v>
      </c>
      <c r="I100" s="347">
        <v>230.55600000000001</v>
      </c>
      <c r="J100" s="320">
        <f t="shared" si="26"/>
        <v>1595.6623843097686</v>
      </c>
    </row>
    <row r="101" spans="2:10">
      <c r="B101" s="445"/>
      <c r="C101" s="450"/>
      <c r="D101" s="348" t="s">
        <v>197</v>
      </c>
      <c r="E101" s="347">
        <v>1.4830000000000001</v>
      </c>
      <c r="F101" s="347">
        <v>45.027000000000001</v>
      </c>
      <c r="G101" s="347">
        <v>46.905000000000001</v>
      </c>
      <c r="H101" s="347">
        <v>0</v>
      </c>
      <c r="I101" s="347">
        <v>0</v>
      </c>
      <c r="J101" s="310">
        <f t="shared" si="26"/>
        <v>93.414999999999992</v>
      </c>
    </row>
    <row r="102" spans="2:10">
      <c r="B102" s="445"/>
      <c r="C102" s="450"/>
      <c r="D102" s="349" t="s">
        <v>198</v>
      </c>
      <c r="E102" s="347">
        <v>0</v>
      </c>
      <c r="F102" s="347">
        <v>0</v>
      </c>
      <c r="G102" s="347">
        <v>0</v>
      </c>
      <c r="H102" s="347">
        <v>0</v>
      </c>
      <c r="I102" s="347">
        <v>0</v>
      </c>
      <c r="J102" s="356">
        <f t="shared" si="26"/>
        <v>0</v>
      </c>
    </row>
    <row r="103" spans="2:10">
      <c r="B103" s="445"/>
      <c r="C103" s="353" t="s">
        <v>203</v>
      </c>
      <c r="D103" s="368"/>
      <c r="E103" s="304">
        <f t="shared" ref="E103:J103" si="29">SUM(E100:E102)</f>
        <v>408.90199999999999</v>
      </c>
      <c r="F103" s="304">
        <f t="shared" si="29"/>
        <v>312.23242006015778</v>
      </c>
      <c r="G103" s="304">
        <f t="shared" si="29"/>
        <v>294.45908924961088</v>
      </c>
      <c r="H103" s="304">
        <f t="shared" si="29"/>
        <v>442.92787499999997</v>
      </c>
      <c r="I103" s="304">
        <f t="shared" si="29"/>
        <v>230.55600000000001</v>
      </c>
      <c r="J103" s="306">
        <f t="shared" si="29"/>
        <v>1689.0773843097686</v>
      </c>
    </row>
    <row r="104" spans="2:10">
      <c r="B104" s="445"/>
      <c r="C104" s="451" t="s">
        <v>204</v>
      </c>
      <c r="D104" s="346" t="s">
        <v>196</v>
      </c>
      <c r="E104" s="347">
        <v>0.33100000000000002</v>
      </c>
      <c r="F104" s="347">
        <v>0</v>
      </c>
      <c r="G104" s="347">
        <v>4.2350000000000003</v>
      </c>
      <c r="H104" s="347">
        <v>0</v>
      </c>
      <c r="I104" s="347">
        <v>0</v>
      </c>
      <c r="J104" s="320">
        <f t="shared" si="26"/>
        <v>4.5660000000000007</v>
      </c>
    </row>
    <row r="105" spans="2:10">
      <c r="B105" s="445"/>
      <c r="C105" s="451"/>
      <c r="D105" s="348" t="s">
        <v>197</v>
      </c>
      <c r="E105" s="347">
        <v>7.3330000000000002</v>
      </c>
      <c r="F105" s="347">
        <v>13.606059997558594</v>
      </c>
      <c r="G105" s="347">
        <v>0</v>
      </c>
      <c r="H105" s="347">
        <v>0</v>
      </c>
      <c r="I105" s="347">
        <v>572.54046874999995</v>
      </c>
      <c r="J105" s="310">
        <f t="shared" si="26"/>
        <v>593.47952874755856</v>
      </c>
    </row>
    <row r="106" spans="2:10">
      <c r="B106" s="445"/>
      <c r="C106" s="452"/>
      <c r="D106" s="349" t="s">
        <v>198</v>
      </c>
      <c r="E106" s="347">
        <v>0</v>
      </c>
      <c r="F106" s="347">
        <v>0</v>
      </c>
      <c r="G106" s="347">
        <v>0</v>
      </c>
      <c r="H106" s="347">
        <v>0</v>
      </c>
      <c r="I106" s="347">
        <v>0</v>
      </c>
      <c r="J106" s="356">
        <f t="shared" si="26"/>
        <v>0</v>
      </c>
    </row>
    <row r="107" spans="2:10">
      <c r="B107" s="446"/>
      <c r="C107" s="314" t="s">
        <v>205</v>
      </c>
      <c r="D107" s="368"/>
      <c r="E107" s="304">
        <f t="shared" ref="E107:J107" si="30">SUM(E104:E106)</f>
        <v>7.6640000000000006</v>
      </c>
      <c r="F107" s="304">
        <f t="shared" si="30"/>
        <v>13.606059997558594</v>
      </c>
      <c r="G107" s="304">
        <f t="shared" si="30"/>
        <v>4.2350000000000003</v>
      </c>
      <c r="H107" s="304">
        <f t="shared" si="30"/>
        <v>0</v>
      </c>
      <c r="I107" s="304">
        <f t="shared" si="30"/>
        <v>572.54046874999995</v>
      </c>
      <c r="J107" s="306">
        <f t="shared" si="30"/>
        <v>598.04552874755859</v>
      </c>
    </row>
    <row r="108" spans="2:10" ht="24.75" customHeight="1">
      <c r="B108" s="120" t="s">
        <v>119</v>
      </c>
      <c r="C108" s="159"/>
      <c r="D108" s="256"/>
      <c r="E108" s="59">
        <f t="shared" ref="E108:J108" si="31">+E107+E103+E99+E95</f>
        <v>1279.5064763349183</v>
      </c>
      <c r="F108" s="59">
        <f t="shared" si="31"/>
        <v>1531.8708233940602</v>
      </c>
      <c r="G108" s="59">
        <f t="shared" si="31"/>
        <v>571.38671959693738</v>
      </c>
      <c r="H108" s="59">
        <f t="shared" si="31"/>
        <v>1373.6644206217622</v>
      </c>
      <c r="I108" s="59">
        <f t="shared" si="31"/>
        <v>1531.9400716035366</v>
      </c>
      <c r="J108" s="83">
        <f t="shared" si="31"/>
        <v>6288.3685115512153</v>
      </c>
    </row>
    <row r="109" spans="2:10">
      <c r="B109" s="444">
        <v>2008</v>
      </c>
      <c r="C109" s="447" t="s">
        <v>198</v>
      </c>
      <c r="D109" s="249" t="s">
        <v>196</v>
      </c>
      <c r="E109" s="259">
        <v>0</v>
      </c>
      <c r="F109" s="259">
        <v>0</v>
      </c>
      <c r="G109" s="259">
        <v>0</v>
      </c>
      <c r="H109" s="259">
        <v>0</v>
      </c>
      <c r="I109" s="259">
        <v>0</v>
      </c>
      <c r="J109" s="157">
        <f>SUM(E109:I109)</f>
        <v>0</v>
      </c>
    </row>
    <row r="110" spans="2:10">
      <c r="B110" s="445"/>
      <c r="C110" s="448"/>
      <c r="D110" s="251" t="s">
        <v>197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157">
        <f>SUM(E110:I110)</f>
        <v>0</v>
      </c>
    </row>
    <row r="111" spans="2:10">
      <c r="B111" s="445"/>
      <c r="C111" s="448"/>
      <c r="D111" s="252" t="s">
        <v>198</v>
      </c>
      <c r="E111" s="259">
        <v>0</v>
      </c>
      <c r="F111" s="259">
        <v>0</v>
      </c>
      <c r="G111" s="259">
        <v>0</v>
      </c>
      <c r="H111" s="259">
        <v>207.96570714610499</v>
      </c>
      <c r="I111" s="259">
        <v>0</v>
      </c>
      <c r="J111" s="157">
        <f>SUM(E111:I111)</f>
        <v>207.96570714610499</v>
      </c>
    </row>
    <row r="112" spans="2:10">
      <c r="B112" s="445"/>
      <c r="C112" s="354" t="s">
        <v>206</v>
      </c>
      <c r="D112" s="368"/>
      <c r="E112" s="304">
        <f t="shared" ref="E112:J112" si="32">SUM(E109:E111)</f>
        <v>0</v>
      </c>
      <c r="F112" s="304">
        <f t="shared" si="32"/>
        <v>0</v>
      </c>
      <c r="G112" s="304">
        <f t="shared" si="32"/>
        <v>0</v>
      </c>
      <c r="H112" s="304">
        <f t="shared" si="32"/>
        <v>207.96570714610499</v>
      </c>
      <c r="I112" s="304">
        <f t="shared" si="32"/>
        <v>0</v>
      </c>
      <c r="J112" s="306">
        <f t="shared" si="32"/>
        <v>207.96570714610499</v>
      </c>
    </row>
    <row r="113" spans="2:10">
      <c r="B113" s="445"/>
      <c r="C113" s="449" t="s">
        <v>200</v>
      </c>
      <c r="D113" s="346" t="s">
        <v>196</v>
      </c>
      <c r="E113" s="347">
        <v>87.786889973163596</v>
      </c>
      <c r="F113" s="347">
        <v>180.69821036300101</v>
      </c>
      <c r="G113" s="347">
        <v>43.127609941765598</v>
      </c>
      <c r="H113" s="347">
        <v>46.640380063652898</v>
      </c>
      <c r="I113" s="347">
        <v>112.26140983078599</v>
      </c>
      <c r="J113" s="320">
        <f>SUM(E113:I113)</f>
        <v>470.51450017236914</v>
      </c>
    </row>
    <row r="114" spans="2:10">
      <c r="B114" s="445"/>
      <c r="C114" s="449"/>
      <c r="D114" s="348" t="s">
        <v>197</v>
      </c>
      <c r="E114" s="347">
        <v>221.138729813308</v>
      </c>
      <c r="F114" s="347">
        <v>489.34444937365498</v>
      </c>
      <c r="G114" s="347">
        <v>249.49568830411499</v>
      </c>
      <c r="H114" s="347">
        <v>689.29740982712406</v>
      </c>
      <c r="I114" s="347">
        <v>555.56538991266495</v>
      </c>
      <c r="J114" s="310">
        <f>SUM(E114:I114)</f>
        <v>2204.8416672308672</v>
      </c>
    </row>
    <row r="115" spans="2:10">
      <c r="B115" s="445"/>
      <c r="C115" s="449"/>
      <c r="D115" s="349" t="s">
        <v>198</v>
      </c>
      <c r="E115" s="347">
        <v>18.270810046136301</v>
      </c>
      <c r="F115" s="347">
        <v>3.3167999420165999</v>
      </c>
      <c r="G115" s="369">
        <v>0</v>
      </c>
      <c r="H115" s="369">
        <v>0</v>
      </c>
      <c r="I115" s="369">
        <v>0</v>
      </c>
      <c r="J115" s="356">
        <f>SUM(E115:I115)</f>
        <v>21.587609988152902</v>
      </c>
    </row>
    <row r="116" spans="2:10">
      <c r="B116" s="445"/>
      <c r="C116" s="311" t="s">
        <v>201</v>
      </c>
      <c r="D116" s="368"/>
      <c r="E116" s="304">
        <f t="shared" ref="E116:J116" si="33">SUM(E113:E115)</f>
        <v>327.19642983260792</v>
      </c>
      <c r="F116" s="304">
        <f t="shared" si="33"/>
        <v>673.35945967867258</v>
      </c>
      <c r="G116" s="304">
        <f t="shared" si="33"/>
        <v>292.62329824588062</v>
      </c>
      <c r="H116" s="304">
        <f t="shared" si="33"/>
        <v>735.93778989077691</v>
      </c>
      <c r="I116" s="304">
        <f t="shared" si="33"/>
        <v>667.82679974345092</v>
      </c>
      <c r="J116" s="306">
        <f t="shared" si="33"/>
        <v>2696.9437773913892</v>
      </c>
    </row>
    <row r="117" spans="2:10">
      <c r="B117" s="445"/>
      <c r="C117" s="450" t="s">
        <v>202</v>
      </c>
      <c r="D117" s="346" t="s">
        <v>196</v>
      </c>
      <c r="E117" s="347">
        <v>154.15899999999999</v>
      </c>
      <c r="F117" s="347">
        <v>491.76875233614402</v>
      </c>
      <c r="G117" s="347">
        <v>415.85656152343699</v>
      </c>
      <c r="H117" s="347">
        <v>632.88618777465797</v>
      </c>
      <c r="I117" s="347">
        <v>168.97346997070301</v>
      </c>
      <c r="J117" s="320">
        <f>SUM(E117:I117)</f>
        <v>1863.643971604942</v>
      </c>
    </row>
    <row r="118" spans="2:10">
      <c r="B118" s="445"/>
      <c r="C118" s="450"/>
      <c r="D118" s="348" t="s">
        <v>197</v>
      </c>
      <c r="E118" s="347">
        <v>1.946</v>
      </c>
      <c r="F118" s="347">
        <v>42.137</v>
      </c>
      <c r="G118" s="347">
        <v>0</v>
      </c>
      <c r="H118" s="347">
        <v>0</v>
      </c>
      <c r="I118" s="347">
        <v>11.134780029296801</v>
      </c>
      <c r="J118" s="310">
        <f>SUM(E118:I118)</f>
        <v>55.217780029296797</v>
      </c>
    </row>
    <row r="119" spans="2:10">
      <c r="B119" s="445"/>
      <c r="C119" s="450"/>
      <c r="D119" s="349" t="s">
        <v>198</v>
      </c>
      <c r="E119" s="347">
        <v>0</v>
      </c>
      <c r="F119" s="347">
        <v>0</v>
      </c>
      <c r="G119" s="347">
        <v>0</v>
      </c>
      <c r="H119" s="347">
        <v>0</v>
      </c>
      <c r="I119" s="347">
        <v>0</v>
      </c>
      <c r="J119" s="356">
        <f>SUM(E119:I119)</f>
        <v>0</v>
      </c>
    </row>
    <row r="120" spans="2:10">
      <c r="B120" s="445"/>
      <c r="C120" s="353" t="s">
        <v>203</v>
      </c>
      <c r="D120" s="368"/>
      <c r="E120" s="304">
        <f t="shared" ref="E120:J120" si="34">SUM(E117:E119)</f>
        <v>156.10499999999999</v>
      </c>
      <c r="F120" s="304">
        <f t="shared" si="34"/>
        <v>533.90575233614402</v>
      </c>
      <c r="G120" s="304">
        <f t="shared" si="34"/>
        <v>415.85656152343699</v>
      </c>
      <c r="H120" s="304">
        <f t="shared" si="34"/>
        <v>632.88618777465797</v>
      </c>
      <c r="I120" s="304">
        <f t="shared" si="34"/>
        <v>180.1082499999998</v>
      </c>
      <c r="J120" s="306">
        <f t="shared" si="34"/>
        <v>1918.8617516342388</v>
      </c>
    </row>
    <row r="121" spans="2:10">
      <c r="B121" s="445"/>
      <c r="C121" s="451" t="s">
        <v>204</v>
      </c>
      <c r="D121" s="346" t="s">
        <v>196</v>
      </c>
      <c r="E121" s="347">
        <v>0</v>
      </c>
      <c r="F121" s="347"/>
      <c r="G121" s="347">
        <v>0</v>
      </c>
      <c r="H121" s="347">
        <v>0</v>
      </c>
      <c r="I121" s="347">
        <v>0</v>
      </c>
      <c r="J121" s="320">
        <f>SUM(E121:I121)</f>
        <v>0</v>
      </c>
    </row>
    <row r="122" spans="2:10">
      <c r="B122" s="445"/>
      <c r="C122" s="451"/>
      <c r="D122" s="348" t="s">
        <v>197</v>
      </c>
      <c r="E122" s="347">
        <v>0</v>
      </c>
      <c r="F122" s="347">
        <v>6.2520299835205</v>
      </c>
      <c r="G122" s="347">
        <v>0</v>
      </c>
      <c r="H122" s="347">
        <v>0</v>
      </c>
      <c r="I122" s="347">
        <v>709.77499999999998</v>
      </c>
      <c r="J122" s="310">
        <f>SUM(E122:I122)</f>
        <v>716.02702998352049</v>
      </c>
    </row>
    <row r="123" spans="2:10">
      <c r="B123" s="445"/>
      <c r="C123" s="452"/>
      <c r="D123" s="349" t="s">
        <v>198</v>
      </c>
      <c r="E123" s="347"/>
      <c r="F123" s="347">
        <v>2.2090000000000001</v>
      </c>
      <c r="G123" s="347">
        <v>0</v>
      </c>
      <c r="H123" s="347">
        <v>0</v>
      </c>
      <c r="I123" s="347">
        <v>0</v>
      </c>
      <c r="J123" s="356">
        <f>SUM(E123:I123)</f>
        <v>2.2090000000000001</v>
      </c>
    </row>
    <row r="124" spans="2:10">
      <c r="B124" s="446"/>
      <c r="C124" s="314" t="s">
        <v>205</v>
      </c>
      <c r="D124" s="368"/>
      <c r="E124" s="304">
        <f t="shared" ref="E124:J124" si="35">SUM(E121:E123)</f>
        <v>0</v>
      </c>
      <c r="F124" s="304">
        <f t="shared" si="35"/>
        <v>8.4610299835205005</v>
      </c>
      <c r="G124" s="304">
        <f t="shared" si="35"/>
        <v>0</v>
      </c>
      <c r="H124" s="304">
        <f t="shared" si="35"/>
        <v>0</v>
      </c>
      <c r="I124" s="304">
        <f t="shared" si="35"/>
        <v>709.77499999999998</v>
      </c>
      <c r="J124" s="306">
        <f t="shared" si="35"/>
        <v>718.23602998352044</v>
      </c>
    </row>
    <row r="125" spans="2:10" ht="25.5" customHeight="1">
      <c r="B125" s="120" t="s">
        <v>120</v>
      </c>
      <c r="C125" s="159"/>
      <c r="D125" s="256"/>
      <c r="E125" s="59">
        <f t="shared" ref="E125:J125" si="36">+E124+E120+E116+E112</f>
        <v>483.30142983260794</v>
      </c>
      <c r="F125" s="59">
        <f t="shared" si="36"/>
        <v>1215.7262419983372</v>
      </c>
      <c r="G125" s="59">
        <f t="shared" si="36"/>
        <v>708.47985976931761</v>
      </c>
      <c r="H125" s="59">
        <f t="shared" si="36"/>
        <v>1576.7896848115399</v>
      </c>
      <c r="I125" s="59">
        <f t="shared" si="36"/>
        <v>1557.7100497434508</v>
      </c>
      <c r="J125" s="83">
        <f t="shared" si="36"/>
        <v>5542.007266155254</v>
      </c>
    </row>
    <row r="126" spans="2:10">
      <c r="B126" s="444">
        <v>2009</v>
      </c>
      <c r="C126" s="447" t="s">
        <v>198</v>
      </c>
      <c r="D126" s="249" t="s">
        <v>196</v>
      </c>
      <c r="E126" s="261">
        <v>0</v>
      </c>
      <c r="F126" s="261">
        <v>0</v>
      </c>
      <c r="G126" s="261">
        <v>0</v>
      </c>
      <c r="H126" s="261">
        <v>0.51846999999999999</v>
      </c>
      <c r="I126" s="261">
        <v>0</v>
      </c>
      <c r="J126" s="157">
        <f>SUM(E126:I126)</f>
        <v>0.51846999999999999</v>
      </c>
    </row>
    <row r="127" spans="2:10">
      <c r="B127" s="445"/>
      <c r="C127" s="448"/>
      <c r="D127" s="251" t="s">
        <v>197</v>
      </c>
      <c r="E127" s="261">
        <v>0</v>
      </c>
      <c r="F127" s="261">
        <v>0</v>
      </c>
      <c r="G127" s="261">
        <v>0</v>
      </c>
      <c r="H127" s="261">
        <v>0</v>
      </c>
      <c r="I127" s="261">
        <v>0</v>
      </c>
      <c r="J127" s="157">
        <f>SUM(E127:I127)</f>
        <v>0</v>
      </c>
    </row>
    <row r="128" spans="2:10">
      <c r="B128" s="445"/>
      <c r="C128" s="448"/>
      <c r="D128" s="252" t="s">
        <v>198</v>
      </c>
      <c r="E128" s="261">
        <v>0</v>
      </c>
      <c r="F128" s="261">
        <v>0</v>
      </c>
      <c r="G128" s="261">
        <v>0</v>
      </c>
      <c r="H128" s="261">
        <v>110.53677999999999</v>
      </c>
      <c r="I128" s="261">
        <v>0</v>
      </c>
      <c r="J128" s="157">
        <f>SUM(E128:I128)</f>
        <v>110.53677999999999</v>
      </c>
    </row>
    <row r="129" spans="2:10">
      <c r="B129" s="445"/>
      <c r="C129" s="354" t="s">
        <v>206</v>
      </c>
      <c r="D129" s="368"/>
      <c r="E129" s="304">
        <f t="shared" ref="E129:J129" si="37">SUM(E126:E128)</f>
        <v>0</v>
      </c>
      <c r="F129" s="304">
        <f t="shared" si="37"/>
        <v>0</v>
      </c>
      <c r="G129" s="304">
        <f t="shared" si="37"/>
        <v>0</v>
      </c>
      <c r="H129" s="304">
        <f t="shared" si="37"/>
        <v>111.05524999999999</v>
      </c>
      <c r="I129" s="304">
        <f t="shared" si="37"/>
        <v>0</v>
      </c>
      <c r="J129" s="306">
        <f t="shared" si="37"/>
        <v>111.05524999999999</v>
      </c>
    </row>
    <row r="130" spans="2:10">
      <c r="B130" s="445"/>
      <c r="C130" s="449" t="s">
        <v>200</v>
      </c>
      <c r="D130" s="346" t="s">
        <v>196</v>
      </c>
      <c r="E130" s="339">
        <v>54.895940000000017</v>
      </c>
      <c r="F130" s="340">
        <v>116.02713000000001</v>
      </c>
      <c r="G130" s="340">
        <v>63.871819999999985</v>
      </c>
      <c r="H130" s="340">
        <v>85.319119999999998</v>
      </c>
      <c r="I130" s="340">
        <v>98.077270000000013</v>
      </c>
      <c r="J130" s="320">
        <f>SUM(E130:I130)</f>
        <v>418.19128000000001</v>
      </c>
    </row>
    <row r="131" spans="2:10">
      <c r="B131" s="445"/>
      <c r="C131" s="449"/>
      <c r="D131" s="348" t="s">
        <v>197</v>
      </c>
      <c r="E131" s="370">
        <v>239.04809000000014</v>
      </c>
      <c r="F131" s="371">
        <v>377.19016000000011</v>
      </c>
      <c r="G131" s="371">
        <v>263.15379999999982</v>
      </c>
      <c r="H131" s="371">
        <v>722.32528000000002</v>
      </c>
      <c r="I131" s="372">
        <v>470.35766000000024</v>
      </c>
      <c r="J131" s="310">
        <f>SUM(E131:I131)</f>
        <v>2072.0749900000001</v>
      </c>
    </row>
    <row r="132" spans="2:10">
      <c r="B132" s="445"/>
      <c r="C132" s="449"/>
      <c r="D132" s="349" t="s">
        <v>198</v>
      </c>
      <c r="E132" s="339">
        <v>16.029419999999995</v>
      </c>
      <c r="F132" s="371">
        <v>3.4693000000000001</v>
      </c>
      <c r="G132" s="373"/>
      <c r="H132" s="373">
        <v>0</v>
      </c>
      <c r="I132" s="371">
        <v>1.4659999999999999E-2</v>
      </c>
      <c r="J132" s="356">
        <f>SUM(E132:I132)</f>
        <v>19.513379999999994</v>
      </c>
    </row>
    <row r="133" spans="2:10">
      <c r="B133" s="445"/>
      <c r="C133" s="311" t="s">
        <v>201</v>
      </c>
      <c r="D133" s="368"/>
      <c r="E133" s="304">
        <f t="shared" ref="E133:J133" si="38">SUM(E130:E132)</f>
        <v>309.97345000000018</v>
      </c>
      <c r="F133" s="304">
        <f t="shared" si="38"/>
        <v>496.68659000000008</v>
      </c>
      <c r="G133" s="304">
        <f t="shared" si="38"/>
        <v>327.02561999999978</v>
      </c>
      <c r="H133" s="304">
        <f t="shared" si="38"/>
        <v>807.64440000000002</v>
      </c>
      <c r="I133" s="304">
        <f t="shared" si="38"/>
        <v>568.44959000000028</v>
      </c>
      <c r="J133" s="306">
        <f t="shared" si="38"/>
        <v>2509.7796499999999</v>
      </c>
    </row>
    <row r="134" spans="2:10">
      <c r="B134" s="445"/>
      <c r="C134" s="450" t="s">
        <v>202</v>
      </c>
      <c r="D134" s="346" t="s">
        <v>196</v>
      </c>
      <c r="E134" s="339">
        <v>416.85883999999999</v>
      </c>
      <c r="F134" s="340">
        <v>367.75277000000006</v>
      </c>
      <c r="G134" s="340">
        <v>142.47771</v>
      </c>
      <c r="H134" s="340">
        <v>320.34730000000002</v>
      </c>
      <c r="I134" s="340">
        <v>129.77799999999999</v>
      </c>
      <c r="J134" s="320">
        <f>SUM(E134:I134)</f>
        <v>1377.21462</v>
      </c>
    </row>
    <row r="135" spans="2:10">
      <c r="B135" s="445"/>
      <c r="C135" s="450"/>
      <c r="D135" s="348" t="s">
        <v>197</v>
      </c>
      <c r="E135" s="370">
        <v>2.2679999999999998</v>
      </c>
      <c r="F135" s="373">
        <v>0</v>
      </c>
      <c r="G135" s="373">
        <v>0</v>
      </c>
      <c r="H135" s="373">
        <v>0</v>
      </c>
      <c r="I135" s="372">
        <v>7.0940000000000003</v>
      </c>
      <c r="J135" s="310">
        <f>SUM(E135:I135)</f>
        <v>9.3620000000000001</v>
      </c>
    </row>
    <row r="136" spans="2:10">
      <c r="B136" s="445"/>
      <c r="C136" s="450"/>
      <c r="D136" s="349" t="s">
        <v>198</v>
      </c>
      <c r="E136" s="373">
        <v>0</v>
      </c>
      <c r="F136" s="373">
        <v>0</v>
      </c>
      <c r="G136" s="371">
        <v>0.12662999999999999</v>
      </c>
      <c r="H136" s="373">
        <v>0</v>
      </c>
      <c r="I136" s="373">
        <v>0</v>
      </c>
      <c r="J136" s="356">
        <f>SUM(E136:I136)</f>
        <v>0.12662999999999999</v>
      </c>
    </row>
    <row r="137" spans="2:10">
      <c r="B137" s="445"/>
      <c r="C137" s="353" t="s">
        <v>203</v>
      </c>
      <c r="D137" s="368"/>
      <c r="E137" s="304">
        <f t="shared" ref="E137:J137" si="39">SUM(E134:E136)</f>
        <v>419.12683999999996</v>
      </c>
      <c r="F137" s="304">
        <f t="shared" si="39"/>
        <v>367.75277000000006</v>
      </c>
      <c r="G137" s="304">
        <f t="shared" si="39"/>
        <v>142.60434000000001</v>
      </c>
      <c r="H137" s="304">
        <f t="shared" si="39"/>
        <v>320.34730000000002</v>
      </c>
      <c r="I137" s="304">
        <f t="shared" si="39"/>
        <v>136.87199999999999</v>
      </c>
      <c r="J137" s="306">
        <f t="shared" si="39"/>
        <v>1386.70325</v>
      </c>
    </row>
    <row r="138" spans="2:10">
      <c r="B138" s="445"/>
      <c r="C138" s="451" t="s">
        <v>204</v>
      </c>
      <c r="D138" s="346" t="s">
        <v>196</v>
      </c>
      <c r="E138" s="373">
        <v>0</v>
      </c>
      <c r="F138" s="373">
        <v>0</v>
      </c>
      <c r="G138" s="373">
        <v>0</v>
      </c>
      <c r="H138" s="373">
        <v>0</v>
      </c>
      <c r="I138" s="329">
        <v>0</v>
      </c>
      <c r="J138" s="320">
        <f>SUM(E138:I138)</f>
        <v>0</v>
      </c>
    </row>
    <row r="139" spans="2:10">
      <c r="B139" s="445"/>
      <c r="C139" s="451"/>
      <c r="D139" s="348" t="s">
        <v>197</v>
      </c>
      <c r="E139" s="373">
        <v>0</v>
      </c>
      <c r="F139" s="329">
        <v>7.3111999999999995</v>
      </c>
      <c r="G139" s="373">
        <v>0</v>
      </c>
      <c r="H139" s="373">
        <v>0</v>
      </c>
      <c r="I139" s="329">
        <v>714.63850000000002</v>
      </c>
      <c r="J139" s="310">
        <f>SUM(E139:I139)</f>
        <v>721.94970000000001</v>
      </c>
    </row>
    <row r="140" spans="2:10">
      <c r="B140" s="445"/>
      <c r="C140" s="452"/>
      <c r="D140" s="349" t="s">
        <v>198</v>
      </c>
      <c r="E140" s="373">
        <v>0</v>
      </c>
      <c r="F140" s="329">
        <v>4.5830000000000002</v>
      </c>
      <c r="G140" s="373">
        <v>0</v>
      </c>
      <c r="H140" s="329">
        <v>0</v>
      </c>
      <c r="I140" s="329">
        <v>0</v>
      </c>
      <c r="J140" s="356">
        <f>SUM(E140:I140)</f>
        <v>4.5830000000000002</v>
      </c>
    </row>
    <row r="141" spans="2:10">
      <c r="B141" s="446"/>
      <c r="C141" s="314" t="s">
        <v>205</v>
      </c>
      <c r="D141" s="368"/>
      <c r="E141" s="304">
        <f t="shared" ref="E141:J141" si="40">SUM(E138:E140)</f>
        <v>0</v>
      </c>
      <c r="F141" s="304">
        <f t="shared" si="40"/>
        <v>11.8942</v>
      </c>
      <c r="G141" s="304">
        <f t="shared" si="40"/>
        <v>0</v>
      </c>
      <c r="H141" s="304">
        <f t="shared" si="40"/>
        <v>0</v>
      </c>
      <c r="I141" s="304">
        <f t="shared" si="40"/>
        <v>714.63850000000002</v>
      </c>
      <c r="J141" s="306">
        <f t="shared" si="40"/>
        <v>726.53269999999998</v>
      </c>
    </row>
    <row r="142" spans="2:10" ht="29.25" customHeight="1">
      <c r="B142" s="120" t="s">
        <v>121</v>
      </c>
      <c r="C142" s="159"/>
      <c r="D142" s="256"/>
      <c r="E142" s="59">
        <f t="shared" ref="E142:J142" si="41">+E141+E137+E133+E129</f>
        <v>729.10029000000009</v>
      </c>
      <c r="F142" s="59">
        <f t="shared" si="41"/>
        <v>876.33356000000015</v>
      </c>
      <c r="G142" s="59">
        <f t="shared" si="41"/>
        <v>469.62995999999976</v>
      </c>
      <c r="H142" s="59">
        <f t="shared" si="41"/>
        <v>1239.0469499999999</v>
      </c>
      <c r="I142" s="59">
        <f t="shared" si="41"/>
        <v>1419.9600900000003</v>
      </c>
      <c r="J142" s="83">
        <f t="shared" si="41"/>
        <v>4734.070850000001</v>
      </c>
    </row>
    <row r="143" spans="2:10">
      <c r="B143" s="444">
        <v>2010</v>
      </c>
      <c r="C143" s="447" t="s">
        <v>198</v>
      </c>
      <c r="D143" s="249" t="s">
        <v>196</v>
      </c>
      <c r="E143" s="261">
        <v>0</v>
      </c>
      <c r="F143" s="261">
        <v>0</v>
      </c>
      <c r="G143" s="261">
        <v>0</v>
      </c>
      <c r="H143" s="261">
        <v>0</v>
      </c>
      <c r="I143" s="261">
        <v>0</v>
      </c>
      <c r="J143" s="157">
        <f>SUM(E143:I143)</f>
        <v>0</v>
      </c>
    </row>
    <row r="144" spans="2:10">
      <c r="B144" s="445"/>
      <c r="C144" s="448"/>
      <c r="D144" s="251" t="s">
        <v>197</v>
      </c>
      <c r="E144" s="261">
        <v>0</v>
      </c>
      <c r="F144" s="261">
        <v>0</v>
      </c>
      <c r="G144" s="261">
        <v>0</v>
      </c>
      <c r="H144" s="261">
        <v>0</v>
      </c>
      <c r="I144" s="261">
        <v>0</v>
      </c>
      <c r="J144" s="157">
        <f>SUM(E144:I144)</f>
        <v>0</v>
      </c>
    </row>
    <row r="145" spans="2:10">
      <c r="B145" s="445"/>
      <c r="C145" s="448"/>
      <c r="D145" s="252" t="s">
        <v>198</v>
      </c>
      <c r="E145" s="261">
        <v>0</v>
      </c>
      <c r="F145" s="261">
        <v>0</v>
      </c>
      <c r="G145" s="261">
        <v>0</v>
      </c>
      <c r="H145" s="261">
        <v>100.34593000000001</v>
      </c>
      <c r="I145" s="261">
        <v>0</v>
      </c>
      <c r="J145" s="157">
        <f>SUM(E145:I145)</f>
        <v>100.34593000000001</v>
      </c>
    </row>
    <row r="146" spans="2:10">
      <c r="B146" s="445"/>
      <c r="C146" s="354" t="s">
        <v>206</v>
      </c>
      <c r="D146" s="368"/>
      <c r="E146" s="304">
        <f t="shared" ref="E146:J146" si="42">SUM(E143:E145)</f>
        <v>0</v>
      </c>
      <c r="F146" s="304">
        <f t="shared" si="42"/>
        <v>0</v>
      </c>
      <c r="G146" s="304">
        <f t="shared" si="42"/>
        <v>0</v>
      </c>
      <c r="H146" s="304">
        <f t="shared" si="42"/>
        <v>100.34593000000001</v>
      </c>
      <c r="I146" s="304">
        <f t="shared" si="42"/>
        <v>0</v>
      </c>
      <c r="J146" s="306">
        <f t="shared" si="42"/>
        <v>100.34593000000001</v>
      </c>
    </row>
    <row r="147" spans="2:10">
      <c r="B147" s="445"/>
      <c r="C147" s="449" t="s">
        <v>200</v>
      </c>
      <c r="D147" s="346" t="s">
        <v>196</v>
      </c>
      <c r="E147" s="339">
        <v>43.268099999999997</v>
      </c>
      <c r="F147" s="340">
        <v>126.19034000000001</v>
      </c>
      <c r="G147" s="340">
        <v>64.802710000000005</v>
      </c>
      <c r="H147" s="340">
        <v>60.117269999999998</v>
      </c>
      <c r="I147" s="340">
        <v>48.401330000000002</v>
      </c>
      <c r="J147" s="320">
        <f>SUM(E147:I147)</f>
        <v>342.77975000000004</v>
      </c>
    </row>
    <row r="148" spans="2:10">
      <c r="B148" s="445"/>
      <c r="C148" s="449"/>
      <c r="D148" s="348" t="s">
        <v>197</v>
      </c>
      <c r="E148" s="370">
        <v>377.65754999999984</v>
      </c>
      <c r="F148" s="371">
        <v>314.76886999999999</v>
      </c>
      <c r="G148" s="371">
        <v>260.32505999999995</v>
      </c>
      <c r="H148" s="371">
        <v>542.99363999999991</v>
      </c>
      <c r="I148" s="372">
        <v>355.61622000000023</v>
      </c>
      <c r="J148" s="310">
        <f>SUM(E148:I148)</f>
        <v>1851.3613399999999</v>
      </c>
    </row>
    <row r="149" spans="2:10">
      <c r="B149" s="445"/>
      <c r="C149" s="449"/>
      <c r="D149" s="349" t="s">
        <v>198</v>
      </c>
      <c r="E149" s="339">
        <v>8.4422199999999989</v>
      </c>
      <c r="F149" s="371">
        <v>11.837389999999999</v>
      </c>
      <c r="G149" s="373">
        <v>0</v>
      </c>
      <c r="H149" s="373">
        <v>7.5399999999999998E-3</v>
      </c>
      <c r="I149" s="371">
        <v>0</v>
      </c>
      <c r="J149" s="356">
        <f>SUM(E149:I149)</f>
        <v>20.287149999999997</v>
      </c>
    </row>
    <row r="150" spans="2:10">
      <c r="B150" s="445"/>
      <c r="C150" s="311" t="s">
        <v>201</v>
      </c>
      <c r="D150" s="368"/>
      <c r="E150" s="304">
        <f t="shared" ref="E150:J150" si="43">SUM(E147:E149)</f>
        <v>429.36786999999987</v>
      </c>
      <c r="F150" s="304">
        <f t="shared" si="43"/>
        <v>452.79660000000001</v>
      </c>
      <c r="G150" s="304">
        <f t="shared" si="43"/>
        <v>325.12776999999994</v>
      </c>
      <c r="H150" s="304">
        <f t="shared" si="43"/>
        <v>603.11844999999983</v>
      </c>
      <c r="I150" s="304">
        <f t="shared" si="43"/>
        <v>404.01755000000026</v>
      </c>
      <c r="J150" s="306">
        <f t="shared" si="43"/>
        <v>2214.4282400000002</v>
      </c>
    </row>
    <row r="151" spans="2:10">
      <c r="B151" s="445"/>
      <c r="C151" s="450" t="s">
        <v>202</v>
      </c>
      <c r="D151" s="346" t="s">
        <v>196</v>
      </c>
      <c r="E151" s="339">
        <v>293.75799999999998</v>
      </c>
      <c r="F151" s="340">
        <v>349.74464</v>
      </c>
      <c r="G151" s="340">
        <v>81.557059999999993</v>
      </c>
      <c r="H151" s="340">
        <v>441.28996000000006</v>
      </c>
      <c r="I151" s="340">
        <v>184.83199999999999</v>
      </c>
      <c r="J151" s="320">
        <f>SUM(E151:I151)</f>
        <v>1351.1816599999997</v>
      </c>
    </row>
    <row r="152" spans="2:10">
      <c r="B152" s="445"/>
      <c r="C152" s="450"/>
      <c r="D152" s="348" t="s">
        <v>197</v>
      </c>
      <c r="E152" s="370">
        <v>9.6910000000000007</v>
      </c>
      <c r="F152" s="373">
        <v>0</v>
      </c>
      <c r="G152" s="373">
        <v>0</v>
      </c>
      <c r="H152" s="373">
        <v>0</v>
      </c>
      <c r="I152" s="372">
        <v>44.067999999999998</v>
      </c>
      <c r="J152" s="310">
        <f>SUM(E152:I152)</f>
        <v>53.759</v>
      </c>
    </row>
    <row r="153" spans="2:10">
      <c r="B153" s="445"/>
      <c r="C153" s="450"/>
      <c r="D153" s="349" t="s">
        <v>198</v>
      </c>
      <c r="E153" s="373">
        <v>2.33</v>
      </c>
      <c r="F153" s="373">
        <v>0</v>
      </c>
      <c r="G153" s="371">
        <v>0</v>
      </c>
      <c r="H153" s="373">
        <v>0</v>
      </c>
      <c r="I153" s="373">
        <v>0</v>
      </c>
      <c r="J153" s="356">
        <f>SUM(E153:I153)</f>
        <v>2.33</v>
      </c>
    </row>
    <row r="154" spans="2:10">
      <c r="B154" s="445"/>
      <c r="C154" s="353" t="s">
        <v>203</v>
      </c>
      <c r="D154" s="368"/>
      <c r="E154" s="304">
        <f t="shared" ref="E154:J154" si="44">SUM(E151:E153)</f>
        <v>305.77899999999994</v>
      </c>
      <c r="F154" s="304">
        <f t="shared" si="44"/>
        <v>349.74464</v>
      </c>
      <c r="G154" s="304">
        <f t="shared" si="44"/>
        <v>81.557059999999993</v>
      </c>
      <c r="H154" s="304">
        <f t="shared" si="44"/>
        <v>441.28996000000006</v>
      </c>
      <c r="I154" s="304">
        <f t="shared" si="44"/>
        <v>228.89999999999998</v>
      </c>
      <c r="J154" s="306">
        <f t="shared" si="44"/>
        <v>1407.2706599999997</v>
      </c>
    </row>
    <row r="155" spans="2:10">
      <c r="B155" s="445"/>
      <c r="C155" s="451" t="s">
        <v>204</v>
      </c>
      <c r="D155" s="346" t="s">
        <v>196</v>
      </c>
      <c r="E155" s="373">
        <v>0</v>
      </c>
      <c r="F155" s="373">
        <v>0</v>
      </c>
      <c r="G155" s="373">
        <v>0</v>
      </c>
      <c r="H155" s="373">
        <v>0</v>
      </c>
      <c r="I155" s="329">
        <v>0</v>
      </c>
      <c r="J155" s="320">
        <f>SUM(E155:I155)</f>
        <v>0</v>
      </c>
    </row>
    <row r="156" spans="2:10">
      <c r="B156" s="445"/>
      <c r="C156" s="451"/>
      <c r="D156" s="348" t="s">
        <v>197</v>
      </c>
      <c r="E156" s="373">
        <v>0</v>
      </c>
      <c r="F156" s="329">
        <v>8.0287000000000006</v>
      </c>
      <c r="G156" s="373">
        <v>0</v>
      </c>
      <c r="H156" s="373">
        <v>0</v>
      </c>
      <c r="I156" s="329">
        <v>581.10447999999997</v>
      </c>
      <c r="J156" s="310">
        <f>SUM(E156:I156)</f>
        <v>589.13317999999992</v>
      </c>
    </row>
    <row r="157" spans="2:10">
      <c r="B157" s="445"/>
      <c r="C157" s="452"/>
      <c r="D157" s="349" t="s">
        <v>198</v>
      </c>
      <c r="E157" s="373">
        <v>0</v>
      </c>
      <c r="F157" s="329">
        <v>2.9553600000000002</v>
      </c>
      <c r="G157" s="373">
        <v>0</v>
      </c>
      <c r="H157" s="329">
        <v>0</v>
      </c>
      <c r="I157" s="329">
        <v>0</v>
      </c>
      <c r="J157" s="356">
        <f>SUM(E157:I157)</f>
        <v>2.9553600000000002</v>
      </c>
    </row>
    <row r="158" spans="2:10">
      <c r="B158" s="446"/>
      <c r="C158" s="314" t="s">
        <v>205</v>
      </c>
      <c r="D158" s="368"/>
      <c r="E158" s="304">
        <f t="shared" ref="E158:J158" si="45">SUM(E155:E157)</f>
        <v>0</v>
      </c>
      <c r="F158" s="304">
        <f t="shared" si="45"/>
        <v>10.984060000000001</v>
      </c>
      <c r="G158" s="304">
        <f t="shared" si="45"/>
        <v>0</v>
      </c>
      <c r="H158" s="304">
        <f t="shared" si="45"/>
        <v>0</v>
      </c>
      <c r="I158" s="304">
        <f t="shared" si="45"/>
        <v>581.10447999999997</v>
      </c>
      <c r="J158" s="306">
        <f t="shared" si="45"/>
        <v>592.08853999999997</v>
      </c>
    </row>
    <row r="159" spans="2:10" ht="25.5" customHeight="1">
      <c r="B159" s="120" t="s">
        <v>122</v>
      </c>
      <c r="C159" s="159"/>
      <c r="D159" s="256"/>
      <c r="E159" s="59">
        <f t="shared" ref="E159:J159" si="46">+E158+E154+E150+E146</f>
        <v>735.14686999999981</v>
      </c>
      <c r="F159" s="59">
        <f t="shared" si="46"/>
        <v>813.52530000000002</v>
      </c>
      <c r="G159" s="59">
        <f t="shared" si="46"/>
        <v>406.68482999999992</v>
      </c>
      <c r="H159" s="59">
        <f t="shared" si="46"/>
        <v>1144.75434</v>
      </c>
      <c r="I159" s="59">
        <f t="shared" si="46"/>
        <v>1214.0220300000001</v>
      </c>
      <c r="J159" s="83">
        <f t="shared" si="46"/>
        <v>4314.1333700000005</v>
      </c>
    </row>
    <row r="160" spans="2:10">
      <c r="B160" s="444">
        <v>2011</v>
      </c>
      <c r="C160" s="447" t="s">
        <v>198</v>
      </c>
      <c r="D160" s="249" t="s">
        <v>196</v>
      </c>
      <c r="E160" s="261">
        <v>0</v>
      </c>
      <c r="F160" s="261">
        <v>0</v>
      </c>
      <c r="G160" s="261">
        <v>0</v>
      </c>
      <c r="H160" s="261">
        <v>0</v>
      </c>
      <c r="I160" s="261">
        <v>0</v>
      </c>
      <c r="J160" s="157">
        <f>SUM(E160:I160)</f>
        <v>0</v>
      </c>
    </row>
    <row r="161" spans="2:10">
      <c r="B161" s="445"/>
      <c r="C161" s="448"/>
      <c r="D161" s="251" t="s">
        <v>197</v>
      </c>
      <c r="E161" s="261">
        <v>0</v>
      </c>
      <c r="F161" s="261">
        <v>0</v>
      </c>
      <c r="G161" s="261">
        <v>0</v>
      </c>
      <c r="H161" s="261">
        <v>0</v>
      </c>
      <c r="I161" s="261">
        <v>0</v>
      </c>
      <c r="J161" s="157">
        <f>SUM(E161:I161)</f>
        <v>0</v>
      </c>
    </row>
    <row r="162" spans="2:10">
      <c r="B162" s="445"/>
      <c r="C162" s="448"/>
      <c r="D162" s="252" t="s">
        <v>198</v>
      </c>
      <c r="E162" s="261">
        <v>0</v>
      </c>
      <c r="F162" s="261">
        <v>0</v>
      </c>
      <c r="G162" s="261">
        <v>0</v>
      </c>
      <c r="H162" s="261">
        <v>0</v>
      </c>
      <c r="I162" s="261">
        <v>0</v>
      </c>
      <c r="J162" s="157">
        <f>SUM(E162:I162)</f>
        <v>0</v>
      </c>
    </row>
    <row r="163" spans="2:10">
      <c r="B163" s="445"/>
      <c r="C163" s="354" t="s">
        <v>206</v>
      </c>
      <c r="D163" s="368"/>
      <c r="E163" s="304">
        <f t="shared" ref="E163:J163" si="47">SUM(E160:E162)</f>
        <v>0</v>
      </c>
      <c r="F163" s="304">
        <f t="shared" si="47"/>
        <v>0</v>
      </c>
      <c r="G163" s="304">
        <f t="shared" si="47"/>
        <v>0</v>
      </c>
      <c r="H163" s="304">
        <f t="shared" si="47"/>
        <v>0</v>
      </c>
      <c r="I163" s="304">
        <f t="shared" si="47"/>
        <v>0</v>
      </c>
      <c r="J163" s="306">
        <f t="shared" si="47"/>
        <v>0</v>
      </c>
    </row>
    <row r="164" spans="2:10">
      <c r="B164" s="445"/>
      <c r="C164" s="449" t="s">
        <v>200</v>
      </c>
      <c r="D164" s="346" t="s">
        <v>196</v>
      </c>
      <c r="E164" s="339">
        <v>144.47805000000002</v>
      </c>
      <c r="F164" s="340">
        <v>155.68085899999997</v>
      </c>
      <c r="G164" s="340">
        <v>71.085030000000003</v>
      </c>
      <c r="H164" s="340">
        <v>81.380769999999984</v>
      </c>
      <c r="I164" s="340">
        <v>54.514130999999999</v>
      </c>
      <c r="J164" s="320">
        <f>SUM(E164:I164)</f>
        <v>507.13884000000002</v>
      </c>
    </row>
    <row r="165" spans="2:10">
      <c r="B165" s="445"/>
      <c r="C165" s="449"/>
      <c r="D165" s="348" t="s">
        <v>197</v>
      </c>
      <c r="E165" s="370">
        <v>332.49169899999987</v>
      </c>
      <c r="F165" s="371">
        <v>293.85681800000003</v>
      </c>
      <c r="G165" s="371">
        <v>245.33199999999994</v>
      </c>
      <c r="H165" s="371">
        <v>415.33258000000001</v>
      </c>
      <c r="I165" s="372">
        <v>305.00301899999994</v>
      </c>
      <c r="J165" s="310">
        <f>SUM(E165:I165)</f>
        <v>1592.0161159999998</v>
      </c>
    </row>
    <row r="166" spans="2:10">
      <c r="B166" s="445"/>
      <c r="C166" s="449"/>
      <c r="D166" s="349" t="s">
        <v>198</v>
      </c>
      <c r="E166" s="339">
        <v>8.1615500000000001</v>
      </c>
      <c r="F166" s="371">
        <v>2.5093100000000002</v>
      </c>
      <c r="G166" s="373">
        <v>0</v>
      </c>
      <c r="H166" s="373">
        <v>0</v>
      </c>
      <c r="I166" s="371">
        <v>0</v>
      </c>
      <c r="J166" s="356">
        <f>SUM(E166:I166)</f>
        <v>10.670860000000001</v>
      </c>
    </row>
    <row r="167" spans="2:10">
      <c r="B167" s="445"/>
      <c r="C167" s="311" t="s">
        <v>201</v>
      </c>
      <c r="D167" s="368"/>
      <c r="E167" s="304">
        <f t="shared" ref="E167:J167" si="48">SUM(E164:E166)</f>
        <v>485.13129899999984</v>
      </c>
      <c r="F167" s="304">
        <f t="shared" si="48"/>
        <v>452.04698700000006</v>
      </c>
      <c r="G167" s="304">
        <f t="shared" si="48"/>
        <v>316.41702999999995</v>
      </c>
      <c r="H167" s="304">
        <f t="shared" si="48"/>
        <v>496.71334999999999</v>
      </c>
      <c r="I167" s="304">
        <f t="shared" si="48"/>
        <v>359.51714999999996</v>
      </c>
      <c r="J167" s="306">
        <f t="shared" si="48"/>
        <v>2109.825816</v>
      </c>
    </row>
    <row r="168" spans="2:10">
      <c r="B168" s="445"/>
      <c r="C168" s="450" t="s">
        <v>202</v>
      </c>
      <c r="D168" s="346" t="s">
        <v>196</v>
      </c>
      <c r="E168" s="339">
        <v>208.61500000000001</v>
      </c>
      <c r="F168" s="340">
        <v>417.20315999999997</v>
      </c>
      <c r="G168" s="340">
        <v>7.5799599999999998</v>
      </c>
      <c r="H168" s="340">
        <v>445.64231000000001</v>
      </c>
      <c r="I168" s="340">
        <v>205.91200000000001</v>
      </c>
      <c r="J168" s="320">
        <f>SUM(E168:I168)</f>
        <v>1284.95243</v>
      </c>
    </row>
    <row r="169" spans="2:10">
      <c r="B169" s="445"/>
      <c r="C169" s="450"/>
      <c r="D169" s="348" t="s">
        <v>197</v>
      </c>
      <c r="E169" s="370">
        <v>13.141</v>
      </c>
      <c r="F169" s="373">
        <v>0</v>
      </c>
      <c r="G169" s="373">
        <v>0</v>
      </c>
      <c r="H169" s="373">
        <v>0</v>
      </c>
      <c r="I169" s="372">
        <v>10.948</v>
      </c>
      <c r="J169" s="310">
        <f>SUM(E169:I169)</f>
        <v>24.088999999999999</v>
      </c>
    </row>
    <row r="170" spans="2:10">
      <c r="B170" s="445"/>
      <c r="C170" s="450"/>
      <c r="D170" s="349" t="s">
        <v>198</v>
      </c>
      <c r="E170" s="373">
        <v>0</v>
      </c>
      <c r="F170" s="373">
        <v>0</v>
      </c>
      <c r="G170" s="371">
        <v>0</v>
      </c>
      <c r="H170" s="373">
        <v>0</v>
      </c>
      <c r="I170" s="373">
        <v>0</v>
      </c>
      <c r="J170" s="356">
        <f>SUM(E170:I170)</f>
        <v>0</v>
      </c>
    </row>
    <row r="171" spans="2:10">
      <c r="B171" s="445"/>
      <c r="C171" s="353" t="s">
        <v>203</v>
      </c>
      <c r="D171" s="368"/>
      <c r="E171" s="304">
        <f t="shared" ref="E171:J171" si="49">SUM(E168:E170)</f>
        <v>221.756</v>
      </c>
      <c r="F171" s="304">
        <f t="shared" si="49"/>
        <v>417.20315999999997</v>
      </c>
      <c r="G171" s="304">
        <f t="shared" si="49"/>
        <v>7.5799599999999998</v>
      </c>
      <c r="H171" s="304">
        <f t="shared" si="49"/>
        <v>445.64231000000001</v>
      </c>
      <c r="I171" s="304">
        <f t="shared" si="49"/>
        <v>216.86</v>
      </c>
      <c r="J171" s="306">
        <f t="shared" si="49"/>
        <v>1309.04143</v>
      </c>
    </row>
    <row r="172" spans="2:10">
      <c r="B172" s="445"/>
      <c r="C172" s="451" t="s">
        <v>204</v>
      </c>
      <c r="D172" s="346" t="s">
        <v>196</v>
      </c>
      <c r="E172" s="373">
        <v>0</v>
      </c>
      <c r="F172" s="373">
        <v>0</v>
      </c>
      <c r="G172" s="373">
        <v>0</v>
      </c>
      <c r="H172" s="373">
        <v>0</v>
      </c>
      <c r="I172" s="329">
        <v>0</v>
      </c>
      <c r="J172" s="320">
        <f>SUM(E172:I172)</f>
        <v>0</v>
      </c>
    </row>
    <row r="173" spans="2:10">
      <c r="B173" s="445"/>
      <c r="C173" s="451"/>
      <c r="D173" s="348" t="s">
        <v>197</v>
      </c>
      <c r="E173" s="373">
        <v>0</v>
      </c>
      <c r="F173" s="329">
        <v>4.0632000000000001</v>
      </c>
      <c r="G173" s="373">
        <v>0</v>
      </c>
      <c r="H173" s="373">
        <v>0.17902000000000001</v>
      </c>
      <c r="I173" s="329">
        <v>588.41042800000002</v>
      </c>
      <c r="J173" s="310">
        <f>SUM(E173:I173)</f>
        <v>592.652648</v>
      </c>
    </row>
    <row r="174" spans="2:10">
      <c r="B174" s="445"/>
      <c r="C174" s="452"/>
      <c r="D174" s="349" t="s">
        <v>198</v>
      </c>
      <c r="E174" s="373">
        <v>0</v>
      </c>
      <c r="F174" s="329">
        <v>0.745</v>
      </c>
      <c r="G174" s="373">
        <v>0</v>
      </c>
      <c r="H174" s="329">
        <v>112.359779</v>
      </c>
      <c r="I174" s="329">
        <v>0</v>
      </c>
      <c r="J174" s="356">
        <f>SUM(E174:I174)</f>
        <v>113.10477900000001</v>
      </c>
    </row>
    <row r="175" spans="2:10">
      <c r="B175" s="446"/>
      <c r="C175" s="314" t="s">
        <v>205</v>
      </c>
      <c r="D175" s="368"/>
      <c r="E175" s="304">
        <f t="shared" ref="E175:J175" si="50">SUM(E172:E174)</f>
        <v>0</v>
      </c>
      <c r="F175" s="304">
        <f t="shared" si="50"/>
        <v>4.8082000000000003</v>
      </c>
      <c r="G175" s="304">
        <f t="shared" si="50"/>
        <v>0</v>
      </c>
      <c r="H175" s="304">
        <f t="shared" si="50"/>
        <v>112.538799</v>
      </c>
      <c r="I175" s="304">
        <f t="shared" si="50"/>
        <v>588.41042800000002</v>
      </c>
      <c r="J175" s="306">
        <f t="shared" si="50"/>
        <v>705.75742700000001</v>
      </c>
    </row>
    <row r="176" spans="2:10" ht="26.25" customHeight="1">
      <c r="B176" s="120" t="s">
        <v>123</v>
      </c>
      <c r="C176" s="159"/>
      <c r="D176" s="256"/>
      <c r="E176" s="59">
        <f t="shared" ref="E176:J176" si="51">+E175+E171+E167+E163</f>
        <v>706.88729899999987</v>
      </c>
      <c r="F176" s="59">
        <f t="shared" si="51"/>
        <v>874.05834700000003</v>
      </c>
      <c r="G176" s="59">
        <f t="shared" si="51"/>
        <v>323.99698999999998</v>
      </c>
      <c r="H176" s="59">
        <f t="shared" si="51"/>
        <v>1054.8944590000001</v>
      </c>
      <c r="I176" s="59">
        <f t="shared" si="51"/>
        <v>1164.7875779999999</v>
      </c>
      <c r="J176" s="83">
        <f t="shared" si="51"/>
        <v>4124.6246730000003</v>
      </c>
    </row>
    <row r="177" spans="2:10">
      <c r="B177" s="444">
        <v>2012</v>
      </c>
      <c r="C177" s="447" t="s">
        <v>198</v>
      </c>
      <c r="D177" s="249" t="s">
        <v>196</v>
      </c>
      <c r="E177" s="261">
        <v>0</v>
      </c>
      <c r="F177" s="261">
        <v>0</v>
      </c>
      <c r="G177" s="261">
        <v>0</v>
      </c>
      <c r="H177" s="261">
        <v>0</v>
      </c>
      <c r="I177" s="261">
        <v>0</v>
      </c>
      <c r="J177" s="157">
        <f>SUM(E177:I177)</f>
        <v>0</v>
      </c>
    </row>
    <row r="178" spans="2:10">
      <c r="B178" s="445"/>
      <c r="C178" s="448"/>
      <c r="D178" s="251" t="s">
        <v>197</v>
      </c>
      <c r="E178" s="261">
        <v>0</v>
      </c>
      <c r="F178" s="261">
        <v>0</v>
      </c>
      <c r="G178" s="261">
        <v>0</v>
      </c>
      <c r="H178" s="261">
        <v>0</v>
      </c>
      <c r="I178" s="261">
        <v>0</v>
      </c>
      <c r="J178" s="157">
        <f>SUM(E178:I178)</f>
        <v>0</v>
      </c>
    </row>
    <row r="179" spans="2:10">
      <c r="B179" s="445"/>
      <c r="C179" s="448"/>
      <c r="D179" s="252" t="s">
        <v>198</v>
      </c>
      <c r="E179" s="261">
        <v>0</v>
      </c>
      <c r="F179" s="261">
        <v>0</v>
      </c>
      <c r="G179" s="261">
        <v>0</v>
      </c>
      <c r="H179" s="261">
        <v>0</v>
      </c>
      <c r="I179" s="261">
        <v>0</v>
      </c>
      <c r="J179" s="157">
        <f>SUM(E179:I179)</f>
        <v>0</v>
      </c>
    </row>
    <row r="180" spans="2:10">
      <c r="B180" s="445"/>
      <c r="C180" s="354" t="s">
        <v>206</v>
      </c>
      <c r="D180" s="368"/>
      <c r="E180" s="304">
        <f t="shared" ref="E180:J180" si="52">SUM(E177:E179)</f>
        <v>0</v>
      </c>
      <c r="F180" s="304">
        <f t="shared" si="52"/>
        <v>0</v>
      </c>
      <c r="G180" s="304">
        <f t="shared" si="52"/>
        <v>0</v>
      </c>
      <c r="H180" s="304">
        <f t="shared" si="52"/>
        <v>0</v>
      </c>
      <c r="I180" s="304">
        <f t="shared" si="52"/>
        <v>0</v>
      </c>
      <c r="J180" s="306">
        <f t="shared" si="52"/>
        <v>0</v>
      </c>
    </row>
    <row r="181" spans="2:10">
      <c r="B181" s="445"/>
      <c r="C181" s="449" t="s">
        <v>200</v>
      </c>
      <c r="D181" s="346" t="s">
        <v>196</v>
      </c>
      <c r="E181" s="333">
        <v>47.336330000000004</v>
      </c>
      <c r="F181" s="333">
        <v>89.577140000000014</v>
      </c>
      <c r="G181" s="333">
        <v>69.456820000000008</v>
      </c>
      <c r="H181" s="333">
        <v>41.946950000000001</v>
      </c>
      <c r="I181" s="333">
        <v>53.915710000000004</v>
      </c>
      <c r="J181" s="320">
        <f>SUM(E181:I181)</f>
        <v>302.23295000000002</v>
      </c>
    </row>
    <row r="182" spans="2:10">
      <c r="B182" s="445"/>
      <c r="C182" s="449"/>
      <c r="D182" s="348" t="s">
        <v>197</v>
      </c>
      <c r="E182" s="333">
        <v>295.20824099999999</v>
      </c>
      <c r="F182" s="333">
        <v>285.90746100000007</v>
      </c>
      <c r="G182" s="333">
        <v>228.82406000000003</v>
      </c>
      <c r="H182" s="333">
        <v>383.86665900000008</v>
      </c>
      <c r="I182" s="333">
        <v>278.82447000000002</v>
      </c>
      <c r="J182" s="310">
        <f>SUM(E182:I182)</f>
        <v>1472.6308910000002</v>
      </c>
    </row>
    <row r="183" spans="2:10">
      <c r="B183" s="445"/>
      <c r="C183" s="449"/>
      <c r="D183" s="349" t="s">
        <v>198</v>
      </c>
      <c r="E183" s="333">
        <v>7.2096199999999993</v>
      </c>
      <c r="F183" s="333">
        <v>2.0078199999999997</v>
      </c>
      <c r="G183" s="373">
        <v>0</v>
      </c>
      <c r="H183" s="373">
        <v>0</v>
      </c>
      <c r="I183" s="373">
        <v>0</v>
      </c>
      <c r="J183" s="356">
        <f>SUM(E183:I183)</f>
        <v>9.2174399999999999</v>
      </c>
    </row>
    <row r="184" spans="2:10">
      <c r="B184" s="445"/>
      <c r="C184" s="311" t="s">
        <v>201</v>
      </c>
      <c r="D184" s="368"/>
      <c r="E184" s="304">
        <f t="shared" ref="E184:J184" si="53">SUM(E181:E183)</f>
        <v>349.75419099999999</v>
      </c>
      <c r="F184" s="304">
        <f t="shared" si="53"/>
        <v>377.49242100000009</v>
      </c>
      <c r="G184" s="304">
        <f t="shared" si="53"/>
        <v>298.28088000000002</v>
      </c>
      <c r="H184" s="304">
        <f t="shared" si="53"/>
        <v>425.8136090000001</v>
      </c>
      <c r="I184" s="304">
        <f t="shared" si="53"/>
        <v>332.74018000000001</v>
      </c>
      <c r="J184" s="306">
        <f t="shared" si="53"/>
        <v>1784.0812810000002</v>
      </c>
    </row>
    <row r="185" spans="2:10">
      <c r="B185" s="445"/>
      <c r="C185" s="450" t="s">
        <v>202</v>
      </c>
      <c r="D185" s="346" t="s">
        <v>196</v>
      </c>
      <c r="E185" s="333">
        <v>139.869</v>
      </c>
      <c r="F185" s="333">
        <v>672.29889899999989</v>
      </c>
      <c r="G185" s="333">
        <v>60.139710000000001</v>
      </c>
      <c r="H185" s="333">
        <v>597.09829999999999</v>
      </c>
      <c r="I185" s="333">
        <v>284.05400000000003</v>
      </c>
      <c r="J185" s="320">
        <f>SUM(E185:I185)</f>
        <v>1753.4599090000002</v>
      </c>
    </row>
    <row r="186" spans="2:10">
      <c r="B186" s="445"/>
      <c r="C186" s="450"/>
      <c r="D186" s="348" t="s">
        <v>197</v>
      </c>
      <c r="E186" s="333">
        <v>11.574</v>
      </c>
      <c r="F186" s="373">
        <v>0</v>
      </c>
      <c r="G186" s="371">
        <v>0</v>
      </c>
      <c r="H186" s="373">
        <v>0</v>
      </c>
      <c r="I186" s="333">
        <v>12.545999999999999</v>
      </c>
      <c r="J186" s="310">
        <f>SUM(E186:I186)</f>
        <v>24.119999999999997</v>
      </c>
    </row>
    <row r="187" spans="2:10">
      <c r="B187" s="445"/>
      <c r="C187" s="450"/>
      <c r="D187" s="349" t="s">
        <v>198</v>
      </c>
      <c r="E187" s="373">
        <v>0</v>
      </c>
      <c r="F187" s="373">
        <v>0</v>
      </c>
      <c r="G187" s="371">
        <v>0</v>
      </c>
      <c r="H187" s="373">
        <v>0</v>
      </c>
      <c r="I187" s="373">
        <v>0</v>
      </c>
      <c r="J187" s="356">
        <f>SUM(E187:I187)</f>
        <v>0</v>
      </c>
    </row>
    <row r="188" spans="2:10">
      <c r="B188" s="445"/>
      <c r="C188" s="353" t="s">
        <v>203</v>
      </c>
      <c r="D188" s="368"/>
      <c r="E188" s="304">
        <f t="shared" ref="E188:J188" si="54">SUM(E185:E187)</f>
        <v>151.44300000000001</v>
      </c>
      <c r="F188" s="304">
        <f t="shared" si="54"/>
        <v>672.29889899999989</v>
      </c>
      <c r="G188" s="304">
        <f t="shared" si="54"/>
        <v>60.139710000000001</v>
      </c>
      <c r="H188" s="304">
        <f t="shared" si="54"/>
        <v>597.09829999999999</v>
      </c>
      <c r="I188" s="304">
        <f t="shared" si="54"/>
        <v>296.60000000000002</v>
      </c>
      <c r="J188" s="306">
        <f t="shared" si="54"/>
        <v>1777.579909</v>
      </c>
    </row>
    <row r="189" spans="2:10">
      <c r="B189" s="445"/>
      <c r="C189" s="451" t="s">
        <v>204</v>
      </c>
      <c r="D189" s="346" t="s">
        <v>196</v>
      </c>
      <c r="E189" s="373">
        <v>0</v>
      </c>
      <c r="F189" s="373">
        <v>0</v>
      </c>
      <c r="G189" s="333">
        <v>2.101</v>
      </c>
      <c r="H189" s="373">
        <v>0</v>
      </c>
      <c r="I189" s="373">
        <v>0</v>
      </c>
      <c r="J189" s="320">
        <f>SUM(E189:I189)</f>
        <v>2.101</v>
      </c>
    </row>
    <row r="190" spans="2:10">
      <c r="B190" s="445"/>
      <c r="C190" s="451"/>
      <c r="D190" s="348" t="s">
        <v>197</v>
      </c>
      <c r="E190" s="373">
        <v>0</v>
      </c>
      <c r="F190" s="333">
        <v>3.0947</v>
      </c>
      <c r="G190" s="373">
        <v>0</v>
      </c>
      <c r="H190" s="333">
        <v>1.33833</v>
      </c>
      <c r="I190" s="333">
        <v>913.34168</v>
      </c>
      <c r="J190" s="310">
        <f>SUM(E190:I190)</f>
        <v>917.77471000000003</v>
      </c>
    </row>
    <row r="191" spans="2:10">
      <c r="B191" s="445"/>
      <c r="C191" s="452"/>
      <c r="D191" s="349" t="s">
        <v>198</v>
      </c>
      <c r="E191" s="373">
        <v>0</v>
      </c>
      <c r="F191" s="373">
        <v>0</v>
      </c>
      <c r="G191" s="373">
        <v>0</v>
      </c>
      <c r="H191" s="333">
        <v>116.830431</v>
      </c>
      <c r="I191" s="373">
        <v>0</v>
      </c>
      <c r="J191" s="356">
        <f>SUM(E191:I191)</f>
        <v>116.830431</v>
      </c>
    </row>
    <row r="192" spans="2:10">
      <c r="B192" s="446"/>
      <c r="C192" s="314" t="s">
        <v>205</v>
      </c>
      <c r="D192" s="368"/>
      <c r="E192" s="304">
        <f t="shared" ref="E192:J192" si="55">SUM(E189:E191)</f>
        <v>0</v>
      </c>
      <c r="F192" s="304">
        <f t="shared" si="55"/>
        <v>3.0947</v>
      </c>
      <c r="G192" s="304">
        <f t="shared" si="55"/>
        <v>2.101</v>
      </c>
      <c r="H192" s="304">
        <f t="shared" si="55"/>
        <v>118.168761</v>
      </c>
      <c r="I192" s="304">
        <f t="shared" si="55"/>
        <v>913.34168</v>
      </c>
      <c r="J192" s="306">
        <f t="shared" si="55"/>
        <v>1036.7061410000001</v>
      </c>
    </row>
    <row r="193" spans="2:10" ht="25.5" customHeight="1">
      <c r="B193" s="120" t="s">
        <v>124</v>
      </c>
      <c r="C193" s="159"/>
      <c r="D193" s="256"/>
      <c r="E193" s="59">
        <f t="shared" ref="E193:J193" si="56">+E192+E188+E184+E180</f>
        <v>501.19719099999998</v>
      </c>
      <c r="F193" s="59">
        <f t="shared" si="56"/>
        <v>1052.8860199999999</v>
      </c>
      <c r="G193" s="59">
        <f t="shared" si="56"/>
        <v>360.52159</v>
      </c>
      <c r="H193" s="59">
        <f t="shared" si="56"/>
        <v>1141.0806700000001</v>
      </c>
      <c r="I193" s="59">
        <f t="shared" si="56"/>
        <v>1542.6818599999999</v>
      </c>
      <c r="J193" s="83">
        <f t="shared" si="56"/>
        <v>4598.3673310000004</v>
      </c>
    </row>
    <row r="194" spans="2:10" ht="12.75" customHeight="1">
      <c r="B194" s="444">
        <v>2013</v>
      </c>
      <c r="C194" s="447" t="s">
        <v>198</v>
      </c>
      <c r="D194" s="249" t="s">
        <v>196</v>
      </c>
      <c r="E194" s="261">
        <v>0</v>
      </c>
      <c r="F194" s="261">
        <v>0</v>
      </c>
      <c r="G194" s="261">
        <v>0</v>
      </c>
      <c r="H194" s="261">
        <v>0</v>
      </c>
      <c r="I194" s="261">
        <v>0</v>
      </c>
      <c r="J194" s="157">
        <f>SUM(E194:I194)</f>
        <v>0</v>
      </c>
    </row>
    <row r="195" spans="2:10" ht="12.75" customHeight="1">
      <c r="B195" s="445"/>
      <c r="C195" s="448"/>
      <c r="D195" s="251" t="s">
        <v>197</v>
      </c>
      <c r="E195" s="261">
        <v>0</v>
      </c>
      <c r="F195" s="261">
        <v>0</v>
      </c>
      <c r="G195" s="261">
        <v>0</v>
      </c>
      <c r="H195" s="261">
        <v>0</v>
      </c>
      <c r="I195" s="261">
        <v>0</v>
      </c>
      <c r="J195" s="157">
        <f>SUM(E195:I195)</f>
        <v>0</v>
      </c>
    </row>
    <row r="196" spans="2:10" ht="12.75" customHeight="1">
      <c r="B196" s="445"/>
      <c r="C196" s="448"/>
      <c r="D196" s="252" t="s">
        <v>198</v>
      </c>
      <c r="E196" s="261">
        <v>0</v>
      </c>
      <c r="F196" s="261">
        <v>0</v>
      </c>
      <c r="G196" s="261">
        <v>0</v>
      </c>
      <c r="H196" s="261">
        <v>0</v>
      </c>
      <c r="I196" s="261">
        <v>0</v>
      </c>
      <c r="J196" s="157">
        <f>SUM(E196:I196)</f>
        <v>0</v>
      </c>
    </row>
    <row r="197" spans="2:10" ht="12.75" customHeight="1">
      <c r="B197" s="445"/>
      <c r="C197" s="354" t="s">
        <v>206</v>
      </c>
      <c r="D197" s="368"/>
      <c r="E197" s="304">
        <f t="shared" ref="E197:J197" si="57">SUM(E194:E196)</f>
        <v>0</v>
      </c>
      <c r="F197" s="304">
        <f t="shared" si="57"/>
        <v>0</v>
      </c>
      <c r="G197" s="304">
        <f t="shared" si="57"/>
        <v>0</v>
      </c>
      <c r="H197" s="304">
        <f t="shared" si="57"/>
        <v>0</v>
      </c>
      <c r="I197" s="304">
        <f t="shared" si="57"/>
        <v>0</v>
      </c>
      <c r="J197" s="306">
        <f t="shared" si="57"/>
        <v>0</v>
      </c>
    </row>
    <row r="198" spans="2:10" ht="12.75" customHeight="1">
      <c r="B198" s="445"/>
      <c r="C198" s="449" t="s">
        <v>200</v>
      </c>
      <c r="D198" s="346" t="s">
        <v>196</v>
      </c>
      <c r="E198" s="333">
        <v>42.978210000000004</v>
      </c>
      <c r="F198" s="333">
        <v>86.643520000000009</v>
      </c>
      <c r="G198" s="333">
        <v>46.25589999999999</v>
      </c>
      <c r="H198" s="333">
        <v>61.059041000000008</v>
      </c>
      <c r="I198" s="333">
        <v>56.102109999999989</v>
      </c>
      <c r="J198" s="320">
        <f>SUM(E198:I198)</f>
        <v>293.03878100000003</v>
      </c>
    </row>
    <row r="199" spans="2:10" ht="12.75" customHeight="1">
      <c r="B199" s="445"/>
      <c r="C199" s="449"/>
      <c r="D199" s="348" t="s">
        <v>197</v>
      </c>
      <c r="E199" s="333">
        <v>255.31899000000001</v>
      </c>
      <c r="F199" s="333">
        <v>297.58076899999998</v>
      </c>
      <c r="G199" s="333">
        <v>321.04091</v>
      </c>
      <c r="H199" s="333">
        <v>496.35494799999998</v>
      </c>
      <c r="I199" s="333">
        <v>330.48343100000017</v>
      </c>
      <c r="J199" s="310">
        <f>SUM(E199:I199)</f>
        <v>1700.7790480000001</v>
      </c>
    </row>
    <row r="200" spans="2:10" ht="12.75" customHeight="1">
      <c r="B200" s="445"/>
      <c r="C200" s="449"/>
      <c r="D200" s="349" t="s">
        <v>198</v>
      </c>
      <c r="E200" s="333">
        <v>8.7757000000000005</v>
      </c>
      <c r="F200" s="333">
        <v>3.3290799999999998</v>
      </c>
      <c r="G200" s="333">
        <v>1.2628900000000001</v>
      </c>
      <c r="H200" s="333"/>
      <c r="I200" s="333"/>
      <c r="J200" s="356">
        <f>SUM(E200:I200)</f>
        <v>13.36767</v>
      </c>
    </row>
    <row r="201" spans="2:10" ht="12.75" customHeight="1">
      <c r="B201" s="445"/>
      <c r="C201" s="311" t="s">
        <v>201</v>
      </c>
      <c r="D201" s="368"/>
      <c r="E201" s="304">
        <f t="shared" ref="E201:J201" si="58">SUM(E198:E200)</f>
        <v>307.0729</v>
      </c>
      <c r="F201" s="304">
        <f t="shared" si="58"/>
        <v>387.55336899999998</v>
      </c>
      <c r="G201" s="304">
        <f t="shared" si="58"/>
        <v>368.55970000000002</v>
      </c>
      <c r="H201" s="304">
        <f t="shared" si="58"/>
        <v>557.41398900000002</v>
      </c>
      <c r="I201" s="304">
        <f t="shared" si="58"/>
        <v>386.58554100000015</v>
      </c>
      <c r="J201" s="306">
        <f t="shared" si="58"/>
        <v>2007.1854990000002</v>
      </c>
    </row>
    <row r="202" spans="2:10" ht="12.75" customHeight="1">
      <c r="B202" s="445"/>
      <c r="C202" s="450" t="s">
        <v>202</v>
      </c>
      <c r="D202" s="346" t="s">
        <v>196</v>
      </c>
      <c r="E202" s="333">
        <v>145.04500000000002</v>
      </c>
      <c r="F202" s="333">
        <v>723.54166099999998</v>
      </c>
      <c r="G202" s="333">
        <v>62.071120000000001</v>
      </c>
      <c r="H202" s="333">
        <v>473.601</v>
      </c>
      <c r="I202" s="333">
        <v>335.63099999999997</v>
      </c>
      <c r="J202" s="320">
        <f>SUM(E202:I202)</f>
        <v>1739.8897809999999</v>
      </c>
    </row>
    <row r="203" spans="2:10" ht="12.75" customHeight="1">
      <c r="B203" s="445"/>
      <c r="C203" s="450"/>
      <c r="D203" s="348" t="s">
        <v>197</v>
      </c>
      <c r="E203" s="333">
        <v>12.724</v>
      </c>
      <c r="F203" s="373">
        <v>0</v>
      </c>
      <c r="G203" s="373">
        <v>0</v>
      </c>
      <c r="H203" s="373">
        <v>0</v>
      </c>
      <c r="I203" s="333">
        <v>40.531999999999996</v>
      </c>
      <c r="J203" s="310">
        <f>SUM(E203:I203)</f>
        <v>53.256</v>
      </c>
    </row>
    <row r="204" spans="2:10" ht="12.75" customHeight="1">
      <c r="B204" s="445"/>
      <c r="C204" s="450"/>
      <c r="D204" s="349" t="s">
        <v>198</v>
      </c>
      <c r="E204" s="373">
        <v>0</v>
      </c>
      <c r="F204" s="373">
        <v>0</v>
      </c>
      <c r="G204" s="373">
        <v>0</v>
      </c>
      <c r="H204" s="373">
        <v>0</v>
      </c>
      <c r="I204" s="373">
        <v>0</v>
      </c>
      <c r="J204" s="356">
        <f>SUM(E204:I204)</f>
        <v>0</v>
      </c>
    </row>
    <row r="205" spans="2:10" ht="12.75" customHeight="1">
      <c r="B205" s="445"/>
      <c r="C205" s="353" t="s">
        <v>203</v>
      </c>
      <c r="D205" s="368"/>
      <c r="E205" s="304">
        <f t="shared" ref="E205:J205" si="59">SUM(E202:E204)</f>
        <v>157.76900000000001</v>
      </c>
      <c r="F205" s="304">
        <f t="shared" si="59"/>
        <v>723.54166099999998</v>
      </c>
      <c r="G205" s="304">
        <f t="shared" si="59"/>
        <v>62.071120000000001</v>
      </c>
      <c r="H205" s="304">
        <f t="shared" si="59"/>
        <v>473.601</v>
      </c>
      <c r="I205" s="304">
        <f t="shared" si="59"/>
        <v>376.16299999999995</v>
      </c>
      <c r="J205" s="306">
        <f t="shared" si="59"/>
        <v>1793.1457809999999</v>
      </c>
    </row>
    <row r="206" spans="2:10" ht="12.75" customHeight="1">
      <c r="B206" s="445"/>
      <c r="C206" s="451" t="s">
        <v>204</v>
      </c>
      <c r="D206" s="346" t="s">
        <v>196</v>
      </c>
      <c r="E206" s="373">
        <v>0</v>
      </c>
      <c r="F206" s="373">
        <v>0</v>
      </c>
      <c r="G206" s="333">
        <v>14.4</v>
      </c>
      <c r="H206" s="373">
        <v>0</v>
      </c>
      <c r="I206" s="373">
        <v>0</v>
      </c>
      <c r="J206" s="320">
        <f>SUM(E206:I206)</f>
        <v>14.4</v>
      </c>
    </row>
    <row r="207" spans="2:10" ht="12.75" customHeight="1">
      <c r="B207" s="445"/>
      <c r="C207" s="451"/>
      <c r="D207" s="348" t="s">
        <v>197</v>
      </c>
      <c r="E207" s="373">
        <v>0</v>
      </c>
      <c r="F207" s="333">
        <v>4.6311</v>
      </c>
      <c r="G207" s="373">
        <v>0</v>
      </c>
      <c r="H207" s="373">
        <v>0</v>
      </c>
      <c r="I207" s="333">
        <v>755.60405700000001</v>
      </c>
      <c r="J207" s="310">
        <f>SUM(E207:I207)</f>
        <v>760.23515699999996</v>
      </c>
    </row>
    <row r="208" spans="2:10" ht="12.75" customHeight="1">
      <c r="B208" s="445"/>
      <c r="C208" s="452"/>
      <c r="D208" s="349" t="s">
        <v>198</v>
      </c>
      <c r="E208" s="373">
        <v>0</v>
      </c>
      <c r="F208" s="373">
        <v>0</v>
      </c>
      <c r="G208" s="373">
        <v>0</v>
      </c>
      <c r="H208" s="333">
        <v>159.54678199999992</v>
      </c>
      <c r="I208" s="373">
        <v>0</v>
      </c>
      <c r="J208" s="356">
        <f>SUM(E208:I208)</f>
        <v>159.54678199999992</v>
      </c>
    </row>
    <row r="209" spans="2:10" ht="12.75" customHeight="1">
      <c r="B209" s="446"/>
      <c r="C209" s="314" t="s">
        <v>205</v>
      </c>
      <c r="D209" s="368"/>
      <c r="E209" s="304">
        <f t="shared" ref="E209:J209" si="60">SUM(E206:E208)</f>
        <v>0</v>
      </c>
      <c r="F209" s="304">
        <f t="shared" si="60"/>
        <v>4.6311</v>
      </c>
      <c r="G209" s="304">
        <f t="shared" si="60"/>
        <v>14.4</v>
      </c>
      <c r="H209" s="304">
        <f t="shared" si="60"/>
        <v>159.54678199999992</v>
      </c>
      <c r="I209" s="304">
        <f t="shared" si="60"/>
        <v>755.60405700000001</v>
      </c>
      <c r="J209" s="306">
        <f t="shared" si="60"/>
        <v>934.18193899999983</v>
      </c>
    </row>
    <row r="210" spans="2:10" ht="27" customHeight="1">
      <c r="B210" s="120" t="s">
        <v>125</v>
      </c>
      <c r="C210" s="159"/>
      <c r="D210" s="256"/>
      <c r="E210" s="59">
        <f t="shared" ref="E210:J210" si="61">+E209+E205+E201+E197</f>
        <v>464.84190000000001</v>
      </c>
      <c r="F210" s="59">
        <f t="shared" si="61"/>
        <v>1115.72613</v>
      </c>
      <c r="G210" s="59">
        <f t="shared" si="61"/>
        <v>445.03082000000001</v>
      </c>
      <c r="H210" s="59">
        <f t="shared" si="61"/>
        <v>1190.5617709999999</v>
      </c>
      <c r="I210" s="59">
        <f t="shared" si="61"/>
        <v>1518.3525980000002</v>
      </c>
      <c r="J210" s="83">
        <f t="shared" si="61"/>
        <v>4734.5132190000004</v>
      </c>
    </row>
    <row r="211" spans="2:10">
      <c r="B211" s="444">
        <v>2014</v>
      </c>
      <c r="C211" s="447" t="s">
        <v>198</v>
      </c>
      <c r="D211" s="249" t="s">
        <v>196</v>
      </c>
      <c r="E211" s="261">
        <v>0</v>
      </c>
      <c r="F211" s="261">
        <v>0</v>
      </c>
      <c r="G211" s="261">
        <v>0</v>
      </c>
      <c r="H211" s="261">
        <v>0</v>
      </c>
      <c r="I211" s="261">
        <v>0</v>
      </c>
      <c r="J211" s="157">
        <f>SUM(E211:I211)</f>
        <v>0</v>
      </c>
    </row>
    <row r="212" spans="2:10">
      <c r="B212" s="445"/>
      <c r="C212" s="448"/>
      <c r="D212" s="251" t="s">
        <v>197</v>
      </c>
      <c r="E212" s="261">
        <v>0</v>
      </c>
      <c r="F212" s="261">
        <v>0</v>
      </c>
      <c r="G212" s="261">
        <v>0</v>
      </c>
      <c r="H212" s="261">
        <v>0</v>
      </c>
      <c r="I212" s="261">
        <v>0</v>
      </c>
      <c r="J212" s="157">
        <f>SUM(E212:I212)</f>
        <v>0</v>
      </c>
    </row>
    <row r="213" spans="2:10">
      <c r="B213" s="445"/>
      <c r="C213" s="448"/>
      <c r="D213" s="252" t="s">
        <v>198</v>
      </c>
      <c r="E213" s="261">
        <v>0</v>
      </c>
      <c r="F213" s="261">
        <v>0</v>
      </c>
      <c r="G213" s="261">
        <v>0</v>
      </c>
      <c r="H213" s="261">
        <v>0</v>
      </c>
      <c r="I213" s="261">
        <v>0</v>
      </c>
      <c r="J213" s="157">
        <f>SUM(E213:I213)</f>
        <v>0</v>
      </c>
    </row>
    <row r="214" spans="2:10">
      <c r="B214" s="445"/>
      <c r="C214" s="354" t="s">
        <v>206</v>
      </c>
      <c r="D214" s="368"/>
      <c r="E214" s="304">
        <f t="shared" ref="E214:J214" si="62">SUM(E211:E213)</f>
        <v>0</v>
      </c>
      <c r="F214" s="304">
        <f t="shared" si="62"/>
        <v>0</v>
      </c>
      <c r="G214" s="304">
        <f t="shared" si="62"/>
        <v>0</v>
      </c>
      <c r="H214" s="304">
        <f t="shared" si="62"/>
        <v>0</v>
      </c>
      <c r="I214" s="304">
        <f t="shared" si="62"/>
        <v>0</v>
      </c>
      <c r="J214" s="306">
        <f t="shared" si="62"/>
        <v>0</v>
      </c>
    </row>
    <row r="215" spans="2:10">
      <c r="B215" s="445"/>
      <c r="C215" s="449" t="s">
        <v>200</v>
      </c>
      <c r="D215" s="346" t="s">
        <v>196</v>
      </c>
      <c r="E215" s="87">
        <v>43.728899999999996</v>
      </c>
      <c r="F215" s="87">
        <v>140.76147000000003</v>
      </c>
      <c r="G215" s="87">
        <v>57.591320000000003</v>
      </c>
      <c r="H215" s="87">
        <v>265.62215099999997</v>
      </c>
      <c r="I215" s="87">
        <v>103.06764100000001</v>
      </c>
      <c r="J215" s="320">
        <f>SUM(E215:I215)</f>
        <v>610.77148199999999</v>
      </c>
    </row>
    <row r="216" spans="2:10">
      <c r="B216" s="445"/>
      <c r="C216" s="449"/>
      <c r="D216" s="348" t="s">
        <v>197</v>
      </c>
      <c r="E216" s="87">
        <v>322.43497000000002</v>
      </c>
      <c r="F216" s="87">
        <v>315.7550389999999</v>
      </c>
      <c r="G216" s="87">
        <v>87.276470000000032</v>
      </c>
      <c r="H216" s="87">
        <v>432.27540800000008</v>
      </c>
      <c r="I216" s="87">
        <v>305.51823899999994</v>
      </c>
      <c r="J216" s="310">
        <f>SUM(E216:I216)</f>
        <v>1463.2601260000001</v>
      </c>
    </row>
    <row r="217" spans="2:10">
      <c r="B217" s="445"/>
      <c r="C217" s="449"/>
      <c r="D217" s="349" t="s">
        <v>198</v>
      </c>
      <c r="E217" s="87">
        <v>9.6223200000000002</v>
      </c>
      <c r="F217" s="87">
        <v>3.8775200000000001</v>
      </c>
      <c r="G217" s="261">
        <v>0</v>
      </c>
      <c r="H217" s="261">
        <v>0</v>
      </c>
      <c r="I217" s="87">
        <v>8.9859999999999995E-2</v>
      </c>
      <c r="J217" s="356">
        <f>SUM(E217:I217)</f>
        <v>13.589700000000001</v>
      </c>
    </row>
    <row r="218" spans="2:10">
      <c r="B218" s="445"/>
      <c r="C218" s="311" t="s">
        <v>201</v>
      </c>
      <c r="D218" s="368"/>
      <c r="E218" s="304">
        <f t="shared" ref="E218:J218" si="63">SUM(E215:E217)</f>
        <v>375.78619000000003</v>
      </c>
      <c r="F218" s="304">
        <f t="shared" si="63"/>
        <v>460.39402899999993</v>
      </c>
      <c r="G218" s="304">
        <f t="shared" si="63"/>
        <v>144.86779000000004</v>
      </c>
      <c r="H218" s="304">
        <f t="shared" si="63"/>
        <v>697.897559</v>
      </c>
      <c r="I218" s="304">
        <f t="shared" si="63"/>
        <v>408.67573999999996</v>
      </c>
      <c r="J218" s="306">
        <f t="shared" si="63"/>
        <v>2087.6213080000002</v>
      </c>
    </row>
    <row r="219" spans="2:10">
      <c r="B219" s="445"/>
      <c r="C219" s="450" t="s">
        <v>202</v>
      </c>
      <c r="D219" s="346" t="s">
        <v>196</v>
      </c>
      <c r="E219" s="87">
        <v>202.50900000000001</v>
      </c>
      <c r="F219" s="87">
        <v>732.33271700000012</v>
      </c>
      <c r="G219" s="87">
        <v>74.367991000000004</v>
      </c>
      <c r="H219" s="87">
        <v>496.11200000000002</v>
      </c>
      <c r="I219" s="87">
        <v>358.69300000000004</v>
      </c>
      <c r="J219" s="320">
        <f>SUM(E219:I219)</f>
        <v>1864.0147080000002</v>
      </c>
    </row>
    <row r="220" spans="2:10">
      <c r="B220" s="445"/>
      <c r="C220" s="450"/>
      <c r="D220" s="348" t="s">
        <v>197</v>
      </c>
      <c r="E220" s="87">
        <v>1.302</v>
      </c>
      <c r="F220" s="373">
        <v>0</v>
      </c>
      <c r="G220" s="373">
        <v>0</v>
      </c>
      <c r="H220" s="373">
        <v>0</v>
      </c>
      <c r="I220" s="87">
        <v>8.1760000000000002</v>
      </c>
      <c r="J220" s="310">
        <f>SUM(E220:I220)</f>
        <v>9.4779999999999998</v>
      </c>
    </row>
    <row r="221" spans="2:10">
      <c r="B221" s="445"/>
      <c r="C221" s="450"/>
      <c r="D221" s="349" t="s">
        <v>198</v>
      </c>
      <c r="E221" s="373">
        <v>0</v>
      </c>
      <c r="F221" s="373">
        <v>0</v>
      </c>
      <c r="G221" s="373">
        <v>0</v>
      </c>
      <c r="H221" s="373">
        <v>0</v>
      </c>
      <c r="I221" s="373">
        <v>0</v>
      </c>
      <c r="J221" s="356">
        <f>SUM(E221:I221)</f>
        <v>0</v>
      </c>
    </row>
    <row r="222" spans="2:10">
      <c r="B222" s="445"/>
      <c r="C222" s="353" t="s">
        <v>203</v>
      </c>
      <c r="D222" s="368"/>
      <c r="E222" s="304">
        <f t="shared" ref="E222:J222" si="64">SUM(E219:E221)</f>
        <v>203.81100000000001</v>
      </c>
      <c r="F222" s="304">
        <f t="shared" si="64"/>
        <v>732.33271700000012</v>
      </c>
      <c r="G222" s="304">
        <f t="shared" si="64"/>
        <v>74.367991000000004</v>
      </c>
      <c r="H222" s="304">
        <f t="shared" si="64"/>
        <v>496.11200000000002</v>
      </c>
      <c r="I222" s="304">
        <f t="shared" si="64"/>
        <v>366.86900000000003</v>
      </c>
      <c r="J222" s="306">
        <f t="shared" si="64"/>
        <v>1873.4927080000002</v>
      </c>
    </row>
    <row r="223" spans="2:10">
      <c r="B223" s="445"/>
      <c r="C223" s="451" t="s">
        <v>204</v>
      </c>
      <c r="D223" s="346" t="s">
        <v>196</v>
      </c>
      <c r="E223" s="373">
        <v>0</v>
      </c>
      <c r="F223" s="373">
        <v>0</v>
      </c>
      <c r="G223" s="373">
        <v>0</v>
      </c>
      <c r="H223" s="373">
        <v>0</v>
      </c>
      <c r="I223" s="373">
        <v>0</v>
      </c>
      <c r="J223" s="320">
        <f>SUM(E223:I223)</f>
        <v>0</v>
      </c>
    </row>
    <row r="224" spans="2:10">
      <c r="B224" s="445"/>
      <c r="C224" s="451"/>
      <c r="D224" s="348" t="s">
        <v>197</v>
      </c>
      <c r="E224" s="373">
        <v>0</v>
      </c>
      <c r="F224" s="333">
        <v>1.224</v>
      </c>
      <c r="G224" s="373">
        <v>0</v>
      </c>
      <c r="H224" s="373">
        <v>0</v>
      </c>
      <c r="I224" s="87">
        <v>428.44535199999996</v>
      </c>
      <c r="J224" s="310">
        <f>SUM(E224:I224)</f>
        <v>429.66935199999995</v>
      </c>
    </row>
    <row r="225" spans="2:10">
      <c r="B225" s="445"/>
      <c r="C225" s="452"/>
      <c r="D225" s="349" t="s">
        <v>198</v>
      </c>
      <c r="E225" s="373">
        <v>0</v>
      </c>
      <c r="F225" s="373">
        <v>0</v>
      </c>
      <c r="G225" s="373">
        <v>0</v>
      </c>
      <c r="H225" s="87">
        <v>144.21148999999997</v>
      </c>
      <c r="I225" s="373">
        <v>0</v>
      </c>
      <c r="J225" s="356">
        <f>SUM(E225:I225)</f>
        <v>144.21148999999997</v>
      </c>
    </row>
    <row r="226" spans="2:10">
      <c r="B226" s="446"/>
      <c r="C226" s="314" t="s">
        <v>205</v>
      </c>
      <c r="D226" s="368"/>
      <c r="E226" s="304">
        <f t="shared" ref="E226:J226" si="65">SUM(E223:E225)</f>
        <v>0</v>
      </c>
      <c r="F226" s="304">
        <f t="shared" si="65"/>
        <v>1.224</v>
      </c>
      <c r="G226" s="304">
        <f t="shared" si="65"/>
        <v>0</v>
      </c>
      <c r="H226" s="304">
        <f t="shared" si="65"/>
        <v>144.21148999999997</v>
      </c>
      <c r="I226" s="304">
        <f t="shared" si="65"/>
        <v>428.44535199999996</v>
      </c>
      <c r="J226" s="306">
        <f t="shared" si="65"/>
        <v>573.88084199999992</v>
      </c>
    </row>
    <row r="227" spans="2:10" ht="21.75" customHeight="1">
      <c r="B227" s="120" t="s">
        <v>226</v>
      </c>
      <c r="C227" s="159"/>
      <c r="D227" s="256"/>
      <c r="E227" s="59">
        <f t="shared" ref="E227:J227" si="66">+E226+E222+E218+E214</f>
        <v>579.59719000000007</v>
      </c>
      <c r="F227" s="59">
        <f t="shared" si="66"/>
        <v>1193.950746</v>
      </c>
      <c r="G227" s="59">
        <f t="shared" si="66"/>
        <v>219.23578100000003</v>
      </c>
      <c r="H227" s="59">
        <f t="shared" si="66"/>
        <v>1338.221049</v>
      </c>
      <c r="I227" s="59">
        <f t="shared" si="66"/>
        <v>1203.990092</v>
      </c>
      <c r="J227" s="83">
        <f t="shared" si="66"/>
        <v>4534.994858</v>
      </c>
    </row>
    <row r="228" spans="2:10">
      <c r="B228" s="394"/>
      <c r="C228" s="395"/>
      <c r="D228" s="396"/>
      <c r="E228" s="397"/>
      <c r="F228" s="397"/>
      <c r="G228" s="397"/>
      <c r="H228" s="397"/>
      <c r="I228" s="397"/>
      <c r="J228" s="397"/>
    </row>
    <row r="229" spans="2:10">
      <c r="B229" s="264" t="s">
        <v>32</v>
      </c>
      <c r="C229" s="15"/>
      <c r="D229" s="265"/>
      <c r="E229" s="44"/>
      <c r="F229" s="44"/>
      <c r="G229" s="44"/>
      <c r="H229" s="44"/>
      <c r="I229" s="44"/>
      <c r="J229" s="44"/>
    </row>
    <row r="230" spans="2:10">
      <c r="B230" s="15" t="s">
        <v>207</v>
      </c>
      <c r="D230" s="266"/>
    </row>
    <row r="231" spans="2:10">
      <c r="B231" s="16" t="s">
        <v>30</v>
      </c>
      <c r="D231" s="266"/>
    </row>
    <row r="232" spans="2:10">
      <c r="B232" s="16" t="s">
        <v>40</v>
      </c>
      <c r="D232" s="266"/>
    </row>
    <row r="233" spans="2:10">
      <c r="B233" s="16" t="s">
        <v>208</v>
      </c>
      <c r="D233" s="266"/>
    </row>
    <row r="234" spans="2:10">
      <c r="B234" s="16" t="s">
        <v>209</v>
      </c>
      <c r="D234" s="266"/>
    </row>
    <row r="235" spans="2:10">
      <c r="B235" s="16" t="s">
        <v>210</v>
      </c>
      <c r="D235" s="266"/>
    </row>
  </sheetData>
  <mergeCells count="66"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I5"/>
    <mergeCell ref="B7:B22"/>
    <mergeCell ref="C7:C9"/>
    <mergeCell ref="C11:C13"/>
    <mergeCell ref="C15:C17"/>
    <mergeCell ref="C19:C21"/>
    <mergeCell ref="B211:B226"/>
    <mergeCell ref="C211:C213"/>
    <mergeCell ref="C215:C217"/>
    <mergeCell ref="C219:C221"/>
    <mergeCell ref="C223:C225"/>
  </mergeCells>
  <pageMargins left="0.7" right="0.7" top="0.75" bottom="0.75" header="0.3" footer="0.3"/>
  <ignoredErrors>
    <ignoredError sqref="J197 J201 J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J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3" width="16" style="16" customWidth="1"/>
    <col min="4" max="4" width="15.42578125" style="16" customWidth="1"/>
    <col min="5" max="5" width="18.140625" style="16" customWidth="1"/>
    <col min="6" max="6" width="17" style="16" customWidth="1"/>
    <col min="7" max="7" width="15.7109375" style="16" customWidth="1"/>
    <col min="8" max="8" width="15" style="16" customWidth="1"/>
    <col min="9" max="9" width="11.42578125" style="16" customWidth="1"/>
    <col min="10" max="10" width="9.140625" style="16"/>
    <col min="11" max="11" width="14.42578125" style="16" customWidth="1"/>
    <col min="12" max="12" width="12.5703125" style="16" customWidth="1"/>
    <col min="13" max="16" width="12" style="16" customWidth="1"/>
    <col min="17" max="17" width="14.28515625" style="16" customWidth="1"/>
    <col min="18" max="18" width="12" style="16" customWidth="1"/>
    <col min="19" max="16384" width="9.140625" style="16"/>
  </cols>
  <sheetData>
    <row r="1" spans="1:10">
      <c r="A1" s="241"/>
    </row>
    <row r="2" spans="1:10" ht="22.5" customHeight="1">
      <c r="B2" s="64" t="s">
        <v>228</v>
      </c>
      <c r="C2" s="44"/>
      <c r="D2" s="19"/>
      <c r="E2" s="44"/>
      <c r="F2" s="44"/>
      <c r="G2" s="15"/>
      <c r="H2" s="44"/>
      <c r="I2" s="45"/>
    </row>
    <row r="3" spans="1:10" ht="18.75">
      <c r="B3" s="65" t="s">
        <v>31</v>
      </c>
      <c r="C3" s="44"/>
      <c r="D3" s="44"/>
      <c r="E3" s="44"/>
      <c r="F3" s="44"/>
      <c r="G3" s="15"/>
      <c r="H3" s="44"/>
      <c r="I3" s="45"/>
    </row>
    <row r="4" spans="1:10">
      <c r="B4" s="47"/>
    </row>
    <row r="5" spans="1:10" ht="12.75" customHeight="1">
      <c r="B5" s="435" t="s">
        <v>23</v>
      </c>
      <c r="C5" s="439" t="s">
        <v>13</v>
      </c>
      <c r="D5" s="440"/>
      <c r="E5" s="440"/>
      <c r="F5" s="440"/>
      <c r="G5" s="441"/>
      <c r="H5" s="442" t="s">
        <v>72</v>
      </c>
    </row>
    <row r="6" spans="1:10" ht="37.5" customHeight="1">
      <c r="B6" s="436"/>
      <c r="C6" s="33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443"/>
    </row>
    <row r="7" spans="1:10" ht="24.95" customHeight="1">
      <c r="B7" s="48" t="s">
        <v>25</v>
      </c>
      <c r="C7" s="23">
        <v>0</v>
      </c>
      <c r="D7" s="23">
        <v>0</v>
      </c>
      <c r="E7" s="23">
        <v>0</v>
      </c>
      <c r="F7" s="23">
        <v>143.01</v>
      </c>
      <c r="G7" s="23">
        <v>0</v>
      </c>
      <c r="H7" s="51">
        <f t="shared" ref="H7:H12" si="0">SUM(C7:G7)</f>
        <v>143.01</v>
      </c>
    </row>
    <row r="8" spans="1:10" ht="24.95" customHeight="1">
      <c r="B8" s="52" t="s">
        <v>26</v>
      </c>
      <c r="C8" s="23">
        <v>0</v>
      </c>
      <c r="D8" s="23">
        <v>7.55</v>
      </c>
      <c r="E8" s="23">
        <v>0</v>
      </c>
      <c r="F8" s="23">
        <v>0</v>
      </c>
      <c r="G8" s="23">
        <v>0</v>
      </c>
      <c r="H8" s="53">
        <f t="shared" si="0"/>
        <v>7.55</v>
      </c>
      <c r="I8" s="54"/>
      <c r="J8" s="54"/>
    </row>
    <row r="9" spans="1:10" ht="24.95" customHeight="1">
      <c r="B9" s="52" t="s">
        <v>38</v>
      </c>
      <c r="C9" s="23">
        <v>6707.0439999999999</v>
      </c>
      <c r="D9" s="23">
        <v>11219.661</v>
      </c>
      <c r="E9" s="23">
        <v>0</v>
      </c>
      <c r="F9" s="23">
        <v>2070.2649999999999</v>
      </c>
      <c r="G9" s="23">
        <v>0</v>
      </c>
      <c r="H9" s="53">
        <f t="shared" si="0"/>
        <v>19996.97</v>
      </c>
      <c r="I9" s="55"/>
      <c r="J9" s="54"/>
    </row>
    <row r="10" spans="1:10" ht="24.95" customHeight="1">
      <c r="B10" s="52" t="s">
        <v>28</v>
      </c>
      <c r="C10" s="23">
        <v>3410.0250000000001</v>
      </c>
      <c r="D10" s="23">
        <v>162.24100000000001</v>
      </c>
      <c r="E10" s="23">
        <v>11155.842999999999</v>
      </c>
      <c r="F10" s="23">
        <v>1453.9740000000002</v>
      </c>
      <c r="G10" s="23">
        <v>2449.1750000000002</v>
      </c>
      <c r="H10" s="53">
        <f t="shared" si="0"/>
        <v>18631.257999999998</v>
      </c>
      <c r="I10" s="54"/>
      <c r="J10" s="54"/>
    </row>
    <row r="11" spans="1:10" ht="24.95" customHeight="1">
      <c r="B11" s="56" t="s">
        <v>29</v>
      </c>
      <c r="C11" s="23">
        <v>0</v>
      </c>
      <c r="D11" s="23">
        <v>70.531000000000006</v>
      </c>
      <c r="E11" s="23">
        <v>200</v>
      </c>
      <c r="F11" s="23">
        <v>0</v>
      </c>
      <c r="G11" s="23">
        <v>3209.3040000000001</v>
      </c>
      <c r="H11" s="53">
        <f t="shared" si="0"/>
        <v>3479.835</v>
      </c>
      <c r="I11" s="54"/>
    </row>
    <row r="12" spans="1:10" ht="24.95" customHeight="1">
      <c r="B12" s="57" t="s">
        <v>14</v>
      </c>
      <c r="C12" s="23">
        <v>1039.52</v>
      </c>
      <c r="D12" s="23">
        <v>3259.7909999999997</v>
      </c>
      <c r="E12" s="23">
        <v>15696.048000000001</v>
      </c>
      <c r="F12" s="23">
        <v>1900.6390000000001</v>
      </c>
      <c r="G12" s="23">
        <v>1955.8140000000001</v>
      </c>
      <c r="H12" s="53">
        <f t="shared" si="0"/>
        <v>23851.811999999998</v>
      </c>
    </row>
    <row r="13" spans="1:10" ht="24.95" customHeight="1">
      <c r="B13" s="58" t="s">
        <v>34</v>
      </c>
      <c r="C13" s="59">
        <f t="shared" ref="C13:H13" si="1">SUM(C7:C12)</f>
        <v>11156.589</v>
      </c>
      <c r="D13" s="59">
        <f t="shared" si="1"/>
        <v>14719.773999999999</v>
      </c>
      <c r="E13" s="59">
        <f t="shared" si="1"/>
        <v>27051.891</v>
      </c>
      <c r="F13" s="59">
        <f t="shared" si="1"/>
        <v>5567.8879999999999</v>
      </c>
      <c r="G13" s="59">
        <f t="shared" si="1"/>
        <v>7614.2930000000006</v>
      </c>
      <c r="H13" s="60">
        <f t="shared" si="1"/>
        <v>66110.434999999998</v>
      </c>
    </row>
    <row r="14" spans="1:10">
      <c r="B14" s="61" t="s">
        <v>71</v>
      </c>
      <c r="I14" s="62"/>
    </row>
    <row r="15" spans="1:10" ht="6" customHeight="1">
      <c r="B15" s="61"/>
      <c r="C15" s="15"/>
      <c r="D15" s="15"/>
      <c r="E15" s="15"/>
      <c r="F15" s="15"/>
      <c r="G15" s="15"/>
      <c r="I15" s="62"/>
    </row>
    <row r="16" spans="1:10">
      <c r="B16" s="140" t="s">
        <v>32</v>
      </c>
      <c r="C16" s="63"/>
      <c r="D16" s="63"/>
      <c r="E16" s="63"/>
      <c r="F16" s="63"/>
      <c r="G16" s="63"/>
      <c r="H16" s="63"/>
      <c r="I16" s="62"/>
    </row>
    <row r="17" spans="2:9">
      <c r="B17" s="15" t="s">
        <v>243</v>
      </c>
      <c r="C17" s="63"/>
      <c r="D17" s="63"/>
      <c r="E17" s="63"/>
      <c r="F17" s="63"/>
      <c r="G17" s="63"/>
      <c r="H17" s="63"/>
      <c r="I17" s="62"/>
    </row>
    <row r="18" spans="2:9">
      <c r="B18" s="16" t="s">
        <v>244</v>
      </c>
      <c r="I18" s="62"/>
    </row>
    <row r="19" spans="2:9" ht="9" customHeight="1">
      <c r="B19" s="437"/>
      <c r="C19" s="437"/>
      <c r="D19" s="437"/>
      <c r="E19" s="437"/>
      <c r="F19" s="437"/>
      <c r="G19" s="437"/>
      <c r="H19" s="438"/>
      <c r="I19" s="62"/>
    </row>
    <row r="20" spans="2:9" ht="12.75" customHeight="1">
      <c r="B20" s="437"/>
      <c r="C20" s="437"/>
      <c r="D20" s="437"/>
      <c r="E20" s="437"/>
      <c r="F20" s="437"/>
      <c r="G20" s="437"/>
      <c r="H20" s="438"/>
      <c r="I20" s="62"/>
    </row>
  </sheetData>
  <mergeCells count="5">
    <mergeCell ref="H5:H6"/>
    <mergeCell ref="B19:H19"/>
    <mergeCell ref="B20:H20"/>
    <mergeCell ref="B5:B6"/>
    <mergeCell ref="C5:G5"/>
  </mergeCells>
  <phoneticPr fontId="2" type="noConversion"/>
  <pageMargins left="0.75" right="0.75" top="1" bottom="1" header="0.5" footer="0.5"/>
  <pageSetup paperSize="9" scale="93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64"/>
  <sheetViews>
    <sheetView showGridLines="0" workbookViewId="0"/>
  </sheetViews>
  <sheetFormatPr defaultRowHeight="12.75"/>
  <cols>
    <col min="1" max="1" width="3.140625" customWidth="1"/>
    <col min="2" max="2" width="20" customWidth="1"/>
    <col min="3" max="3" width="16.28515625" customWidth="1"/>
    <col min="4" max="4" width="16.140625" customWidth="1"/>
    <col min="5" max="5" width="14.85546875" customWidth="1"/>
    <col min="6" max="6" width="11.85546875" customWidth="1"/>
    <col min="7" max="7" width="17.140625" customWidth="1"/>
    <col min="8" max="8" width="17.7109375" customWidth="1"/>
    <col min="9" max="9" width="12.85546875" customWidth="1"/>
  </cols>
  <sheetData>
    <row r="1" spans="1:9">
      <c r="A1" s="241"/>
    </row>
    <row r="2" spans="1:9" ht="18.75">
      <c r="B2" s="117" t="s">
        <v>229</v>
      </c>
      <c r="C2" s="110"/>
      <c r="D2" s="110"/>
      <c r="E2" s="110"/>
      <c r="F2" s="110"/>
      <c r="G2" s="110"/>
      <c r="H2" s="110"/>
      <c r="I2" s="110"/>
    </row>
    <row r="3" spans="1:9" ht="18.75">
      <c r="B3" s="65" t="s">
        <v>31</v>
      </c>
      <c r="C3" s="110"/>
      <c r="D3" s="110"/>
      <c r="E3" s="110"/>
      <c r="F3" s="110"/>
      <c r="G3" s="110"/>
      <c r="H3" s="110"/>
      <c r="I3" s="110"/>
    </row>
    <row r="4" spans="1:9" ht="18">
      <c r="B4" s="111"/>
      <c r="C4" s="110"/>
      <c r="D4" s="110"/>
      <c r="E4" s="110"/>
      <c r="F4" s="110"/>
      <c r="G4" s="110"/>
      <c r="H4" s="110"/>
      <c r="I4" s="110"/>
    </row>
    <row r="5" spans="1:9">
      <c r="B5" s="464" t="s">
        <v>96</v>
      </c>
      <c r="C5" s="466" t="s">
        <v>12</v>
      </c>
      <c r="D5" s="440" t="s">
        <v>87</v>
      </c>
      <c r="E5" s="440"/>
      <c r="F5" s="440"/>
      <c r="G5" s="440"/>
      <c r="H5" s="440"/>
      <c r="I5" s="442" t="s">
        <v>72</v>
      </c>
    </row>
    <row r="6" spans="1:9">
      <c r="B6" s="465"/>
      <c r="C6" s="467"/>
      <c r="D6" s="33" t="s">
        <v>57</v>
      </c>
      <c r="E6" s="33" t="s">
        <v>58</v>
      </c>
      <c r="F6" s="33" t="s">
        <v>59</v>
      </c>
      <c r="G6" s="33" t="s">
        <v>60</v>
      </c>
      <c r="H6" s="38" t="s">
        <v>61</v>
      </c>
      <c r="I6" s="443"/>
    </row>
    <row r="7" spans="1:9">
      <c r="B7" s="462" t="s">
        <v>97</v>
      </c>
      <c r="C7" s="168" t="s">
        <v>14</v>
      </c>
      <c r="D7" s="169">
        <v>2304</v>
      </c>
      <c r="E7" s="170">
        <v>3470</v>
      </c>
      <c r="F7" s="170">
        <v>1923</v>
      </c>
      <c r="G7" s="170">
        <v>3730</v>
      </c>
      <c r="H7" s="170">
        <v>2470</v>
      </c>
      <c r="I7" s="171">
        <f>SUM(D7:H7)</f>
        <v>13897</v>
      </c>
    </row>
    <row r="8" spans="1:9">
      <c r="B8" s="463"/>
      <c r="C8" s="172" t="s">
        <v>98</v>
      </c>
      <c r="D8" s="173">
        <v>5669</v>
      </c>
      <c r="E8" s="174">
        <v>10000</v>
      </c>
      <c r="F8" s="174">
        <v>17969</v>
      </c>
      <c r="G8" s="174">
        <v>14411</v>
      </c>
      <c r="H8" s="174">
        <v>9563</v>
      </c>
      <c r="I8" s="175">
        <f>SUM(D8:H8)</f>
        <v>57612</v>
      </c>
    </row>
    <row r="9" spans="1:9">
      <c r="B9" s="463"/>
      <c r="C9" s="172" t="s">
        <v>99</v>
      </c>
      <c r="D9" s="173">
        <v>7337</v>
      </c>
      <c r="E9" s="174">
        <v>2259</v>
      </c>
      <c r="F9" s="174">
        <v>345</v>
      </c>
      <c r="G9" s="174">
        <v>7674</v>
      </c>
      <c r="H9" s="174">
        <v>194</v>
      </c>
      <c r="I9" s="175">
        <f t="shared" ref="I9:I17" si="0">SUM(D9:H9)</f>
        <v>17809</v>
      </c>
    </row>
    <row r="10" spans="1:9" ht="17.25" customHeight="1">
      <c r="B10" s="176"/>
      <c r="C10" s="177"/>
      <c r="D10" s="178">
        <f t="shared" ref="D10:I10" si="1">SUM(D7:D9)</f>
        <v>15310</v>
      </c>
      <c r="E10" s="178">
        <f t="shared" si="1"/>
        <v>15729</v>
      </c>
      <c r="F10" s="178">
        <f t="shared" si="1"/>
        <v>20237</v>
      </c>
      <c r="G10" s="178">
        <f t="shared" si="1"/>
        <v>25815</v>
      </c>
      <c r="H10" s="178">
        <f t="shared" si="1"/>
        <v>12227</v>
      </c>
      <c r="I10" s="96">
        <f t="shared" si="1"/>
        <v>89318</v>
      </c>
    </row>
    <row r="11" spans="1:9">
      <c r="B11" s="463" t="s">
        <v>100</v>
      </c>
      <c r="C11" s="172" t="s">
        <v>14</v>
      </c>
      <c r="D11" s="173">
        <v>1081</v>
      </c>
      <c r="E11" s="174">
        <v>3430</v>
      </c>
      <c r="F11" s="174">
        <v>1831</v>
      </c>
      <c r="G11" s="174">
        <v>531</v>
      </c>
      <c r="H11" s="179">
        <v>2240</v>
      </c>
      <c r="I11" s="175">
        <f t="shared" si="0"/>
        <v>9113</v>
      </c>
    </row>
    <row r="12" spans="1:9">
      <c r="B12" s="463"/>
      <c r="C12" s="172" t="s">
        <v>98</v>
      </c>
      <c r="D12" s="173">
        <v>14679</v>
      </c>
      <c r="E12" s="174">
        <v>10296</v>
      </c>
      <c r="F12" s="174">
        <v>13064</v>
      </c>
      <c r="G12" s="174">
        <v>12335</v>
      </c>
      <c r="H12" s="179">
        <v>9899</v>
      </c>
      <c r="I12" s="175">
        <f t="shared" si="0"/>
        <v>60273</v>
      </c>
    </row>
    <row r="13" spans="1:9">
      <c r="B13" s="463"/>
      <c r="C13" s="172" t="s">
        <v>99</v>
      </c>
      <c r="D13" s="173">
        <v>7178</v>
      </c>
      <c r="E13" s="174">
        <v>2203</v>
      </c>
      <c r="F13" s="174">
        <v>372</v>
      </c>
      <c r="G13" s="174">
        <v>7397</v>
      </c>
      <c r="H13" s="179">
        <v>3324</v>
      </c>
      <c r="I13" s="175">
        <f t="shared" si="0"/>
        <v>20474</v>
      </c>
    </row>
    <row r="14" spans="1:9" ht="15.75" customHeight="1">
      <c r="B14" s="101"/>
      <c r="C14" s="180"/>
      <c r="D14" s="178">
        <f t="shared" ref="D14:I14" si="2">SUM(D11:D13)</f>
        <v>22938</v>
      </c>
      <c r="E14" s="178">
        <f t="shared" si="2"/>
        <v>15929</v>
      </c>
      <c r="F14" s="178">
        <f t="shared" si="2"/>
        <v>15267</v>
      </c>
      <c r="G14" s="178">
        <f t="shared" si="2"/>
        <v>20263</v>
      </c>
      <c r="H14" s="178">
        <f t="shared" si="2"/>
        <v>15463</v>
      </c>
      <c r="I14" s="96">
        <f t="shared" si="2"/>
        <v>89860</v>
      </c>
    </row>
    <row r="15" spans="1:9">
      <c r="B15" s="463">
        <v>2004</v>
      </c>
      <c r="C15" s="172" t="s">
        <v>14</v>
      </c>
      <c r="D15" s="173">
        <v>4603.7929999999997</v>
      </c>
      <c r="E15" s="174">
        <v>4738.0046548060018</v>
      </c>
      <c r="F15" s="174">
        <v>731.00233300000014</v>
      </c>
      <c r="G15" s="174">
        <v>66.394000000000005</v>
      </c>
      <c r="H15" s="179">
        <v>2883.491</v>
      </c>
      <c r="I15" s="175">
        <f t="shared" si="0"/>
        <v>13022.684987806002</v>
      </c>
    </row>
    <row r="16" spans="1:9">
      <c r="B16" s="463"/>
      <c r="C16" s="172" t="s">
        <v>98</v>
      </c>
      <c r="D16" s="173">
        <v>12294.072</v>
      </c>
      <c r="E16" s="174">
        <v>10611.597</v>
      </c>
      <c r="F16" s="174">
        <v>17196.307999999997</v>
      </c>
      <c r="G16" s="174">
        <v>8217.3663459999989</v>
      </c>
      <c r="H16" s="179">
        <v>7869.0950000000003</v>
      </c>
      <c r="I16" s="175">
        <f t="shared" si="0"/>
        <v>56188.438345999995</v>
      </c>
    </row>
    <row r="17" spans="2:9">
      <c r="B17" s="463"/>
      <c r="C17" s="172" t="s">
        <v>99</v>
      </c>
      <c r="D17" s="173">
        <v>662.58299999999997</v>
      </c>
      <c r="E17" s="174">
        <v>572.81600000000003</v>
      </c>
      <c r="F17" s="174">
        <v>586.01499999999999</v>
      </c>
      <c r="G17" s="174">
        <v>0</v>
      </c>
      <c r="H17" s="179">
        <v>832.11350000000004</v>
      </c>
      <c r="I17" s="175">
        <f t="shared" si="0"/>
        <v>2653.5274999999997</v>
      </c>
    </row>
    <row r="18" spans="2:9" ht="17.25" customHeight="1">
      <c r="B18" s="101"/>
      <c r="C18" s="180"/>
      <c r="D18" s="178">
        <f t="shared" ref="D18:I18" si="3">SUM(D15:D17)</f>
        <v>17560.447999999997</v>
      </c>
      <c r="E18" s="178">
        <f t="shared" si="3"/>
        <v>15922.417654806002</v>
      </c>
      <c r="F18" s="178">
        <f t="shared" si="3"/>
        <v>18513.325332999997</v>
      </c>
      <c r="G18" s="178">
        <f t="shared" si="3"/>
        <v>8283.7603459999991</v>
      </c>
      <c r="H18" s="178">
        <f t="shared" si="3"/>
        <v>11584.699499999999</v>
      </c>
      <c r="I18" s="96">
        <f t="shared" si="3"/>
        <v>71864.650833805994</v>
      </c>
    </row>
    <row r="19" spans="2:9">
      <c r="B19" s="463">
        <v>2005</v>
      </c>
      <c r="C19" s="172" t="s">
        <v>14</v>
      </c>
      <c r="D19" s="181">
        <v>4258.75</v>
      </c>
      <c r="E19" s="181">
        <v>3254.1819999999998</v>
      </c>
      <c r="F19" s="181">
        <v>548.44000000000005</v>
      </c>
      <c r="G19" s="181">
        <v>399.53899999999999</v>
      </c>
      <c r="H19" s="181">
        <v>2214.3069999999998</v>
      </c>
      <c r="I19" s="175">
        <f>SUM(D19:H19)</f>
        <v>10675.218000000001</v>
      </c>
    </row>
    <row r="20" spans="2:9">
      <c r="B20" s="463"/>
      <c r="C20" s="172" t="s">
        <v>98</v>
      </c>
      <c r="D20" s="181">
        <v>12095.683000000001</v>
      </c>
      <c r="E20" s="181">
        <v>10850.396000000001</v>
      </c>
      <c r="F20" s="181">
        <v>15298.666999999999</v>
      </c>
      <c r="G20" s="181">
        <v>8011.982</v>
      </c>
      <c r="H20" s="181">
        <v>6055.1049999999996</v>
      </c>
      <c r="I20" s="175">
        <f>SUM(D20:H20)</f>
        <v>52311.832999999999</v>
      </c>
    </row>
    <row r="21" spans="2:9">
      <c r="B21" s="463"/>
      <c r="C21" s="172" t="s">
        <v>99</v>
      </c>
      <c r="D21" s="181">
        <v>637.23</v>
      </c>
      <c r="E21" s="181">
        <v>581.19299999999998</v>
      </c>
      <c r="F21" s="181">
        <v>2714.826</v>
      </c>
      <c r="G21" s="181">
        <v>0</v>
      </c>
      <c r="H21" s="181">
        <v>2269.768</v>
      </c>
      <c r="I21" s="175">
        <f>SUM(D21:H21)</f>
        <v>6203.0169999999998</v>
      </c>
    </row>
    <row r="22" spans="2:9" ht="16.5" customHeight="1">
      <c r="B22" s="101"/>
      <c r="C22" s="180"/>
      <c r="D22" s="182">
        <f t="shared" ref="D22:I22" si="4">SUM(D19:D21)</f>
        <v>16991.663</v>
      </c>
      <c r="E22" s="182">
        <f t="shared" si="4"/>
        <v>14685.771000000001</v>
      </c>
      <c r="F22" s="182">
        <f t="shared" si="4"/>
        <v>18561.933000000001</v>
      </c>
      <c r="G22" s="182">
        <f t="shared" si="4"/>
        <v>8411.5210000000006</v>
      </c>
      <c r="H22" s="182">
        <f t="shared" si="4"/>
        <v>10539.18</v>
      </c>
      <c r="I22" s="96">
        <f t="shared" si="4"/>
        <v>69190.067999999999</v>
      </c>
    </row>
    <row r="23" spans="2:9">
      <c r="B23" s="463">
        <v>2006</v>
      </c>
      <c r="C23" s="172" t="s">
        <v>14</v>
      </c>
      <c r="D23" s="181">
        <v>4335</v>
      </c>
      <c r="E23" s="181">
        <v>2764.9490000000001</v>
      </c>
      <c r="F23" s="181">
        <v>440.01</v>
      </c>
      <c r="G23" s="181">
        <v>492.27</v>
      </c>
      <c r="H23" s="181">
        <v>2004.92</v>
      </c>
      <c r="I23" s="175">
        <f>SUM(D23:H23)</f>
        <v>10037.149000000001</v>
      </c>
    </row>
    <row r="24" spans="2:9">
      <c r="B24" s="463"/>
      <c r="C24" s="172" t="s">
        <v>98</v>
      </c>
      <c r="D24" s="181">
        <v>12686.589</v>
      </c>
      <c r="E24" s="181">
        <f>12183.553+99.5</f>
        <v>12283.053</v>
      </c>
      <c r="F24" s="181">
        <v>13426.657999999999</v>
      </c>
      <c r="G24" s="181">
        <v>6919.1729999999998</v>
      </c>
      <c r="H24" s="181">
        <v>5412.067</v>
      </c>
      <c r="I24" s="175">
        <f>SUM(D24:H24)</f>
        <v>50727.540000000008</v>
      </c>
    </row>
    <row r="25" spans="2:9">
      <c r="B25" s="468"/>
      <c r="C25" s="183" t="s">
        <v>99</v>
      </c>
      <c r="D25" s="184">
        <v>604.03099999999995</v>
      </c>
      <c r="E25" s="184">
        <v>521.1</v>
      </c>
      <c r="F25" s="184">
        <v>2409.826</v>
      </c>
      <c r="G25" s="184">
        <v>0</v>
      </c>
      <c r="H25" s="184">
        <v>2065.5039999999999</v>
      </c>
      <c r="I25" s="185">
        <f>SUM(D25:H25)</f>
        <v>5600.4609999999993</v>
      </c>
    </row>
    <row r="26" spans="2:9" ht="18.75" customHeight="1">
      <c r="B26" s="58"/>
      <c r="C26" s="180"/>
      <c r="D26" s="59">
        <f t="shared" ref="D26:I26" si="5">SUM(D23:D25)</f>
        <v>17625.62</v>
      </c>
      <c r="E26" s="59">
        <f t="shared" si="5"/>
        <v>15569.102000000001</v>
      </c>
      <c r="F26" s="59">
        <f t="shared" si="5"/>
        <v>16276.493999999999</v>
      </c>
      <c r="G26" s="59">
        <f t="shared" si="5"/>
        <v>7411.4429999999993</v>
      </c>
      <c r="H26" s="59">
        <f t="shared" si="5"/>
        <v>9482.491</v>
      </c>
      <c r="I26" s="96">
        <f t="shared" si="5"/>
        <v>66365.150000000009</v>
      </c>
    </row>
    <row r="27" spans="2:9">
      <c r="B27" s="463">
        <v>2007</v>
      </c>
      <c r="C27" s="172" t="s">
        <v>14</v>
      </c>
      <c r="D27" s="181">
        <v>15395</v>
      </c>
      <c r="E27" s="181">
        <v>2732.8020000000001</v>
      </c>
      <c r="F27" s="181">
        <v>13419.6</v>
      </c>
      <c r="G27" s="181">
        <v>1085.682</v>
      </c>
      <c r="H27" s="181">
        <v>1834.143</v>
      </c>
      <c r="I27" s="175">
        <f>SUM(D27:H27)</f>
        <v>34467.226999999999</v>
      </c>
    </row>
    <row r="28" spans="2:9">
      <c r="B28" s="463"/>
      <c r="C28" s="172" t="s">
        <v>98</v>
      </c>
      <c r="D28" s="181">
        <v>9226.2219999999998</v>
      </c>
      <c r="E28" s="181">
        <f>11090.533+110</f>
        <v>11200.532999999999</v>
      </c>
      <c r="F28" s="181">
        <v>13163.609</v>
      </c>
      <c r="G28" s="181">
        <v>6948.9610000000002</v>
      </c>
      <c r="H28" s="181">
        <v>5085.42</v>
      </c>
      <c r="I28" s="175">
        <f>SUM(D28:H28)</f>
        <v>45624.745000000003</v>
      </c>
    </row>
    <row r="29" spans="2:9">
      <c r="B29" s="468"/>
      <c r="C29" s="183" t="s">
        <v>99</v>
      </c>
      <c r="D29" s="184">
        <v>593.77599999999995</v>
      </c>
      <c r="E29" s="184">
        <v>312.47399999999999</v>
      </c>
      <c r="F29" s="184">
        <v>2399.826</v>
      </c>
      <c r="G29" s="184">
        <v>0</v>
      </c>
      <c r="H29" s="184">
        <v>3996.9319999999998</v>
      </c>
      <c r="I29" s="185">
        <f>SUM(D29:H29)</f>
        <v>7303.0079999999998</v>
      </c>
    </row>
    <row r="30" spans="2:9" ht="18" customHeight="1">
      <c r="B30" s="58"/>
      <c r="C30" s="180"/>
      <c r="D30" s="59">
        <f t="shared" ref="D30:I30" si="6">SUM(D27:D29)</f>
        <v>25214.998000000003</v>
      </c>
      <c r="E30" s="59">
        <f t="shared" si="6"/>
        <v>14245.808999999999</v>
      </c>
      <c r="F30" s="59">
        <f t="shared" si="6"/>
        <v>28983.035000000003</v>
      </c>
      <c r="G30" s="59">
        <f t="shared" si="6"/>
        <v>8034.643</v>
      </c>
      <c r="H30" s="59">
        <f t="shared" si="6"/>
        <v>10916.494999999999</v>
      </c>
      <c r="I30" s="186">
        <f t="shared" si="6"/>
        <v>87394.98000000001</v>
      </c>
    </row>
    <row r="31" spans="2:9">
      <c r="B31" s="463">
        <v>2008</v>
      </c>
      <c r="C31" s="172" t="s">
        <v>14</v>
      </c>
      <c r="D31" s="49">
        <v>2668.3739999999998</v>
      </c>
      <c r="E31" s="50">
        <v>1207.1400000000001</v>
      </c>
      <c r="F31" s="50">
        <v>13140.119000000001</v>
      </c>
      <c r="G31" s="50">
        <v>820.47</v>
      </c>
      <c r="H31" s="50">
        <v>1673.9179999999999</v>
      </c>
      <c r="I31" s="171">
        <f>SUM(D31:H31)</f>
        <v>19510.021000000004</v>
      </c>
    </row>
    <row r="32" spans="2:9">
      <c r="B32" s="463"/>
      <c r="C32" s="172" t="s">
        <v>98</v>
      </c>
      <c r="D32" s="25">
        <v>9876.4529999999995</v>
      </c>
      <c r="E32" s="23">
        <v>10458.6</v>
      </c>
      <c r="F32" s="23">
        <v>14389.19</v>
      </c>
      <c r="G32" s="23">
        <v>6490.1469999999999</v>
      </c>
      <c r="H32" s="23">
        <v>4877.4449999999997</v>
      </c>
      <c r="I32" s="175">
        <f>SUM(D32:H32)</f>
        <v>46091.834999999999</v>
      </c>
    </row>
    <row r="33" spans="2:9">
      <c r="B33" s="463"/>
      <c r="C33" s="172" t="s">
        <v>99</v>
      </c>
      <c r="D33" s="25">
        <v>24</v>
      </c>
      <c r="E33" s="23">
        <v>312.82400000000001</v>
      </c>
      <c r="F33" s="23">
        <v>137</v>
      </c>
      <c r="G33" s="23">
        <v>0</v>
      </c>
      <c r="H33" s="23">
        <v>3440.3739999999998</v>
      </c>
      <c r="I33" s="185">
        <f>SUM(D33:H33)</f>
        <v>3914.1979999999999</v>
      </c>
    </row>
    <row r="34" spans="2:9" ht="18.75" customHeight="1">
      <c r="B34" s="58"/>
      <c r="C34" s="180"/>
      <c r="D34" s="59">
        <f t="shared" ref="D34:I34" si="7">SUM(D31:D33)</f>
        <v>12568.826999999999</v>
      </c>
      <c r="E34" s="59">
        <f t="shared" si="7"/>
        <v>11978.564</v>
      </c>
      <c r="F34" s="59">
        <f t="shared" si="7"/>
        <v>27666.309000000001</v>
      </c>
      <c r="G34" s="59">
        <f t="shared" si="7"/>
        <v>7310.6170000000002</v>
      </c>
      <c r="H34" s="59">
        <f t="shared" si="7"/>
        <v>9991.7369999999992</v>
      </c>
      <c r="I34" s="76">
        <f t="shared" si="7"/>
        <v>69516.054000000004</v>
      </c>
    </row>
    <row r="35" spans="2:9">
      <c r="B35" s="463">
        <v>2009</v>
      </c>
      <c r="C35" s="172" t="s">
        <v>14</v>
      </c>
      <c r="D35" s="49">
        <v>2263.355</v>
      </c>
      <c r="E35" s="50">
        <v>4793.9179999999997</v>
      </c>
      <c r="F35" s="50">
        <v>14250.119000000001</v>
      </c>
      <c r="G35" s="50">
        <v>833.274</v>
      </c>
      <c r="H35" s="50">
        <v>2216.1</v>
      </c>
      <c r="I35" s="171">
        <f>SUM(D35:H35)</f>
        <v>24356.766</v>
      </c>
    </row>
    <row r="36" spans="2:9">
      <c r="B36" s="463"/>
      <c r="C36" s="172" t="s">
        <v>98</v>
      </c>
      <c r="D36" s="25">
        <v>9874.9930000000004</v>
      </c>
      <c r="E36" s="23">
        <v>7530.4470000000001</v>
      </c>
      <c r="F36" s="23">
        <v>13864.585999999999</v>
      </c>
      <c r="G36" s="23">
        <v>5675.45</v>
      </c>
      <c r="H36" s="23">
        <v>2875.0889999999999</v>
      </c>
      <c r="I36" s="175">
        <f>SUM(D36:H36)</f>
        <v>39820.565000000002</v>
      </c>
    </row>
    <row r="37" spans="2:9">
      <c r="B37" s="463"/>
      <c r="C37" s="172" t="s">
        <v>99</v>
      </c>
      <c r="D37" s="25">
        <v>0</v>
      </c>
      <c r="E37" s="23">
        <v>56.183999999999997</v>
      </c>
      <c r="F37" s="23">
        <v>200</v>
      </c>
      <c r="G37" s="23">
        <v>0</v>
      </c>
      <c r="H37" s="23">
        <v>3247.2950000000001</v>
      </c>
      <c r="I37" s="185">
        <f>SUM(D37:H37)</f>
        <v>3503.4790000000003</v>
      </c>
    </row>
    <row r="38" spans="2:9" ht="17.25" customHeight="1">
      <c r="B38" s="58"/>
      <c r="C38" s="180"/>
      <c r="D38" s="59">
        <f t="shared" ref="D38:I38" si="8">SUM(D35:D37)</f>
        <v>12138.348</v>
      </c>
      <c r="E38" s="59">
        <f t="shared" si="8"/>
        <v>12380.548999999999</v>
      </c>
      <c r="F38" s="59">
        <f t="shared" si="8"/>
        <v>28314.705000000002</v>
      </c>
      <c r="G38" s="59">
        <f t="shared" si="8"/>
        <v>6508.7240000000002</v>
      </c>
      <c r="H38" s="59">
        <f t="shared" si="8"/>
        <v>8338.4840000000004</v>
      </c>
      <c r="I38" s="76">
        <f t="shared" si="8"/>
        <v>67680.810000000012</v>
      </c>
    </row>
    <row r="39" spans="2:9">
      <c r="B39" s="463">
        <v>2010</v>
      </c>
      <c r="C39" s="172" t="s">
        <v>14</v>
      </c>
      <c r="D39" s="49">
        <v>2132.0680000000002</v>
      </c>
      <c r="E39" s="50">
        <v>3252.4929999999999</v>
      </c>
      <c r="F39" s="50">
        <v>14593.894</v>
      </c>
      <c r="G39" s="50">
        <v>601.62400000000002</v>
      </c>
      <c r="H39" s="50">
        <v>2090.6770000000001</v>
      </c>
      <c r="I39" s="171">
        <f>SUM(D39:H39)</f>
        <v>22670.756000000001</v>
      </c>
    </row>
    <row r="40" spans="2:9">
      <c r="B40" s="463"/>
      <c r="C40" s="172" t="s">
        <v>98</v>
      </c>
      <c r="D40" s="25">
        <v>12002.659</v>
      </c>
      <c r="E40" s="23">
        <v>7541.5190000000002</v>
      </c>
      <c r="F40" s="23">
        <v>11758.72</v>
      </c>
      <c r="G40" s="23">
        <v>5243.4009999999998</v>
      </c>
      <c r="H40" s="23">
        <v>4693.6400000000003</v>
      </c>
      <c r="I40" s="175">
        <f>SUM(D40:H40)</f>
        <v>41239.938999999998</v>
      </c>
    </row>
    <row r="41" spans="2:9">
      <c r="B41" s="463"/>
      <c r="C41" s="172" t="s">
        <v>99</v>
      </c>
      <c r="D41" s="25">
        <v>7</v>
      </c>
      <c r="E41" s="23">
        <v>61.359000000000002</v>
      </c>
      <c r="F41" s="23">
        <v>200</v>
      </c>
      <c r="G41" s="23">
        <v>0</v>
      </c>
      <c r="H41" s="23">
        <v>4718.848</v>
      </c>
      <c r="I41" s="185">
        <f>SUM(D41:H41)</f>
        <v>4987.2070000000003</v>
      </c>
    </row>
    <row r="42" spans="2:9" ht="17.25" customHeight="1">
      <c r="B42" s="58"/>
      <c r="C42" s="180"/>
      <c r="D42" s="59">
        <f t="shared" ref="D42:I42" si="9">SUM(D39:D41)</f>
        <v>14141.726999999999</v>
      </c>
      <c r="E42" s="59">
        <f t="shared" si="9"/>
        <v>10855.371000000001</v>
      </c>
      <c r="F42" s="59">
        <f t="shared" si="9"/>
        <v>26552.614000000001</v>
      </c>
      <c r="G42" s="59">
        <f t="shared" si="9"/>
        <v>5845.0249999999996</v>
      </c>
      <c r="H42" s="59">
        <f t="shared" si="9"/>
        <v>11503.165000000001</v>
      </c>
      <c r="I42" s="76">
        <f t="shared" si="9"/>
        <v>68897.902000000002</v>
      </c>
    </row>
    <row r="43" spans="2:9">
      <c r="B43" s="463">
        <v>2011</v>
      </c>
      <c r="C43" s="172" t="s">
        <v>14</v>
      </c>
      <c r="D43" s="49">
        <v>2840.7150000000001</v>
      </c>
      <c r="E43" s="50">
        <v>2770.413</v>
      </c>
      <c r="F43" s="50">
        <v>14557.0684</v>
      </c>
      <c r="G43" s="50">
        <v>634.27</v>
      </c>
      <c r="H43" s="50">
        <v>1951.2</v>
      </c>
      <c r="I43" s="171">
        <f>SUM(D43:H43)</f>
        <v>22753.666400000002</v>
      </c>
    </row>
    <row r="44" spans="2:9">
      <c r="B44" s="463"/>
      <c r="C44" s="172" t="s">
        <v>98</v>
      </c>
      <c r="D44" s="25">
        <v>10548.080999999998</v>
      </c>
      <c r="E44" s="23">
        <v>4999.3369999999995</v>
      </c>
      <c r="F44" s="23">
        <v>11898.413</v>
      </c>
      <c r="G44" s="23">
        <v>5098.5789999999997</v>
      </c>
      <c r="H44" s="23">
        <v>4581.8580000000002</v>
      </c>
      <c r="I44" s="175">
        <f>SUM(D44:H44)</f>
        <v>37126.267999999996</v>
      </c>
    </row>
    <row r="45" spans="2:9">
      <c r="B45" s="463"/>
      <c r="C45" s="172" t="s">
        <v>99</v>
      </c>
      <c r="D45" s="25">
        <v>24</v>
      </c>
      <c r="E45" s="23">
        <v>69.896000000000001</v>
      </c>
      <c r="F45" s="23">
        <v>200</v>
      </c>
      <c r="G45" s="23">
        <v>0</v>
      </c>
      <c r="H45" s="23">
        <v>4708.5619999999999</v>
      </c>
      <c r="I45" s="185">
        <f>SUM(D45:H45)</f>
        <v>5002.4579999999996</v>
      </c>
    </row>
    <row r="46" spans="2:9" ht="19.5" customHeight="1">
      <c r="B46" s="58"/>
      <c r="C46" s="180"/>
      <c r="D46" s="59">
        <f t="shared" ref="D46:I46" si="10">SUM(D43:D45)</f>
        <v>13412.795999999998</v>
      </c>
      <c r="E46" s="59">
        <f t="shared" si="10"/>
        <v>7839.6459999999997</v>
      </c>
      <c r="F46" s="59">
        <f t="shared" si="10"/>
        <v>26655.481400000001</v>
      </c>
      <c r="G46" s="59">
        <f t="shared" si="10"/>
        <v>5732.8490000000002</v>
      </c>
      <c r="H46" s="59">
        <f t="shared" si="10"/>
        <v>11241.619999999999</v>
      </c>
      <c r="I46" s="76">
        <f t="shared" si="10"/>
        <v>64882.392399999997</v>
      </c>
    </row>
    <row r="47" spans="2:9">
      <c r="B47" s="463">
        <v>2012</v>
      </c>
      <c r="C47" s="172" t="s">
        <v>14</v>
      </c>
      <c r="D47" s="84">
        <v>2368.2600000000002</v>
      </c>
      <c r="E47" s="85">
        <v>2245.502</v>
      </c>
      <c r="F47" s="85">
        <v>14260.119000000001</v>
      </c>
      <c r="G47" s="85">
        <v>528.178</v>
      </c>
      <c r="H47" s="85">
        <v>1763.5329999999999</v>
      </c>
      <c r="I47" s="171">
        <f>SUM(D47:H47)</f>
        <v>21165.592000000001</v>
      </c>
    </row>
    <row r="48" spans="2:9">
      <c r="B48" s="463"/>
      <c r="C48" s="172" t="s">
        <v>98</v>
      </c>
      <c r="D48" s="86">
        <v>9762.6440000000002</v>
      </c>
      <c r="E48" s="87">
        <v>4655.4560000000001</v>
      </c>
      <c r="F48" s="87">
        <v>11660.932000000001</v>
      </c>
      <c r="G48" s="87">
        <v>4692.1480000000001</v>
      </c>
      <c r="H48" s="87">
        <v>4261.415</v>
      </c>
      <c r="I48" s="175">
        <f>SUM(D48:H48)</f>
        <v>35032.595000000001</v>
      </c>
    </row>
    <row r="49" spans="2:9">
      <c r="B49" s="463"/>
      <c r="C49" s="172" t="s">
        <v>99</v>
      </c>
      <c r="D49" s="86">
        <v>24</v>
      </c>
      <c r="E49" s="87">
        <v>72.287000000000006</v>
      </c>
      <c r="F49" s="87">
        <v>200</v>
      </c>
      <c r="G49" s="23">
        <v>0</v>
      </c>
      <c r="H49" s="87">
        <v>4422.893</v>
      </c>
      <c r="I49" s="185">
        <f>SUM(D49:H49)</f>
        <v>4719.18</v>
      </c>
    </row>
    <row r="50" spans="2:9" ht="19.5" customHeight="1">
      <c r="B50" s="58"/>
      <c r="C50" s="180"/>
      <c r="D50" s="59">
        <f t="shared" ref="D50:I50" si="11">SUM(D47:D49)</f>
        <v>12154.904</v>
      </c>
      <c r="E50" s="59">
        <f t="shared" si="11"/>
        <v>6973.2450000000008</v>
      </c>
      <c r="F50" s="59">
        <f t="shared" si="11"/>
        <v>26121.050999999999</v>
      </c>
      <c r="G50" s="59">
        <f t="shared" si="11"/>
        <v>5220.326</v>
      </c>
      <c r="H50" s="59">
        <f t="shared" si="11"/>
        <v>10447.841</v>
      </c>
      <c r="I50" s="76">
        <f t="shared" si="11"/>
        <v>60917.367000000006</v>
      </c>
    </row>
    <row r="51" spans="2:9">
      <c r="B51" s="463">
        <v>2013</v>
      </c>
      <c r="C51" s="172" t="s">
        <v>14</v>
      </c>
      <c r="D51" s="84">
        <v>1979.3979999999999</v>
      </c>
      <c r="E51" s="85">
        <v>5399.8360000000002</v>
      </c>
      <c r="F51" s="85">
        <v>15736.119000000001</v>
      </c>
      <c r="G51" s="85">
        <v>1949.8130000000001</v>
      </c>
      <c r="H51" s="85">
        <v>1618.864</v>
      </c>
      <c r="I51" s="171">
        <f>SUM(D51:H51)</f>
        <v>26684.030000000006</v>
      </c>
    </row>
    <row r="52" spans="2:9">
      <c r="B52" s="463"/>
      <c r="C52" s="172" t="s">
        <v>98</v>
      </c>
      <c r="D52" s="86">
        <v>9332.3209999999999</v>
      </c>
      <c r="E52" s="87">
        <v>15089.22</v>
      </c>
      <c r="F52" s="87">
        <v>11450.227999999999</v>
      </c>
      <c r="G52" s="87">
        <v>4643.8670000000002</v>
      </c>
      <c r="H52" s="87">
        <v>3051.4870000000001</v>
      </c>
      <c r="I52" s="175">
        <f>SUM(D52:H52)</f>
        <v>43567.123</v>
      </c>
    </row>
    <row r="53" spans="2:9">
      <c r="B53" s="463"/>
      <c r="C53" s="172" t="s">
        <v>99</v>
      </c>
      <c r="D53" s="86">
        <v>24</v>
      </c>
      <c r="E53" s="87">
        <v>73.731999999999999</v>
      </c>
      <c r="F53" s="87">
        <v>200</v>
      </c>
      <c r="G53" s="23">
        <v>0</v>
      </c>
      <c r="H53" s="87">
        <v>3832.1959999999999</v>
      </c>
      <c r="I53" s="185">
        <f>SUM(D53:H53)</f>
        <v>4129.9279999999999</v>
      </c>
    </row>
    <row r="54" spans="2:9" ht="21" customHeight="1">
      <c r="B54" s="58"/>
      <c r="C54" s="180"/>
      <c r="D54" s="59">
        <f t="shared" ref="D54:I54" si="12">SUM(D51:D53)</f>
        <v>11335.718999999999</v>
      </c>
      <c r="E54" s="59">
        <f t="shared" si="12"/>
        <v>20562.788</v>
      </c>
      <c r="F54" s="59">
        <f t="shared" si="12"/>
        <v>27386.347000000002</v>
      </c>
      <c r="G54" s="59">
        <f t="shared" si="12"/>
        <v>6593.68</v>
      </c>
      <c r="H54" s="59">
        <f t="shared" si="12"/>
        <v>8502.5470000000005</v>
      </c>
      <c r="I54" s="76">
        <f t="shared" si="12"/>
        <v>74381.081000000006</v>
      </c>
    </row>
    <row r="55" spans="2:9">
      <c r="B55" s="463">
        <v>2014</v>
      </c>
      <c r="C55" s="172" t="s">
        <v>14</v>
      </c>
      <c r="D55" s="87">
        <v>1039.52</v>
      </c>
      <c r="E55" s="87">
        <v>3259.7909999999997</v>
      </c>
      <c r="F55" s="87">
        <v>15696.048000000001</v>
      </c>
      <c r="G55" s="87">
        <v>1900.6390000000001</v>
      </c>
      <c r="H55" s="87">
        <v>1955.8140000000001</v>
      </c>
      <c r="I55" s="171">
        <f>SUM(D55:H55)</f>
        <v>23851.811999999998</v>
      </c>
    </row>
    <row r="56" spans="2:9">
      <c r="B56" s="463"/>
      <c r="C56" s="172" t="s">
        <v>98</v>
      </c>
      <c r="D56" s="87">
        <v>10117.069</v>
      </c>
      <c r="E56" s="87">
        <v>11381.902</v>
      </c>
      <c r="F56" s="87">
        <v>11155.842999999999</v>
      </c>
      <c r="G56" s="87">
        <v>3667.2489999999993</v>
      </c>
      <c r="H56" s="87">
        <v>2449.1750000000002</v>
      </c>
      <c r="I56" s="175">
        <f>SUM(D56:H56)</f>
        <v>38771.237999999998</v>
      </c>
    </row>
    <row r="57" spans="2:9">
      <c r="B57" s="463"/>
      <c r="C57" s="172" t="s">
        <v>99</v>
      </c>
      <c r="D57" s="23">
        <v>0</v>
      </c>
      <c r="E57" s="87">
        <v>78.081000000000003</v>
      </c>
      <c r="F57" s="87">
        <v>200</v>
      </c>
      <c r="G57" s="23">
        <v>0</v>
      </c>
      <c r="H57" s="87">
        <v>3209.3040000000001</v>
      </c>
      <c r="I57" s="185">
        <f>SUM(D57:H57)</f>
        <v>3487.3850000000002</v>
      </c>
    </row>
    <row r="58" spans="2:9">
      <c r="B58" s="58"/>
      <c r="C58" s="180"/>
      <c r="D58" s="59">
        <f t="shared" ref="D58:I58" si="13">SUM(D55:D57)</f>
        <v>11156.589</v>
      </c>
      <c r="E58" s="59">
        <f t="shared" si="13"/>
        <v>14719.773999999999</v>
      </c>
      <c r="F58" s="59">
        <f t="shared" si="13"/>
        <v>27051.891</v>
      </c>
      <c r="G58" s="59">
        <f t="shared" si="13"/>
        <v>5567.887999999999</v>
      </c>
      <c r="H58" s="59">
        <f t="shared" si="13"/>
        <v>7614.2930000000006</v>
      </c>
      <c r="I58" s="76">
        <f t="shared" si="13"/>
        <v>66110.434999999998</v>
      </c>
    </row>
    <row r="59" spans="2:9">
      <c r="B59" s="112"/>
      <c r="C59" s="110"/>
      <c r="D59" s="110"/>
      <c r="E59" s="110"/>
      <c r="F59" s="110"/>
      <c r="G59" s="110"/>
      <c r="H59" s="110"/>
      <c r="I59" s="110"/>
    </row>
    <row r="60" spans="2:9">
      <c r="B60" s="429" t="s">
        <v>32</v>
      </c>
      <c r="C60" s="110"/>
      <c r="D60" s="110"/>
      <c r="E60" s="110"/>
      <c r="F60" s="110"/>
      <c r="G60" s="110"/>
      <c r="H60" s="110"/>
      <c r="I60" s="110"/>
    </row>
    <row r="61" spans="2:9">
      <c r="B61" s="54" t="s">
        <v>101</v>
      </c>
      <c r="C61" s="110"/>
      <c r="D61" s="110"/>
      <c r="E61" s="110"/>
      <c r="F61" s="110"/>
      <c r="G61" s="110"/>
      <c r="H61" s="110"/>
      <c r="I61" s="110"/>
    </row>
    <row r="62" spans="2:9">
      <c r="B62" s="54" t="s">
        <v>102</v>
      </c>
      <c r="C62" s="110"/>
      <c r="D62" s="110"/>
      <c r="E62" s="110"/>
      <c r="F62" s="110"/>
      <c r="G62" s="110"/>
      <c r="H62" s="110"/>
      <c r="I62" s="110"/>
    </row>
    <row r="63" spans="2:9">
      <c r="B63" s="54" t="s">
        <v>103</v>
      </c>
      <c r="C63" s="110"/>
      <c r="D63" s="110"/>
      <c r="E63" s="110"/>
      <c r="F63" s="110"/>
      <c r="G63" s="110"/>
      <c r="H63" s="110"/>
      <c r="I63" s="110"/>
    </row>
    <row r="64" spans="2:9">
      <c r="B64" s="54" t="s">
        <v>104</v>
      </c>
      <c r="C64" s="110"/>
      <c r="D64" s="110"/>
      <c r="E64" s="110"/>
      <c r="F64" s="110"/>
      <c r="G64" s="110"/>
      <c r="H64" s="110"/>
      <c r="I64" s="110"/>
    </row>
  </sheetData>
  <mergeCells count="17">
    <mergeCell ref="B55:B57"/>
    <mergeCell ref="B39:B41"/>
    <mergeCell ref="B43:B45"/>
    <mergeCell ref="B47:B49"/>
    <mergeCell ref="B51:B53"/>
    <mergeCell ref="I5:I6"/>
    <mergeCell ref="B7:B9"/>
    <mergeCell ref="B35:B37"/>
    <mergeCell ref="B11:B13"/>
    <mergeCell ref="B5:B6"/>
    <mergeCell ref="C5:C6"/>
    <mergeCell ref="D5:H5"/>
    <mergeCell ref="B15:B17"/>
    <mergeCell ref="B19:B21"/>
    <mergeCell ref="B23:B25"/>
    <mergeCell ref="B27:B29"/>
    <mergeCell ref="B31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N24"/>
  <sheetViews>
    <sheetView showGridLines="0" workbookViewId="0"/>
  </sheetViews>
  <sheetFormatPr defaultRowHeight="12.75"/>
  <cols>
    <col min="1" max="1" width="5.7109375" style="16" customWidth="1"/>
    <col min="2" max="2" width="33" style="16" customWidth="1"/>
    <col min="3" max="3" width="13.42578125" style="16" customWidth="1"/>
    <col min="4" max="4" width="17.28515625" style="16" customWidth="1"/>
    <col min="5" max="5" width="14.140625" style="16" customWidth="1"/>
    <col min="6" max="6" width="16.140625" style="16" customWidth="1"/>
    <col min="7" max="7" width="19.85546875" style="16" customWidth="1"/>
    <col min="8" max="8" width="14.85546875" style="16" customWidth="1"/>
    <col min="9" max="9" width="12.5703125" style="16" customWidth="1"/>
    <col min="10" max="17" width="9.140625" style="16"/>
    <col min="18" max="18" width="15.85546875" style="16" customWidth="1"/>
    <col min="19" max="16384" width="9.140625" style="16"/>
  </cols>
  <sheetData>
    <row r="1" spans="1:8" ht="12.75" customHeight="1">
      <c r="A1" s="241"/>
    </row>
    <row r="2" spans="1:8" ht="18.75">
      <c r="B2" s="64" t="s">
        <v>230</v>
      </c>
    </row>
    <row r="3" spans="1:8" ht="18.75">
      <c r="B3" s="65" t="s">
        <v>17</v>
      </c>
      <c r="D3" s="19"/>
    </row>
    <row r="4" spans="1:8">
      <c r="B4" s="46"/>
      <c r="E4" s="78"/>
    </row>
    <row r="5" spans="1:8" ht="12.75" customHeight="1">
      <c r="B5" s="469" t="s">
        <v>12</v>
      </c>
      <c r="C5" s="439" t="s">
        <v>13</v>
      </c>
      <c r="D5" s="440"/>
      <c r="E5" s="440"/>
      <c r="F5" s="440"/>
      <c r="G5" s="441"/>
      <c r="H5" s="442" t="s">
        <v>72</v>
      </c>
    </row>
    <row r="6" spans="1:8" s="79" customFormat="1" ht="42.75" customHeight="1">
      <c r="B6" s="470"/>
      <c r="C6" s="33" t="s">
        <v>57</v>
      </c>
      <c r="D6" s="33" t="s">
        <v>58</v>
      </c>
      <c r="E6" s="33" t="s">
        <v>59</v>
      </c>
      <c r="F6" s="33" t="s">
        <v>60</v>
      </c>
      <c r="G6" s="33" t="s">
        <v>61</v>
      </c>
      <c r="H6" s="443"/>
    </row>
    <row r="7" spans="1:8" ht="19.5" customHeight="1">
      <c r="B7" s="278" t="s">
        <v>33</v>
      </c>
      <c r="C7" s="165">
        <v>134.16046599999999</v>
      </c>
      <c r="D7" s="87">
        <v>72.14325499999994</v>
      </c>
      <c r="E7" s="87">
        <v>58.494204000000003</v>
      </c>
      <c r="F7" s="87">
        <v>306.84481800000003</v>
      </c>
      <c r="G7" s="87">
        <v>105.07782800000003</v>
      </c>
      <c r="H7" s="80">
        <f>SUM(C7:G7)</f>
        <v>676.72057100000006</v>
      </c>
    </row>
    <row r="8" spans="1:8" ht="19.5" customHeight="1">
      <c r="B8" s="273" t="s">
        <v>7</v>
      </c>
      <c r="C8" s="275">
        <v>532.74982899999998</v>
      </c>
      <c r="D8" s="87">
        <v>341.51981100000006</v>
      </c>
      <c r="E8" s="87">
        <v>691.1336749999997</v>
      </c>
      <c r="F8" s="87">
        <v>359.19226300000003</v>
      </c>
      <c r="G8" s="87">
        <v>425.54124100000001</v>
      </c>
      <c r="H8" s="80">
        <f>SUM(C8:G8)</f>
        <v>2350.1368189999994</v>
      </c>
    </row>
    <row r="9" spans="1:8" ht="19.5" customHeight="1">
      <c r="B9" s="273" t="s">
        <v>8</v>
      </c>
      <c r="C9" s="280">
        <v>0</v>
      </c>
      <c r="D9" s="87">
        <v>1.0731279999999999</v>
      </c>
      <c r="E9" s="87">
        <v>5.0799999999999999E-4</v>
      </c>
      <c r="F9" s="87">
        <v>0.9315810000000001</v>
      </c>
      <c r="G9" s="87">
        <v>0.52707999999999999</v>
      </c>
      <c r="H9" s="80">
        <f>SUM(C9:G9)</f>
        <v>2.5322969999999998</v>
      </c>
    </row>
    <row r="10" spans="1:8" ht="19.5" customHeight="1">
      <c r="B10" s="279" t="s">
        <v>10</v>
      </c>
      <c r="C10" s="275">
        <v>77.613566000000006</v>
      </c>
      <c r="D10" s="87">
        <v>83.119042000000093</v>
      </c>
      <c r="E10" s="87">
        <v>69.225754999999992</v>
      </c>
      <c r="F10" s="87">
        <v>62.364737000000005</v>
      </c>
      <c r="G10" s="87">
        <v>94.831404000000035</v>
      </c>
      <c r="H10" s="80">
        <f>SUM(C10:G10)</f>
        <v>387.15450400000009</v>
      </c>
    </row>
    <row r="11" spans="1:8" ht="19.5" customHeight="1">
      <c r="B11" s="274" t="s">
        <v>75</v>
      </c>
      <c r="C11" s="281">
        <v>0</v>
      </c>
      <c r="D11" s="87">
        <v>2.0987600000000004</v>
      </c>
      <c r="E11" s="87">
        <v>108.39401000000001</v>
      </c>
      <c r="F11" s="81">
        <v>0</v>
      </c>
      <c r="G11" s="87">
        <v>14.478999999999999</v>
      </c>
      <c r="H11" s="80">
        <f>SUM(C11:G11)</f>
        <v>124.97177000000001</v>
      </c>
    </row>
    <row r="12" spans="1:8" ht="19.5" customHeight="1">
      <c r="B12" s="58" t="s">
        <v>11</v>
      </c>
      <c r="C12" s="59">
        <f t="shared" ref="C12:H12" si="0">SUM(C7:C11)</f>
        <v>744.5238609999999</v>
      </c>
      <c r="D12" s="59">
        <f t="shared" si="0"/>
        <v>499.95399600000013</v>
      </c>
      <c r="E12" s="59">
        <f t="shared" si="0"/>
        <v>927.24815199999966</v>
      </c>
      <c r="F12" s="59">
        <f t="shared" si="0"/>
        <v>729.3333990000001</v>
      </c>
      <c r="G12" s="59">
        <f t="shared" si="0"/>
        <v>640.4565530000001</v>
      </c>
      <c r="H12" s="83">
        <f t="shared" si="0"/>
        <v>3541.5159609999996</v>
      </c>
    </row>
    <row r="13" spans="1:8" ht="19.5" customHeight="1">
      <c r="B13" s="272" t="s">
        <v>0</v>
      </c>
      <c r="C13" s="398">
        <v>101.69272999999997</v>
      </c>
      <c r="D13" s="293">
        <v>187.42413400000001</v>
      </c>
      <c r="E13" s="293">
        <v>84.869879999999995</v>
      </c>
      <c r="F13" s="293">
        <v>129.17253499999998</v>
      </c>
      <c r="G13" s="293">
        <v>123.89883800000001</v>
      </c>
      <c r="H13" s="80">
        <f t="shared" ref="H13:H18" si="1">SUM(C13:G13)</f>
        <v>627.05811699999992</v>
      </c>
    </row>
    <row r="14" spans="1:8" ht="19.5" customHeight="1">
      <c r="B14" s="71" t="s">
        <v>1</v>
      </c>
      <c r="C14" s="399">
        <v>493.03972000000022</v>
      </c>
      <c r="D14" s="293">
        <v>492.17083199999996</v>
      </c>
      <c r="E14" s="293">
        <v>301.01538299999987</v>
      </c>
      <c r="F14" s="293">
        <v>272.49124699999987</v>
      </c>
      <c r="G14" s="293">
        <v>1378.6652579999998</v>
      </c>
      <c r="H14" s="80">
        <f t="shared" si="1"/>
        <v>2937.3824399999999</v>
      </c>
    </row>
    <row r="15" spans="1:8" ht="19.5" customHeight="1">
      <c r="B15" s="71" t="s">
        <v>2</v>
      </c>
      <c r="C15" s="399">
        <v>238.7610210000002</v>
      </c>
      <c r="D15" s="293">
        <v>0.12984999999999999</v>
      </c>
      <c r="E15" s="293">
        <v>100.02942300000002</v>
      </c>
      <c r="F15" s="293">
        <v>256.31883599999998</v>
      </c>
      <c r="G15" s="293">
        <v>30.692195999999999</v>
      </c>
      <c r="H15" s="80">
        <f t="shared" si="1"/>
        <v>625.93132600000013</v>
      </c>
    </row>
    <row r="16" spans="1:8" ht="19.5" customHeight="1">
      <c r="B16" s="273" t="s">
        <v>3</v>
      </c>
      <c r="C16" s="399">
        <v>24.94500699999999</v>
      </c>
      <c r="D16" s="293">
        <v>0.61830000000000007</v>
      </c>
      <c r="E16" s="81">
        <v>0</v>
      </c>
      <c r="F16" s="293">
        <v>6.137204999999998</v>
      </c>
      <c r="G16" s="81">
        <v>0</v>
      </c>
      <c r="H16" s="80">
        <f t="shared" si="1"/>
        <v>31.700511999999989</v>
      </c>
    </row>
    <row r="17" spans="2:14" ht="19.5" customHeight="1">
      <c r="B17" s="273" t="s">
        <v>4</v>
      </c>
      <c r="C17" s="399">
        <v>81.934020000000004</v>
      </c>
      <c r="D17" s="293">
        <v>88.501109999999997</v>
      </c>
      <c r="E17" s="293">
        <v>111.14440999999999</v>
      </c>
      <c r="F17" s="293">
        <v>154.09981000000002</v>
      </c>
      <c r="G17" s="293">
        <v>69.772318999999996</v>
      </c>
      <c r="H17" s="80">
        <f t="shared" si="1"/>
        <v>505.45166899999998</v>
      </c>
    </row>
    <row r="18" spans="2:14" ht="19.5" customHeight="1">
      <c r="B18" s="274" t="s">
        <v>5</v>
      </c>
      <c r="C18" s="400">
        <v>8.2068500000000011</v>
      </c>
      <c r="D18" s="293">
        <v>256.66302100000001</v>
      </c>
      <c r="E18" s="293">
        <v>68.732123999999999</v>
      </c>
      <c r="F18" s="293">
        <v>187.83593299999998</v>
      </c>
      <c r="G18" s="293">
        <v>342.25738000000001</v>
      </c>
      <c r="H18" s="80">
        <f t="shared" si="1"/>
        <v>863.69530799999995</v>
      </c>
    </row>
    <row r="19" spans="2:14" ht="19.5" customHeight="1">
      <c r="B19" s="58" t="s">
        <v>6</v>
      </c>
      <c r="C19" s="88">
        <f t="shared" ref="C19:H19" si="2">SUM(C13:C18)</f>
        <v>948.57934800000055</v>
      </c>
      <c r="D19" s="88">
        <f t="shared" si="2"/>
        <v>1025.507247</v>
      </c>
      <c r="E19" s="88">
        <f t="shared" si="2"/>
        <v>665.79121999999995</v>
      </c>
      <c r="F19" s="88">
        <f t="shared" si="2"/>
        <v>1006.0555659999998</v>
      </c>
      <c r="G19" s="88">
        <f t="shared" si="2"/>
        <v>1945.2859909999997</v>
      </c>
      <c r="H19" s="89">
        <f t="shared" si="2"/>
        <v>5591.2193720000005</v>
      </c>
    </row>
    <row r="20" spans="2:14" ht="20.100000000000001" customHeight="1">
      <c r="B20" s="90" t="s">
        <v>81</v>
      </c>
      <c r="C20" s="165">
        <v>404.22123600000009</v>
      </c>
      <c r="D20" s="87">
        <v>140.79980599999996</v>
      </c>
      <c r="E20" s="87">
        <v>281.5185019999999</v>
      </c>
      <c r="F20" s="87">
        <v>40.237819000000002</v>
      </c>
      <c r="G20" s="87">
        <v>284.42550700000004</v>
      </c>
      <c r="H20" s="80">
        <f>SUM(C20:G20)</f>
        <v>1151.2028700000001</v>
      </c>
    </row>
    <row r="21" spans="2:14" ht="20.25" customHeight="1">
      <c r="B21" s="91" t="s">
        <v>35</v>
      </c>
      <c r="C21" s="167">
        <v>12.879151999999999</v>
      </c>
      <c r="D21" s="87">
        <v>9.271075999999999</v>
      </c>
      <c r="E21" s="87">
        <v>7.7768349999999993</v>
      </c>
      <c r="F21" s="87">
        <v>24.739828999999997</v>
      </c>
      <c r="G21" s="87">
        <v>30.599195000000012</v>
      </c>
      <c r="H21" s="80">
        <f>SUM(C21:G21)</f>
        <v>85.266086999999999</v>
      </c>
    </row>
    <row r="22" spans="2:14" ht="20.25" customHeight="1">
      <c r="B22" s="58" t="s">
        <v>82</v>
      </c>
      <c r="C22" s="92">
        <f t="shared" ref="C22:H22" si="3">SUM(C20:C21)</f>
        <v>417.10038800000007</v>
      </c>
      <c r="D22" s="59">
        <f t="shared" si="3"/>
        <v>150.07088199999995</v>
      </c>
      <c r="E22" s="59">
        <f t="shared" si="3"/>
        <v>289.2953369999999</v>
      </c>
      <c r="F22" s="59">
        <f t="shared" si="3"/>
        <v>64.977648000000002</v>
      </c>
      <c r="G22" s="59">
        <f t="shared" si="3"/>
        <v>315.02470200000005</v>
      </c>
      <c r="H22" s="83">
        <f t="shared" si="3"/>
        <v>1236.468957</v>
      </c>
    </row>
    <row r="23" spans="2:14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>
      <c r="H24" s="23"/>
    </row>
  </sheetData>
  <mergeCells count="3">
    <mergeCell ref="B5:B6"/>
    <mergeCell ref="C5:G5"/>
    <mergeCell ref="H5:H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autoPageBreaks="0"/>
  </sheetPr>
  <dimension ref="A1:J184"/>
  <sheetViews>
    <sheetView showGridLines="0" workbookViewId="0"/>
  </sheetViews>
  <sheetFormatPr defaultRowHeight="12.75"/>
  <cols>
    <col min="1" max="1" width="5.28515625" customWidth="1"/>
    <col min="2" max="2" width="12.5703125" customWidth="1"/>
    <col min="3" max="3" width="12.42578125" customWidth="1"/>
    <col min="4" max="4" width="18.42578125" customWidth="1"/>
    <col min="5" max="5" width="12.85546875" customWidth="1"/>
    <col min="6" max="6" width="14.28515625" customWidth="1"/>
    <col min="7" max="7" width="13.7109375" customWidth="1"/>
    <col min="8" max="8" width="17.5703125" customWidth="1"/>
    <col min="9" max="9" width="16.28515625" customWidth="1"/>
    <col min="10" max="10" width="16" customWidth="1"/>
  </cols>
  <sheetData>
    <row r="1" spans="1:10">
      <c r="A1" s="241"/>
    </row>
    <row r="2" spans="1:10" ht="18.75">
      <c r="B2" s="116" t="s">
        <v>245</v>
      </c>
      <c r="C2" s="114"/>
      <c r="D2" s="114"/>
      <c r="E2" s="115"/>
      <c r="F2" s="115"/>
      <c r="G2" s="115"/>
      <c r="H2" s="115"/>
      <c r="I2" s="115"/>
      <c r="J2" s="115"/>
    </row>
    <row r="3" spans="1:10" ht="18.75">
      <c r="B3" s="65" t="s">
        <v>17</v>
      </c>
      <c r="C3" s="114"/>
      <c r="D3" s="114"/>
      <c r="E3" s="115"/>
      <c r="F3" s="115"/>
      <c r="G3" s="115"/>
      <c r="H3" s="115"/>
      <c r="I3" s="115"/>
      <c r="J3" s="115"/>
    </row>
    <row r="4" spans="1:10" ht="18">
      <c r="B4" s="111"/>
      <c r="C4" s="114"/>
      <c r="D4" s="114"/>
      <c r="E4" s="115"/>
      <c r="F4" s="115"/>
      <c r="G4" s="115"/>
      <c r="H4" s="115"/>
      <c r="I4" s="115"/>
      <c r="J4" s="115"/>
    </row>
    <row r="5" spans="1:10">
      <c r="B5" s="109" t="s">
        <v>83</v>
      </c>
      <c r="C5" s="147" t="s">
        <v>83</v>
      </c>
      <c r="D5" s="148"/>
      <c r="E5" s="471" t="s">
        <v>87</v>
      </c>
      <c r="F5" s="471"/>
      <c r="G5" s="471"/>
      <c r="H5" s="471"/>
      <c r="I5" s="471"/>
      <c r="J5" s="108" t="s">
        <v>83</v>
      </c>
    </row>
    <row r="6" spans="1:10">
      <c r="B6" s="149" t="s">
        <v>96</v>
      </c>
      <c r="C6" s="150" t="s">
        <v>12</v>
      </c>
      <c r="D6" s="151"/>
      <c r="E6" s="33" t="s">
        <v>57</v>
      </c>
      <c r="F6" s="33" t="s">
        <v>58</v>
      </c>
      <c r="G6" s="33" t="s">
        <v>59</v>
      </c>
      <c r="H6" s="33" t="s">
        <v>60</v>
      </c>
      <c r="I6" s="38" t="s">
        <v>61</v>
      </c>
      <c r="J6" s="152" t="s">
        <v>72</v>
      </c>
    </row>
    <row r="7" spans="1:10">
      <c r="B7" s="472" t="s">
        <v>105</v>
      </c>
      <c r="C7" s="475" t="s">
        <v>106</v>
      </c>
      <c r="D7" s="153" t="s">
        <v>106</v>
      </c>
      <c r="E7" s="154">
        <v>383</v>
      </c>
      <c r="F7" s="155">
        <v>378</v>
      </c>
      <c r="G7" s="155">
        <v>174</v>
      </c>
      <c r="H7" s="155">
        <v>291</v>
      </c>
      <c r="I7" s="156">
        <v>307</v>
      </c>
      <c r="J7" s="157">
        <f>SUM(E7:I7)</f>
        <v>1533</v>
      </c>
    </row>
    <row r="8" spans="1:10">
      <c r="B8" s="473"/>
      <c r="C8" s="475"/>
      <c r="D8" s="153" t="s">
        <v>107</v>
      </c>
      <c r="E8" s="154">
        <v>64</v>
      </c>
      <c r="F8" s="155">
        <v>123</v>
      </c>
      <c r="G8" s="155">
        <v>57</v>
      </c>
      <c r="H8" s="155">
        <v>108</v>
      </c>
      <c r="I8" s="156">
        <v>119</v>
      </c>
      <c r="J8" s="157">
        <f>SUM(E8:I8)</f>
        <v>471</v>
      </c>
    </row>
    <row r="9" spans="1:10">
      <c r="B9" s="473"/>
      <c r="C9" s="301" t="s">
        <v>11</v>
      </c>
      <c r="D9" s="302"/>
      <c r="E9" s="303">
        <f t="shared" ref="E9:J9" si="0">SUBTOTAL(9,E7:E8)</f>
        <v>447</v>
      </c>
      <c r="F9" s="304">
        <f t="shared" si="0"/>
        <v>501</v>
      </c>
      <c r="G9" s="304">
        <f t="shared" si="0"/>
        <v>231</v>
      </c>
      <c r="H9" s="304">
        <f t="shared" si="0"/>
        <v>399</v>
      </c>
      <c r="I9" s="305">
        <f t="shared" si="0"/>
        <v>426</v>
      </c>
      <c r="J9" s="306">
        <f t="shared" si="0"/>
        <v>2004</v>
      </c>
    </row>
    <row r="10" spans="1:10">
      <c r="B10" s="473"/>
      <c r="C10" s="476" t="s">
        <v>108</v>
      </c>
      <c r="D10" s="307" t="s">
        <v>0</v>
      </c>
      <c r="E10" s="308">
        <v>88</v>
      </c>
      <c r="F10" s="263">
        <v>16</v>
      </c>
      <c r="G10" s="263">
        <v>0</v>
      </c>
      <c r="H10" s="263">
        <v>0</v>
      </c>
      <c r="I10" s="309">
        <v>13.231999999999999</v>
      </c>
      <c r="J10" s="310">
        <f t="shared" ref="J10:J16" si="1">SUM(E10:I10)</f>
        <v>117.232</v>
      </c>
    </row>
    <row r="11" spans="1:10">
      <c r="B11" s="473"/>
      <c r="C11" s="476"/>
      <c r="D11" s="307" t="s">
        <v>1</v>
      </c>
      <c r="E11" s="308">
        <v>111</v>
      </c>
      <c r="F11" s="263">
        <v>0</v>
      </c>
      <c r="G11" s="263">
        <v>285</v>
      </c>
      <c r="H11" s="263">
        <v>18</v>
      </c>
      <c r="I11" s="309">
        <v>226</v>
      </c>
      <c r="J11" s="310">
        <f t="shared" si="1"/>
        <v>640</v>
      </c>
    </row>
    <row r="12" spans="1:10">
      <c r="B12" s="473"/>
      <c r="C12" s="476"/>
      <c r="D12" s="307" t="s">
        <v>3</v>
      </c>
      <c r="E12" s="308">
        <v>6</v>
      </c>
      <c r="F12" s="263">
        <v>0</v>
      </c>
      <c r="G12" s="263">
        <v>0</v>
      </c>
      <c r="H12" s="263">
        <v>4</v>
      </c>
      <c r="I12" s="309">
        <v>0</v>
      </c>
      <c r="J12" s="310">
        <f t="shared" si="1"/>
        <v>10</v>
      </c>
    </row>
    <row r="13" spans="1:10">
      <c r="B13" s="473"/>
      <c r="C13" s="476"/>
      <c r="D13" s="307" t="s">
        <v>4</v>
      </c>
      <c r="E13" s="308">
        <v>0</v>
      </c>
      <c r="F13" s="263">
        <v>18</v>
      </c>
      <c r="G13" s="263">
        <v>19</v>
      </c>
      <c r="H13" s="263">
        <v>0</v>
      </c>
      <c r="I13" s="309">
        <v>21</v>
      </c>
      <c r="J13" s="310">
        <f t="shared" si="1"/>
        <v>58</v>
      </c>
    </row>
    <row r="14" spans="1:10">
      <c r="B14" s="473"/>
      <c r="C14" s="476"/>
      <c r="D14" s="307" t="s">
        <v>5</v>
      </c>
      <c r="E14" s="308">
        <v>0</v>
      </c>
      <c r="F14" s="263">
        <v>39</v>
      </c>
      <c r="G14" s="263">
        <v>0</v>
      </c>
      <c r="H14" s="263">
        <v>0</v>
      </c>
      <c r="I14" s="309">
        <v>0</v>
      </c>
      <c r="J14" s="310">
        <f t="shared" si="1"/>
        <v>39</v>
      </c>
    </row>
    <row r="15" spans="1:10">
      <c r="B15" s="473"/>
      <c r="C15" s="311" t="s">
        <v>6</v>
      </c>
      <c r="D15" s="312"/>
      <c r="E15" s="303">
        <f t="shared" ref="E15:J15" si="2">SUBTOTAL(9,E10:E14)</f>
        <v>205</v>
      </c>
      <c r="F15" s="304">
        <f t="shared" si="2"/>
        <v>73</v>
      </c>
      <c r="G15" s="304">
        <f t="shared" si="2"/>
        <v>304</v>
      </c>
      <c r="H15" s="304">
        <f t="shared" si="2"/>
        <v>22</v>
      </c>
      <c r="I15" s="305">
        <f t="shared" si="2"/>
        <v>260.23199999999997</v>
      </c>
      <c r="J15" s="306">
        <f t="shared" si="2"/>
        <v>864.23199999999997</v>
      </c>
    </row>
    <row r="16" spans="1:10">
      <c r="B16" s="473"/>
      <c r="C16" s="313" t="s">
        <v>109</v>
      </c>
      <c r="D16" s="307" t="s">
        <v>110</v>
      </c>
      <c r="E16" s="308">
        <v>264</v>
      </c>
      <c r="F16" s="263">
        <v>42</v>
      </c>
      <c r="G16" s="263">
        <v>34</v>
      </c>
      <c r="H16" s="263">
        <v>52</v>
      </c>
      <c r="I16" s="309">
        <v>341</v>
      </c>
      <c r="J16" s="310">
        <f t="shared" si="1"/>
        <v>733</v>
      </c>
    </row>
    <row r="17" spans="2:10">
      <c r="B17" s="474"/>
      <c r="C17" s="314" t="s">
        <v>111</v>
      </c>
      <c r="D17" s="302"/>
      <c r="E17" s="303">
        <f t="shared" ref="E17:J17" si="3">SUBTOTAL(9,E16:E16)</f>
        <v>264</v>
      </c>
      <c r="F17" s="304">
        <f t="shared" si="3"/>
        <v>42</v>
      </c>
      <c r="G17" s="304">
        <f t="shared" si="3"/>
        <v>34</v>
      </c>
      <c r="H17" s="304">
        <f t="shared" si="3"/>
        <v>52</v>
      </c>
      <c r="I17" s="305">
        <f t="shared" si="3"/>
        <v>341</v>
      </c>
      <c r="J17" s="306">
        <f t="shared" si="3"/>
        <v>733</v>
      </c>
    </row>
    <row r="18" spans="2:10" ht="28.5" customHeight="1">
      <c r="B18" s="158" t="s">
        <v>112</v>
      </c>
      <c r="C18" s="159"/>
      <c r="D18" s="159"/>
      <c r="E18" s="92">
        <f t="shared" ref="E18:J18" si="4">SUBTOTAL(9,E7:E16)</f>
        <v>916</v>
      </c>
      <c r="F18" s="59">
        <f t="shared" si="4"/>
        <v>616</v>
      </c>
      <c r="G18" s="59">
        <f t="shared" si="4"/>
        <v>569</v>
      </c>
      <c r="H18" s="59">
        <f t="shared" si="4"/>
        <v>473</v>
      </c>
      <c r="I18" s="96">
        <f t="shared" si="4"/>
        <v>1027.232</v>
      </c>
      <c r="J18" s="83">
        <f t="shared" si="4"/>
        <v>3601.232</v>
      </c>
    </row>
    <row r="19" spans="2:10">
      <c r="B19" s="472" t="s">
        <v>113</v>
      </c>
      <c r="C19" s="477" t="s">
        <v>106</v>
      </c>
      <c r="D19" s="153" t="s">
        <v>106</v>
      </c>
      <c r="E19" s="154">
        <v>432.36</v>
      </c>
      <c r="F19" s="155">
        <v>493.291</v>
      </c>
      <c r="G19" s="155">
        <v>359.80799999999999</v>
      </c>
      <c r="H19" s="155">
        <v>464.73</v>
      </c>
      <c r="I19" s="156">
        <v>490.88900000000001</v>
      </c>
      <c r="J19" s="157">
        <f t="shared" ref="J19:J28" si="5">SUM(E19:I19)</f>
        <v>2241.078</v>
      </c>
    </row>
    <row r="20" spans="2:10">
      <c r="B20" s="473"/>
      <c r="C20" s="478"/>
      <c r="D20" s="153" t="s">
        <v>107</v>
      </c>
      <c r="E20" s="154">
        <v>43.728000000000002</v>
      </c>
      <c r="F20" s="155">
        <v>132.81700000000001</v>
      </c>
      <c r="G20" s="155">
        <v>11.76</v>
      </c>
      <c r="H20" s="155">
        <v>2.5</v>
      </c>
      <c r="I20" s="156">
        <v>117.54300000000001</v>
      </c>
      <c r="J20" s="157">
        <f t="shared" si="5"/>
        <v>308.34800000000001</v>
      </c>
    </row>
    <row r="21" spans="2:10">
      <c r="B21" s="473"/>
      <c r="C21" s="311" t="s">
        <v>11</v>
      </c>
      <c r="D21" s="302"/>
      <c r="E21" s="303">
        <f t="shared" ref="E21:J21" si="6">SUBTOTAL(9,E19:E20)</f>
        <v>476.08800000000002</v>
      </c>
      <c r="F21" s="304">
        <f t="shared" si="6"/>
        <v>626.10799999999995</v>
      </c>
      <c r="G21" s="304">
        <f t="shared" si="6"/>
        <v>371.56799999999998</v>
      </c>
      <c r="H21" s="304">
        <f t="shared" si="6"/>
        <v>467.23</v>
      </c>
      <c r="I21" s="305">
        <f t="shared" si="6"/>
        <v>608.43200000000002</v>
      </c>
      <c r="J21" s="306">
        <f t="shared" si="6"/>
        <v>2549.4259999999999</v>
      </c>
    </row>
    <row r="22" spans="2:10">
      <c r="B22" s="473"/>
      <c r="C22" s="479" t="s">
        <v>108</v>
      </c>
      <c r="D22" s="307" t="s">
        <v>0</v>
      </c>
      <c r="E22" s="308">
        <v>78.219750204399233</v>
      </c>
      <c r="F22" s="263">
        <v>0.99614998197555549</v>
      </c>
      <c r="G22" s="263">
        <v>3.3413899993896483</v>
      </c>
      <c r="H22" s="263">
        <v>4.0976200022697444</v>
      </c>
      <c r="I22" s="309">
        <v>0</v>
      </c>
      <c r="J22" s="310">
        <f t="shared" si="5"/>
        <v>86.654910188034179</v>
      </c>
    </row>
    <row r="23" spans="2:10">
      <c r="B23" s="473"/>
      <c r="C23" s="476"/>
      <c r="D23" s="307" t="s">
        <v>1</v>
      </c>
      <c r="E23" s="308">
        <v>206.036</v>
      </c>
      <c r="F23" s="263">
        <v>53.034000000000006</v>
      </c>
      <c r="G23" s="263">
        <v>7.42</v>
      </c>
      <c r="H23" s="263">
        <v>114.404</v>
      </c>
      <c r="I23" s="309">
        <v>311.10200000000003</v>
      </c>
      <c r="J23" s="310">
        <f t="shared" si="5"/>
        <v>691.99600000000009</v>
      </c>
    </row>
    <row r="24" spans="2:10">
      <c r="B24" s="473"/>
      <c r="C24" s="476"/>
      <c r="D24" s="307" t="s">
        <v>3</v>
      </c>
      <c r="E24" s="308">
        <v>12.185</v>
      </c>
      <c r="F24" s="263">
        <v>0</v>
      </c>
      <c r="G24" s="263">
        <v>0</v>
      </c>
      <c r="H24" s="263">
        <v>0</v>
      </c>
      <c r="I24" s="309">
        <v>0</v>
      </c>
      <c r="J24" s="310">
        <f t="shared" si="5"/>
        <v>12.185</v>
      </c>
    </row>
    <row r="25" spans="2:10">
      <c r="B25" s="473"/>
      <c r="C25" s="476"/>
      <c r="D25" s="307" t="s">
        <v>4</v>
      </c>
      <c r="E25" s="308">
        <v>0</v>
      </c>
      <c r="F25" s="263">
        <v>33.128999999999998</v>
      </c>
      <c r="G25" s="263">
        <v>27.125</v>
      </c>
      <c r="H25" s="263">
        <v>15.702999999999999</v>
      </c>
      <c r="I25" s="309">
        <v>17.577999999999999</v>
      </c>
      <c r="J25" s="310">
        <f t="shared" si="5"/>
        <v>93.534999999999997</v>
      </c>
    </row>
    <row r="26" spans="2:10">
      <c r="B26" s="473"/>
      <c r="C26" s="480"/>
      <c r="D26" s="307" t="s">
        <v>5</v>
      </c>
      <c r="E26" s="308">
        <v>0</v>
      </c>
      <c r="F26" s="263">
        <v>31.210350007772448</v>
      </c>
      <c r="G26" s="263">
        <v>344.88177401733401</v>
      </c>
      <c r="H26" s="263">
        <v>0</v>
      </c>
      <c r="I26" s="309">
        <v>0</v>
      </c>
      <c r="J26" s="310">
        <f t="shared" si="5"/>
        <v>376.09212402510644</v>
      </c>
    </row>
    <row r="27" spans="2:10">
      <c r="B27" s="473"/>
      <c r="C27" s="311" t="s">
        <v>6</v>
      </c>
      <c r="D27" s="302"/>
      <c r="E27" s="303">
        <f t="shared" ref="E27:J27" si="7">SUBTOTAL(9,E22:E26)</f>
        <v>296.44075020439925</v>
      </c>
      <c r="F27" s="304">
        <f t="shared" si="7"/>
        <v>118.36949998974801</v>
      </c>
      <c r="G27" s="304">
        <f t="shared" si="7"/>
        <v>382.76816401672363</v>
      </c>
      <c r="H27" s="304">
        <f t="shared" si="7"/>
        <v>134.20462000226973</v>
      </c>
      <c r="I27" s="305">
        <f t="shared" si="7"/>
        <v>328.68</v>
      </c>
      <c r="J27" s="306">
        <f t="shared" si="7"/>
        <v>1260.4630342131406</v>
      </c>
    </row>
    <row r="28" spans="2:10">
      <c r="B28" s="473"/>
      <c r="C28" s="481" t="s">
        <v>109</v>
      </c>
      <c r="D28" s="481" t="s">
        <v>110</v>
      </c>
      <c r="E28" s="308">
        <v>375.34500000000003</v>
      </c>
      <c r="F28" s="263">
        <v>48.552</v>
      </c>
      <c r="G28" s="263">
        <v>63.280999999999999</v>
      </c>
      <c r="H28" s="263">
        <v>46.067</v>
      </c>
      <c r="I28" s="309">
        <v>335.95499999999998</v>
      </c>
      <c r="J28" s="310">
        <f t="shared" si="5"/>
        <v>869.2</v>
      </c>
    </row>
    <row r="29" spans="2:10">
      <c r="B29" s="474"/>
      <c r="C29" s="315" t="s">
        <v>111</v>
      </c>
      <c r="D29" s="316"/>
      <c r="E29" s="317">
        <f t="shared" ref="E29:J29" si="8">SUBTOTAL(9,E28:E28)</f>
        <v>375.34500000000003</v>
      </c>
      <c r="F29" s="318">
        <f t="shared" si="8"/>
        <v>48.552</v>
      </c>
      <c r="G29" s="318">
        <f t="shared" si="8"/>
        <v>63.280999999999999</v>
      </c>
      <c r="H29" s="318">
        <f t="shared" si="8"/>
        <v>46.067</v>
      </c>
      <c r="I29" s="319">
        <f t="shared" si="8"/>
        <v>335.95499999999998</v>
      </c>
      <c r="J29" s="320">
        <f t="shared" si="8"/>
        <v>869.2</v>
      </c>
    </row>
    <row r="30" spans="2:10" ht="22.5" customHeight="1">
      <c r="B30" s="101" t="s">
        <v>114</v>
      </c>
      <c r="C30" s="159"/>
      <c r="D30" s="159"/>
      <c r="E30" s="92">
        <f t="shared" ref="E30:J30" si="9">SUBTOTAL(9,E19:E28)</f>
        <v>1147.8737502043991</v>
      </c>
      <c r="F30" s="59">
        <f t="shared" si="9"/>
        <v>793.02949998974805</v>
      </c>
      <c r="G30" s="59">
        <f t="shared" si="9"/>
        <v>817.61716401672356</v>
      </c>
      <c r="H30" s="59">
        <f t="shared" si="9"/>
        <v>647.50162000226976</v>
      </c>
      <c r="I30" s="96">
        <f t="shared" si="9"/>
        <v>1273.067</v>
      </c>
      <c r="J30" s="83">
        <f t="shared" si="9"/>
        <v>4679.0890342131406</v>
      </c>
    </row>
    <row r="31" spans="2:10">
      <c r="B31" s="444" t="s">
        <v>115</v>
      </c>
      <c r="C31" s="477" t="s">
        <v>106</v>
      </c>
      <c r="D31" s="153" t="s">
        <v>106</v>
      </c>
      <c r="E31" s="154">
        <v>578.02791462263372</v>
      </c>
      <c r="F31" s="155">
        <v>589.36279975472769</v>
      </c>
      <c r="G31" s="155">
        <v>495.18518891738364</v>
      </c>
      <c r="H31" s="155">
        <v>524.4102403069586</v>
      </c>
      <c r="I31" s="156">
        <v>365.37788327340235</v>
      </c>
      <c r="J31" s="157">
        <f t="shared" ref="J31:J42" si="10">SUM(E31:I31)</f>
        <v>2552.364026875106</v>
      </c>
    </row>
    <row r="32" spans="2:10">
      <c r="B32" s="445"/>
      <c r="C32" s="478"/>
      <c r="D32" s="153" t="s">
        <v>107</v>
      </c>
      <c r="E32" s="154">
        <v>38.567179697275158</v>
      </c>
      <c r="F32" s="155">
        <v>142.93755381906033</v>
      </c>
      <c r="G32" s="155">
        <v>8.5688849880695344</v>
      </c>
      <c r="H32" s="155">
        <v>1.25</v>
      </c>
      <c r="I32" s="156">
        <v>138.04548580180852</v>
      </c>
      <c r="J32" s="157">
        <f t="shared" si="10"/>
        <v>329.36910430621356</v>
      </c>
    </row>
    <row r="33" spans="2:10">
      <c r="B33" s="445"/>
      <c r="C33" s="311" t="s">
        <v>11</v>
      </c>
      <c r="D33" s="302"/>
      <c r="E33" s="303">
        <f t="shared" ref="E33:J33" si="11">SUBTOTAL(9,E31:E32)</f>
        <v>616.59509431990887</v>
      </c>
      <c r="F33" s="304">
        <f t="shared" si="11"/>
        <v>732.30035357378802</v>
      </c>
      <c r="G33" s="304">
        <f t="shared" si="11"/>
        <v>503.7540739054532</v>
      </c>
      <c r="H33" s="304">
        <f t="shared" si="11"/>
        <v>525.6602403069586</v>
      </c>
      <c r="I33" s="305">
        <f t="shared" si="11"/>
        <v>503.42336907521087</v>
      </c>
      <c r="J33" s="306">
        <f t="shared" si="11"/>
        <v>2881.7331311813195</v>
      </c>
    </row>
    <row r="34" spans="2:10">
      <c r="B34" s="445"/>
      <c r="C34" s="479" t="s">
        <v>108</v>
      </c>
      <c r="D34" s="307" t="s">
        <v>0</v>
      </c>
      <c r="E34" s="308">
        <v>93.932716525018222</v>
      </c>
      <c r="F34" s="263">
        <v>3.7835699524879458</v>
      </c>
      <c r="G34" s="263">
        <v>18.69597259354591</v>
      </c>
      <c r="H34" s="263">
        <v>9.4973499348908668</v>
      </c>
      <c r="I34" s="309">
        <v>155.0459600830078</v>
      </c>
      <c r="J34" s="310">
        <f t="shared" si="10"/>
        <v>280.95556908895077</v>
      </c>
    </row>
    <row r="35" spans="2:10">
      <c r="B35" s="445"/>
      <c r="C35" s="476"/>
      <c r="D35" s="307" t="s">
        <v>1</v>
      </c>
      <c r="E35" s="308">
        <v>210.18346257066727</v>
      </c>
      <c r="F35" s="263">
        <v>96.864999999999995</v>
      </c>
      <c r="G35" s="263">
        <v>12.779660003662109</v>
      </c>
      <c r="H35" s="263">
        <v>39.000013877565038</v>
      </c>
      <c r="I35" s="309">
        <v>350.57008512639999</v>
      </c>
      <c r="J35" s="310">
        <f t="shared" si="10"/>
        <v>709.3982215782944</v>
      </c>
    </row>
    <row r="36" spans="2:10">
      <c r="B36" s="445"/>
      <c r="C36" s="476"/>
      <c r="D36" s="307" t="s">
        <v>2</v>
      </c>
      <c r="E36" s="308">
        <v>0</v>
      </c>
      <c r="F36" s="263">
        <v>0</v>
      </c>
      <c r="G36" s="263">
        <v>0</v>
      </c>
      <c r="H36" s="263">
        <v>12.49600599324447</v>
      </c>
      <c r="I36" s="309">
        <v>0</v>
      </c>
      <c r="J36" s="310">
        <f t="shared" si="10"/>
        <v>12.49600599324447</v>
      </c>
    </row>
    <row r="37" spans="2:10">
      <c r="B37" s="445"/>
      <c r="C37" s="476"/>
      <c r="D37" s="307" t="s">
        <v>3</v>
      </c>
      <c r="E37" s="308">
        <v>27.868429808001967</v>
      </c>
      <c r="F37" s="263">
        <v>0</v>
      </c>
      <c r="G37" s="263">
        <v>0</v>
      </c>
      <c r="H37" s="263">
        <v>0</v>
      </c>
      <c r="I37" s="309">
        <v>0</v>
      </c>
      <c r="J37" s="310">
        <f t="shared" si="10"/>
        <v>27.868429808001967</v>
      </c>
    </row>
    <row r="38" spans="2:10">
      <c r="B38" s="445"/>
      <c r="C38" s="476"/>
      <c r="D38" s="307" t="s">
        <v>4</v>
      </c>
      <c r="E38" s="308">
        <v>13.587</v>
      </c>
      <c r="F38" s="263">
        <v>55.017990173339847</v>
      </c>
      <c r="G38" s="263">
        <v>33.919800098419188</v>
      </c>
      <c r="H38" s="263">
        <v>13.676089920043946</v>
      </c>
      <c r="I38" s="309">
        <v>4.4213100585937504</v>
      </c>
      <c r="J38" s="310">
        <f t="shared" si="10"/>
        <v>120.62219025039673</v>
      </c>
    </row>
    <row r="39" spans="2:10">
      <c r="B39" s="445"/>
      <c r="C39" s="480"/>
      <c r="D39" s="307" t="s">
        <v>5</v>
      </c>
      <c r="E39" s="308">
        <v>0</v>
      </c>
      <c r="F39" s="263">
        <v>22.702810003519058</v>
      </c>
      <c r="G39" s="263">
        <v>338.21002537536623</v>
      </c>
      <c r="H39" s="263">
        <v>0</v>
      </c>
      <c r="I39" s="309">
        <v>0</v>
      </c>
      <c r="J39" s="310">
        <f t="shared" si="10"/>
        <v>360.91283537888529</v>
      </c>
    </row>
    <row r="40" spans="2:10">
      <c r="B40" s="445"/>
      <c r="C40" s="311" t="s">
        <v>6</v>
      </c>
      <c r="D40" s="302"/>
      <c r="E40" s="303">
        <f t="shared" ref="E40:J40" si="12">SUBTOTAL(9,E34:E39)</f>
        <v>345.57160890368743</v>
      </c>
      <c r="F40" s="304">
        <f t="shared" si="12"/>
        <v>178.36937012934686</v>
      </c>
      <c r="G40" s="304">
        <f t="shared" si="12"/>
        <v>403.60545807099345</v>
      </c>
      <c r="H40" s="304">
        <f t="shared" si="12"/>
        <v>74.669459725744318</v>
      </c>
      <c r="I40" s="305">
        <f t="shared" si="12"/>
        <v>510.03735526800153</v>
      </c>
      <c r="J40" s="306">
        <f t="shared" si="12"/>
        <v>1512.2532520977736</v>
      </c>
    </row>
    <row r="41" spans="2:10">
      <c r="B41" s="445"/>
      <c r="C41" s="479" t="s">
        <v>109</v>
      </c>
      <c r="D41" s="307" t="s">
        <v>18</v>
      </c>
      <c r="E41" s="308">
        <v>38.26925</v>
      </c>
      <c r="F41" s="263">
        <v>0.71599999999999997</v>
      </c>
      <c r="G41" s="263">
        <v>167.28760094356537</v>
      </c>
      <c r="H41" s="263">
        <v>7.2738150174617768</v>
      </c>
      <c r="I41" s="309">
        <v>1.3402999687194825</v>
      </c>
      <c r="J41" s="310">
        <f t="shared" si="10"/>
        <v>214.88696592974662</v>
      </c>
    </row>
    <row r="42" spans="2:10">
      <c r="B42" s="445"/>
      <c r="C42" s="480"/>
      <c r="D42" s="307" t="s">
        <v>110</v>
      </c>
      <c r="E42" s="308">
        <v>329.74849712848663</v>
      </c>
      <c r="F42" s="263">
        <v>27.495330952048302</v>
      </c>
      <c r="G42" s="263">
        <v>82.962085062503817</v>
      </c>
      <c r="H42" s="263">
        <v>51.661886814470861</v>
      </c>
      <c r="I42" s="309">
        <v>387.69263659073408</v>
      </c>
      <c r="J42" s="310">
        <f t="shared" si="10"/>
        <v>879.56043654824362</v>
      </c>
    </row>
    <row r="43" spans="2:10">
      <c r="B43" s="446"/>
      <c r="C43" s="321" t="s">
        <v>111</v>
      </c>
      <c r="D43" s="316"/>
      <c r="E43" s="317">
        <f t="shared" ref="E43:J43" si="13">SUBTOTAL(9,E41:E42)</f>
        <v>368.01774712848663</v>
      </c>
      <c r="F43" s="318">
        <f t="shared" si="13"/>
        <v>28.211330952048304</v>
      </c>
      <c r="G43" s="318">
        <f t="shared" si="13"/>
        <v>250.24968600606917</v>
      </c>
      <c r="H43" s="318">
        <f t="shared" si="13"/>
        <v>58.93570183193264</v>
      </c>
      <c r="I43" s="319">
        <f t="shared" si="13"/>
        <v>389.03293655945356</v>
      </c>
      <c r="J43" s="320">
        <f t="shared" si="13"/>
        <v>1094.4474024779902</v>
      </c>
    </row>
    <row r="44" spans="2:10">
      <c r="B44" s="120" t="s">
        <v>116</v>
      </c>
      <c r="C44" s="160"/>
      <c r="D44" s="159"/>
      <c r="E44" s="92">
        <f t="shared" ref="E44:J44" si="14">SUBTOTAL(9,E31:E42)</f>
        <v>1330.1844503520831</v>
      </c>
      <c r="F44" s="59">
        <f t="shared" si="14"/>
        <v>938.88105465518322</v>
      </c>
      <c r="G44" s="59">
        <f t="shared" si="14"/>
        <v>1157.6092179825157</v>
      </c>
      <c r="H44" s="59">
        <f t="shared" si="14"/>
        <v>659.26540186463558</v>
      </c>
      <c r="I44" s="59">
        <f t="shared" si="14"/>
        <v>1402.4936609026661</v>
      </c>
      <c r="J44" s="83">
        <f t="shared" si="14"/>
        <v>5488.4337857570845</v>
      </c>
    </row>
    <row r="45" spans="2:10">
      <c r="B45" s="444">
        <v>2005</v>
      </c>
      <c r="C45" s="477" t="s">
        <v>106</v>
      </c>
      <c r="D45" s="153" t="s">
        <v>106</v>
      </c>
      <c r="E45" s="154">
        <f>598380.322737949/1000</f>
        <v>598.38032273794897</v>
      </c>
      <c r="F45" s="155">
        <f>671954.808967557/1000</f>
        <v>671.95480896755703</v>
      </c>
      <c r="G45" s="155">
        <f>699940.729465127/1000</f>
        <v>699.94072946512699</v>
      </c>
      <c r="H45" s="155">
        <f>665991.45689698/1000</f>
        <v>665.99145689697991</v>
      </c>
      <c r="I45" s="156">
        <f>512911.306625472/1000</f>
        <v>512.91130662547198</v>
      </c>
      <c r="J45" s="157">
        <f t="shared" ref="J45:J56" si="15">SUM(E45:I45)</f>
        <v>3149.1786246930851</v>
      </c>
    </row>
    <row r="46" spans="2:10">
      <c r="B46" s="445"/>
      <c r="C46" s="478"/>
      <c r="D46" s="153" t="s">
        <v>107</v>
      </c>
      <c r="E46" s="154">
        <f>6548.85099506378/1000</f>
        <v>6.5488509950637797</v>
      </c>
      <c r="F46" s="155">
        <f>10870.560974121/1000</f>
        <v>10.870560974120998</v>
      </c>
      <c r="G46" s="155">
        <f>14169.2434317041/1000</f>
        <v>14.1692434317041</v>
      </c>
      <c r="H46" s="155">
        <v>1.25</v>
      </c>
      <c r="I46" s="156">
        <f>13809.048076421/1000</f>
        <v>13.809048076421</v>
      </c>
      <c r="J46" s="157">
        <f t="shared" si="15"/>
        <v>46.647703477309882</v>
      </c>
    </row>
    <row r="47" spans="2:10">
      <c r="B47" s="445"/>
      <c r="C47" s="311" t="s">
        <v>11</v>
      </c>
      <c r="D47" s="302"/>
      <c r="E47" s="303">
        <f t="shared" ref="E47:J47" si="16">SUBTOTAL(9,E45:E46)</f>
        <v>604.9291737330127</v>
      </c>
      <c r="F47" s="304">
        <f t="shared" si="16"/>
        <v>682.82536994167799</v>
      </c>
      <c r="G47" s="304">
        <f t="shared" si="16"/>
        <v>714.1099728968311</v>
      </c>
      <c r="H47" s="304">
        <f t="shared" si="16"/>
        <v>667.24145689697991</v>
      </c>
      <c r="I47" s="305">
        <f t="shared" si="16"/>
        <v>526.72035470189303</v>
      </c>
      <c r="J47" s="306">
        <f t="shared" si="16"/>
        <v>3195.8263281703948</v>
      </c>
    </row>
    <row r="48" spans="2:10">
      <c r="B48" s="445"/>
      <c r="C48" s="479" t="s">
        <v>108</v>
      </c>
      <c r="D48" s="307" t="s">
        <v>0</v>
      </c>
      <c r="E48" s="308">
        <f>90451.9702767916/1000</f>
        <v>90.451970276791599</v>
      </c>
      <c r="F48" s="263">
        <f>18112.4599761962/1000</f>
        <v>18.112459976196202</v>
      </c>
      <c r="G48" s="263">
        <f>13629.6095390319/1000</f>
        <v>13.6296095390319</v>
      </c>
      <c r="H48" s="263">
        <f>8567.96993777528/1000</f>
        <v>8.5679699377752812</v>
      </c>
      <c r="I48" s="309">
        <f>193349/1000</f>
        <v>193.34899999999999</v>
      </c>
      <c r="J48" s="310">
        <f t="shared" si="15"/>
        <v>324.111009729795</v>
      </c>
    </row>
    <row r="49" spans="2:10">
      <c r="B49" s="445"/>
      <c r="C49" s="476"/>
      <c r="D49" s="307" t="s">
        <v>1</v>
      </c>
      <c r="E49" s="308">
        <f>196969.889982224/1000</f>
        <v>196.969889982224</v>
      </c>
      <c r="F49" s="263">
        <f>214109.705030859/1000</f>
        <v>214.109705030859</v>
      </c>
      <c r="G49" s="263">
        <f>11529.6520051956/1000</f>
        <v>11.529652005195599</v>
      </c>
      <c r="H49" s="263">
        <f>86215.2372851372/1000</f>
        <v>86.215237285137206</v>
      </c>
      <c r="I49" s="309">
        <f>315824.470115662/1000</f>
        <v>315.82447011566205</v>
      </c>
      <c r="J49" s="310">
        <f t="shared" si="15"/>
        <v>824.64895441907788</v>
      </c>
    </row>
    <row r="50" spans="2:10">
      <c r="B50" s="445"/>
      <c r="C50" s="476"/>
      <c r="D50" s="307" t="s">
        <v>2</v>
      </c>
      <c r="E50" s="308">
        <f>17462.8018765449/1000</f>
        <v>17.462801876544901</v>
      </c>
      <c r="F50" s="263">
        <v>0</v>
      </c>
      <c r="G50" s="263">
        <v>0</v>
      </c>
      <c r="H50" s="263">
        <f>13587.8968913044/1000</f>
        <v>13.5878968913044</v>
      </c>
      <c r="I50" s="309">
        <f>15084.6430245339/1000</f>
        <v>15.0846430245339</v>
      </c>
      <c r="J50" s="310">
        <f t="shared" si="15"/>
        <v>46.135341792383201</v>
      </c>
    </row>
    <row r="51" spans="2:10">
      <c r="B51" s="445"/>
      <c r="C51" s="476"/>
      <c r="D51" s="307" t="s">
        <v>3</v>
      </c>
      <c r="E51" s="308">
        <f>37555.9699300453/1000</f>
        <v>37.5559699300453</v>
      </c>
      <c r="F51" s="263">
        <f>85.8000011444091/1000</f>
        <v>8.5800001144409097E-2</v>
      </c>
      <c r="G51" s="263">
        <v>0</v>
      </c>
      <c r="H51" s="263">
        <f>423.600000232458/1000</f>
        <v>0.42360000023245797</v>
      </c>
      <c r="I51" s="309">
        <v>0</v>
      </c>
      <c r="J51" s="310">
        <f t="shared" si="15"/>
        <v>38.065369931422161</v>
      </c>
    </row>
    <row r="52" spans="2:10">
      <c r="B52" s="445"/>
      <c r="C52" s="476"/>
      <c r="D52" s="307" t="s">
        <v>4</v>
      </c>
      <c r="E52" s="308">
        <v>12.297000000000001</v>
      </c>
      <c r="F52" s="263">
        <f>59912.1203918457/1000</f>
        <v>59.912120391845704</v>
      </c>
      <c r="G52" s="263">
        <f>47161.8601264953/1000</f>
        <v>47.161860126495306</v>
      </c>
      <c r="H52" s="263">
        <f>15973.251296997/1000</f>
        <v>15.973251296996999</v>
      </c>
      <c r="I52" s="309">
        <v>0</v>
      </c>
      <c r="J52" s="310">
        <f t="shared" si="15"/>
        <v>135.34423181533802</v>
      </c>
    </row>
    <row r="53" spans="2:10">
      <c r="B53" s="445"/>
      <c r="C53" s="480"/>
      <c r="D53" s="307" t="s">
        <v>5</v>
      </c>
      <c r="E53" s="308">
        <v>0</v>
      </c>
      <c r="F53" s="263">
        <f>19932.680065155/1000</f>
        <v>19.932680065155001</v>
      </c>
      <c r="G53" s="263">
        <f>150777.589904785/1000</f>
        <v>150.777589904785</v>
      </c>
      <c r="H53" s="263">
        <v>0</v>
      </c>
      <c r="I53" s="309">
        <v>0</v>
      </c>
      <c r="J53" s="310">
        <f t="shared" si="15"/>
        <v>170.71026996994001</v>
      </c>
    </row>
    <row r="54" spans="2:10">
      <c r="B54" s="445"/>
      <c r="C54" s="311" t="s">
        <v>6</v>
      </c>
      <c r="D54" s="302"/>
      <c r="E54" s="303">
        <f t="shared" ref="E54:J54" si="17">SUBTOTAL(9,E48:E53)</f>
        <v>354.73763206560585</v>
      </c>
      <c r="F54" s="304">
        <f t="shared" si="17"/>
        <v>312.15276546520033</v>
      </c>
      <c r="G54" s="304">
        <f t="shared" si="17"/>
        <v>223.09871157550782</v>
      </c>
      <c r="H54" s="304">
        <f t="shared" si="17"/>
        <v>124.76795541144634</v>
      </c>
      <c r="I54" s="305">
        <f t="shared" si="17"/>
        <v>524.25811314019597</v>
      </c>
      <c r="J54" s="306">
        <f t="shared" si="17"/>
        <v>1539.0151776579562</v>
      </c>
    </row>
    <row r="55" spans="2:10">
      <c r="B55" s="445"/>
      <c r="C55" s="479" t="s">
        <v>109</v>
      </c>
      <c r="D55" s="307" t="s">
        <v>18</v>
      </c>
      <c r="E55" s="308">
        <f>28661.2100005149/1000</f>
        <v>28.661210000514899</v>
      </c>
      <c r="F55" s="263">
        <f>7239.36048698425/1000</f>
        <v>7.2393604869842498</v>
      </c>
      <c r="G55" s="263">
        <f>66189.180295229/1000</f>
        <v>66.189180295229008</v>
      </c>
      <c r="H55" s="263">
        <f>8664.41672605276/1000</f>
        <v>8.6644167260527585</v>
      </c>
      <c r="I55" s="309">
        <f>17073.6779648065/1000</f>
        <v>17.0736779648065</v>
      </c>
      <c r="J55" s="310">
        <f t="shared" si="15"/>
        <v>127.82784547358742</v>
      </c>
    </row>
    <row r="56" spans="2:10">
      <c r="B56" s="445"/>
      <c r="C56" s="480"/>
      <c r="D56" s="307" t="s">
        <v>110</v>
      </c>
      <c r="E56" s="308">
        <f>346185.561662197/1000</f>
        <v>346.18556166219702</v>
      </c>
      <c r="F56" s="263">
        <f>35174.8598003387/1000</f>
        <v>35.174859800338702</v>
      </c>
      <c r="G56" s="263">
        <f>111483.736185074/1000</f>
        <v>111.48373618507399</v>
      </c>
      <c r="H56" s="263">
        <f>57199.7347429902/1000</f>
        <v>57.199734742990202</v>
      </c>
      <c r="I56" s="309">
        <f>348380.571010202/1000</f>
        <v>348.380571010202</v>
      </c>
      <c r="J56" s="310">
        <f t="shared" si="15"/>
        <v>898.42446340080187</v>
      </c>
    </row>
    <row r="57" spans="2:10">
      <c r="B57" s="446"/>
      <c r="C57" s="321" t="s">
        <v>111</v>
      </c>
      <c r="D57" s="316"/>
      <c r="E57" s="318">
        <f t="shared" ref="E57:J57" si="18">SUBTOTAL(9,E55:E56)</f>
        <v>374.84677166271194</v>
      </c>
      <c r="F57" s="318">
        <f t="shared" si="18"/>
        <v>42.414220287322948</v>
      </c>
      <c r="G57" s="318">
        <f t="shared" si="18"/>
        <v>177.672916480303</v>
      </c>
      <c r="H57" s="318">
        <f t="shared" si="18"/>
        <v>65.864151469042966</v>
      </c>
      <c r="I57" s="318">
        <f t="shared" si="18"/>
        <v>365.45424897500851</v>
      </c>
      <c r="J57" s="319">
        <f t="shared" si="18"/>
        <v>1026.2523088743892</v>
      </c>
    </row>
    <row r="58" spans="2:10">
      <c r="B58" s="120" t="s">
        <v>117</v>
      </c>
      <c r="C58" s="160"/>
      <c r="D58" s="159"/>
      <c r="E58" s="59">
        <f t="shared" ref="E58:J58" si="19">SUBTOTAL(9,E45:E56)</f>
        <v>1334.5135774613304</v>
      </c>
      <c r="F58" s="59">
        <f t="shared" si="19"/>
        <v>1037.3923556942011</v>
      </c>
      <c r="G58" s="59">
        <f t="shared" si="19"/>
        <v>1114.8816009526417</v>
      </c>
      <c r="H58" s="59">
        <f t="shared" si="19"/>
        <v>857.87356377746914</v>
      </c>
      <c r="I58" s="59">
        <f t="shared" si="19"/>
        <v>1416.4327168170973</v>
      </c>
      <c r="J58" s="83">
        <f t="shared" si="19"/>
        <v>5761.0938147027409</v>
      </c>
    </row>
    <row r="59" spans="2:10">
      <c r="B59" s="444">
        <v>2006</v>
      </c>
      <c r="C59" s="477" t="s">
        <v>106</v>
      </c>
      <c r="D59" s="153" t="s">
        <v>106</v>
      </c>
      <c r="E59" s="154">
        <v>598.01077698159918</v>
      </c>
      <c r="F59" s="155">
        <v>643.15495509466348</v>
      </c>
      <c r="G59" s="155">
        <v>482.17936292029918</v>
      </c>
      <c r="H59" s="155">
        <v>667.75453083976981</v>
      </c>
      <c r="I59" s="156">
        <v>468.71504143288917</v>
      </c>
      <c r="J59" s="157">
        <f>SUM(E59:I59)</f>
        <v>2859.814667269221</v>
      </c>
    </row>
    <row r="60" spans="2:10">
      <c r="B60" s="445"/>
      <c r="C60" s="478"/>
      <c r="D60" s="153" t="s">
        <v>107</v>
      </c>
      <c r="E60" s="154">
        <v>70.545379799842834</v>
      </c>
      <c r="F60" s="155">
        <v>38.931699780758471</v>
      </c>
      <c r="G60" s="155">
        <v>53.002302539899944</v>
      </c>
      <c r="H60" s="155">
        <v>65.491675481156676</v>
      </c>
      <c r="I60" s="156">
        <v>115.05832199088438</v>
      </c>
      <c r="J60" s="157">
        <f>SUM(E60:I60)</f>
        <v>343.02937959254228</v>
      </c>
    </row>
    <row r="61" spans="2:10">
      <c r="B61" s="445"/>
      <c r="C61" s="311" t="s">
        <v>11</v>
      </c>
      <c r="D61" s="302"/>
      <c r="E61" s="303">
        <f t="shared" ref="E61:J61" si="20">SUBTOTAL(9,E59:E60)</f>
        <v>668.55615678144204</v>
      </c>
      <c r="F61" s="304">
        <f t="shared" si="20"/>
        <v>682.08665487542191</v>
      </c>
      <c r="G61" s="304">
        <f t="shared" si="20"/>
        <v>535.18166546019916</v>
      </c>
      <c r="H61" s="304">
        <f t="shared" si="20"/>
        <v>733.24620632092649</v>
      </c>
      <c r="I61" s="305">
        <f t="shared" si="20"/>
        <v>583.7733634237735</v>
      </c>
      <c r="J61" s="306">
        <f t="shared" si="20"/>
        <v>3202.8440468617632</v>
      </c>
    </row>
    <row r="62" spans="2:10">
      <c r="B62" s="445"/>
      <c r="C62" s="479" t="s">
        <v>108</v>
      </c>
      <c r="D62" s="307" t="s">
        <v>0</v>
      </c>
      <c r="E62" s="308">
        <v>93.214540236622099</v>
      </c>
      <c r="F62" s="263">
        <v>87.141614884138107</v>
      </c>
      <c r="G62" s="263">
        <v>27.871660209655762</v>
      </c>
      <c r="H62" s="263">
        <v>8.8458699121139936</v>
      </c>
      <c r="I62" s="309">
        <v>245.53582049611211</v>
      </c>
      <c r="J62" s="310">
        <f t="shared" ref="J62:J67" si="21">SUM(E62:I62)</f>
        <v>462.60950573864204</v>
      </c>
    </row>
    <row r="63" spans="2:10">
      <c r="B63" s="445"/>
      <c r="C63" s="476"/>
      <c r="D63" s="307" t="s">
        <v>1</v>
      </c>
      <c r="E63" s="308">
        <v>157.71343185424806</v>
      </c>
      <c r="F63" s="263">
        <v>142.7081083080806</v>
      </c>
      <c r="G63" s="263">
        <v>9.4326392884254453</v>
      </c>
      <c r="H63" s="263">
        <v>240.97600145423414</v>
      </c>
      <c r="I63" s="309">
        <v>341.6832800292969</v>
      </c>
      <c r="J63" s="310">
        <f t="shared" si="21"/>
        <v>892.51346093428515</v>
      </c>
    </row>
    <row r="64" spans="2:10">
      <c r="B64" s="445"/>
      <c r="C64" s="476"/>
      <c r="D64" s="307" t="s">
        <v>2</v>
      </c>
      <c r="E64" s="308">
        <v>18.248030063629152</v>
      </c>
      <c r="F64" s="263">
        <v>0.42700999069213869</v>
      </c>
      <c r="G64" s="263">
        <v>0</v>
      </c>
      <c r="H64" s="263">
        <v>13.802215979307425</v>
      </c>
      <c r="I64" s="309">
        <v>16.397350364923476</v>
      </c>
      <c r="J64" s="310">
        <f t="shared" si="21"/>
        <v>48.874606398552189</v>
      </c>
    </row>
    <row r="65" spans="2:10">
      <c r="B65" s="445"/>
      <c r="C65" s="476"/>
      <c r="D65" s="307" t="s">
        <v>3</v>
      </c>
      <c r="E65" s="308">
        <v>50.530782000671955</v>
      </c>
      <c r="F65" s="263">
        <v>0.20569999694824218</v>
      </c>
      <c r="G65" s="263">
        <v>0</v>
      </c>
      <c r="H65" s="263">
        <v>5.9032682522651155E-2</v>
      </c>
      <c r="I65" s="309">
        <v>0</v>
      </c>
      <c r="J65" s="310">
        <f t="shared" si="21"/>
        <v>50.795514680142844</v>
      </c>
    </row>
    <row r="66" spans="2:10">
      <c r="B66" s="445"/>
      <c r="C66" s="476"/>
      <c r="D66" s="307" t="s">
        <v>4</v>
      </c>
      <c r="E66" s="308">
        <v>15.732430046081543</v>
      </c>
      <c r="F66" s="263">
        <v>57.717259979248048</v>
      </c>
      <c r="G66" s="263">
        <v>60.258124750852588</v>
      </c>
      <c r="H66" s="263">
        <v>88.391899982213971</v>
      </c>
      <c r="I66" s="309">
        <v>0</v>
      </c>
      <c r="J66" s="310">
        <f t="shared" si="21"/>
        <v>222.09971475839615</v>
      </c>
    </row>
    <row r="67" spans="2:10">
      <c r="B67" s="445"/>
      <c r="C67" s="480"/>
      <c r="D67" s="307" t="s">
        <v>5</v>
      </c>
      <c r="E67" s="308">
        <v>0</v>
      </c>
      <c r="F67" s="263">
        <v>37.489849984645844</v>
      </c>
      <c r="G67" s="263">
        <v>104.66265637207032</v>
      </c>
      <c r="H67" s="263">
        <v>0</v>
      </c>
      <c r="I67" s="309">
        <v>0</v>
      </c>
      <c r="J67" s="310">
        <f t="shared" si="21"/>
        <v>142.15250635671617</v>
      </c>
    </row>
    <row r="68" spans="2:10">
      <c r="B68" s="445"/>
      <c r="C68" s="311" t="s">
        <v>6</v>
      </c>
      <c r="D68" s="302"/>
      <c r="E68" s="303">
        <f t="shared" ref="E68:J68" si="22">SUBTOTAL(9,E62:E67)</f>
        <v>335.43921420125281</v>
      </c>
      <c r="F68" s="304">
        <f t="shared" si="22"/>
        <v>325.68954314375299</v>
      </c>
      <c r="G68" s="304">
        <f t="shared" si="22"/>
        <v>202.22508062100411</v>
      </c>
      <c r="H68" s="304">
        <f t="shared" si="22"/>
        <v>352.07502001039211</v>
      </c>
      <c r="I68" s="305">
        <f t="shared" si="22"/>
        <v>603.61645089033243</v>
      </c>
      <c r="J68" s="306">
        <f t="shared" si="22"/>
        <v>1819.0453088667348</v>
      </c>
    </row>
    <row r="69" spans="2:10">
      <c r="B69" s="445"/>
      <c r="C69" s="479" t="s">
        <v>109</v>
      </c>
      <c r="D69" s="307" t="s">
        <v>18</v>
      </c>
      <c r="E69" s="308">
        <v>8.3684240074157721</v>
      </c>
      <c r="F69" s="263">
        <v>8.2565043220520025</v>
      </c>
      <c r="G69" s="263">
        <v>13.058650007367135</v>
      </c>
      <c r="H69" s="263">
        <v>10.593769992828369</v>
      </c>
      <c r="I69" s="309">
        <v>24.496196620836855</v>
      </c>
      <c r="J69" s="310">
        <f>SUM(E69:I69)</f>
        <v>64.773544950500138</v>
      </c>
    </row>
    <row r="70" spans="2:10">
      <c r="B70" s="445"/>
      <c r="C70" s="480"/>
      <c r="D70" s="307" t="s">
        <v>110</v>
      </c>
      <c r="E70" s="308">
        <v>439.46127064573767</v>
      </c>
      <c r="F70" s="263">
        <v>49.426977929949757</v>
      </c>
      <c r="G70" s="263">
        <v>95.334825897455218</v>
      </c>
      <c r="H70" s="263">
        <v>60.910707138715779</v>
      </c>
      <c r="I70" s="309">
        <v>362.06251403890548</v>
      </c>
      <c r="J70" s="310">
        <f>SUM(E70:I70)</f>
        <v>1007.1962956507639</v>
      </c>
    </row>
    <row r="71" spans="2:10">
      <c r="B71" s="446"/>
      <c r="C71" s="321" t="s">
        <v>111</v>
      </c>
      <c r="D71" s="316"/>
      <c r="E71" s="318">
        <f t="shared" ref="E71:J71" si="23">SUBTOTAL(9,E69:E70)</f>
        <v>447.82969465315347</v>
      </c>
      <c r="F71" s="318">
        <f t="shared" si="23"/>
        <v>57.68348225200176</v>
      </c>
      <c r="G71" s="318">
        <f t="shared" si="23"/>
        <v>108.39347590482235</v>
      </c>
      <c r="H71" s="318">
        <f t="shared" si="23"/>
        <v>71.504477131544149</v>
      </c>
      <c r="I71" s="318">
        <f t="shared" si="23"/>
        <v>386.55871065974236</v>
      </c>
      <c r="J71" s="319">
        <f t="shared" si="23"/>
        <v>1071.969840601264</v>
      </c>
    </row>
    <row r="72" spans="2:10">
      <c r="B72" s="120" t="s">
        <v>118</v>
      </c>
      <c r="C72" s="160"/>
      <c r="D72" s="159"/>
      <c r="E72" s="59">
        <f t="shared" ref="E72:J72" si="24">SUBTOTAL(9,E59:E70)</f>
        <v>1451.8250656358482</v>
      </c>
      <c r="F72" s="59">
        <f t="shared" si="24"/>
        <v>1065.4596802711767</v>
      </c>
      <c r="G72" s="59">
        <f t="shared" si="24"/>
        <v>845.80022198602546</v>
      </c>
      <c r="H72" s="59">
        <f t="shared" si="24"/>
        <v>1156.8257034628627</v>
      </c>
      <c r="I72" s="59">
        <f t="shared" si="24"/>
        <v>1573.9485249738484</v>
      </c>
      <c r="J72" s="83">
        <f t="shared" si="24"/>
        <v>6093.8591963297613</v>
      </c>
    </row>
    <row r="73" spans="2:10">
      <c r="B73" s="444">
        <v>2007</v>
      </c>
      <c r="C73" s="477" t="s">
        <v>106</v>
      </c>
      <c r="D73" s="161" t="s">
        <v>106</v>
      </c>
      <c r="E73" s="155">
        <v>635.11523490228876</v>
      </c>
      <c r="F73" s="155">
        <v>965.36424159261298</v>
      </c>
      <c r="G73" s="155">
        <v>461.61940106276933</v>
      </c>
      <c r="H73" s="155">
        <v>564.63341645007336</v>
      </c>
      <c r="I73" s="155">
        <v>550.75301051901272</v>
      </c>
      <c r="J73" s="157">
        <f t="shared" ref="J73:J84" si="25">SUM(E73:I73)</f>
        <v>3177.4853045267573</v>
      </c>
    </row>
    <row r="74" spans="2:10">
      <c r="B74" s="445"/>
      <c r="C74" s="478"/>
      <c r="D74" s="162" t="s">
        <v>107</v>
      </c>
      <c r="E74" s="155">
        <v>42.133489921569826</v>
      </c>
      <c r="F74" s="155">
        <v>40.456552835106848</v>
      </c>
      <c r="G74" s="155">
        <v>78.126182544767858</v>
      </c>
      <c r="H74" s="155">
        <v>75.379698590278394</v>
      </c>
      <c r="I74" s="155">
        <v>114.16592408340797</v>
      </c>
      <c r="J74" s="157">
        <f t="shared" si="25"/>
        <v>350.26184797513088</v>
      </c>
    </row>
    <row r="75" spans="2:10">
      <c r="B75" s="445"/>
      <c r="C75" s="311" t="s">
        <v>11</v>
      </c>
      <c r="D75" s="322"/>
      <c r="E75" s="303">
        <f t="shared" ref="E75:J75" si="26">SUM(E73:E74)</f>
        <v>677.24872482385854</v>
      </c>
      <c r="F75" s="304">
        <f t="shared" si="26"/>
        <v>1005.8207944277199</v>
      </c>
      <c r="G75" s="304">
        <f t="shared" si="26"/>
        <v>539.74558360753713</v>
      </c>
      <c r="H75" s="304">
        <f t="shared" si="26"/>
        <v>640.01311504035175</v>
      </c>
      <c r="I75" s="304">
        <f t="shared" si="26"/>
        <v>664.91893460242068</v>
      </c>
      <c r="J75" s="306">
        <f t="shared" si="26"/>
        <v>3527.7471525018882</v>
      </c>
    </row>
    <row r="76" spans="2:10">
      <c r="B76" s="445"/>
      <c r="C76" s="479" t="s">
        <v>108</v>
      </c>
      <c r="D76" s="307" t="s">
        <v>0</v>
      </c>
      <c r="E76" s="308">
        <v>129.64984987053276</v>
      </c>
      <c r="F76" s="263">
        <v>79.992000000000004</v>
      </c>
      <c r="G76" s="263">
        <v>58.108254010677335</v>
      </c>
      <c r="H76" s="263">
        <v>9.6373500025868424</v>
      </c>
      <c r="I76" s="263">
        <v>352.13567996883393</v>
      </c>
      <c r="J76" s="310">
        <f t="shared" si="25"/>
        <v>629.52313385263096</v>
      </c>
    </row>
    <row r="77" spans="2:10">
      <c r="B77" s="445"/>
      <c r="C77" s="476"/>
      <c r="D77" s="307" t="s">
        <v>1</v>
      </c>
      <c r="E77" s="308">
        <v>137.78937832455338</v>
      </c>
      <c r="F77" s="263">
        <v>141.82777685303242</v>
      </c>
      <c r="G77" s="263">
        <v>14.122940002441407</v>
      </c>
      <c r="H77" s="263">
        <v>171.15111161246895</v>
      </c>
      <c r="I77" s="263">
        <v>345.52288006591795</v>
      </c>
      <c r="J77" s="310">
        <f t="shared" si="25"/>
        <v>810.41408685841407</v>
      </c>
    </row>
    <row r="78" spans="2:10">
      <c r="B78" s="445"/>
      <c r="C78" s="476"/>
      <c r="D78" s="307" t="s">
        <v>2</v>
      </c>
      <c r="E78" s="308">
        <v>45.897848565113186</v>
      </c>
      <c r="F78" s="263">
        <v>0.45705999455600976</v>
      </c>
      <c r="G78" s="263">
        <v>0</v>
      </c>
      <c r="H78" s="263">
        <v>23.958538387323497</v>
      </c>
      <c r="I78" s="263">
        <v>3.4301001803949474E-2</v>
      </c>
      <c r="J78" s="310">
        <f t="shared" si="25"/>
        <v>70.347747948796652</v>
      </c>
    </row>
    <row r="79" spans="2:10">
      <c r="B79" s="445"/>
      <c r="C79" s="476"/>
      <c r="D79" s="307" t="s">
        <v>3</v>
      </c>
      <c r="E79" s="308">
        <v>36.527983007191565</v>
      </c>
      <c r="F79" s="263">
        <v>0.15160000002384186</v>
      </c>
      <c r="G79" s="263">
        <v>0</v>
      </c>
      <c r="H79" s="263">
        <v>6.1873252085293644E-2</v>
      </c>
      <c r="I79" s="263">
        <v>0</v>
      </c>
      <c r="J79" s="310">
        <f t="shared" si="25"/>
        <v>36.741456259300698</v>
      </c>
    </row>
    <row r="80" spans="2:10">
      <c r="B80" s="445"/>
      <c r="C80" s="476"/>
      <c r="D80" s="307" t="s">
        <v>4</v>
      </c>
      <c r="E80" s="308">
        <v>85.424549804687501</v>
      </c>
      <c r="F80" s="263">
        <v>45.313207763671876</v>
      </c>
      <c r="G80" s="263">
        <v>78.138006896018979</v>
      </c>
      <c r="H80" s="263">
        <v>100.71399452209472</v>
      </c>
      <c r="I80" s="263">
        <v>15.178419921874999</v>
      </c>
      <c r="J80" s="310">
        <f t="shared" si="25"/>
        <v>324.76817890834803</v>
      </c>
    </row>
    <row r="81" spans="2:10">
      <c r="B81" s="445"/>
      <c r="C81" s="480"/>
      <c r="D81" s="307" t="s">
        <v>5</v>
      </c>
      <c r="E81" s="308">
        <v>4.160460052490234</v>
      </c>
      <c r="F81" s="263">
        <v>46.475150116324421</v>
      </c>
      <c r="G81" s="263">
        <v>82.508085937499999</v>
      </c>
      <c r="H81" s="263">
        <v>0</v>
      </c>
      <c r="I81" s="263">
        <v>0</v>
      </c>
      <c r="J81" s="310">
        <f t="shared" si="25"/>
        <v>133.14369610631465</v>
      </c>
    </row>
    <row r="82" spans="2:10">
      <c r="B82" s="445"/>
      <c r="C82" s="311" t="s">
        <v>6</v>
      </c>
      <c r="D82" s="322"/>
      <c r="E82" s="304">
        <f t="shared" ref="E82:J82" si="27">SUM(E76:E81)</f>
        <v>439.45006962456858</v>
      </c>
      <c r="F82" s="304">
        <f t="shared" si="27"/>
        <v>314.21679472760854</v>
      </c>
      <c r="G82" s="304">
        <f t="shared" si="27"/>
        <v>232.8772868466377</v>
      </c>
      <c r="H82" s="304">
        <f t="shared" si="27"/>
        <v>305.52286777655928</v>
      </c>
      <c r="I82" s="304">
        <f t="shared" si="27"/>
        <v>712.87128095843082</v>
      </c>
      <c r="J82" s="306">
        <f t="shared" si="27"/>
        <v>2004.9382999338052</v>
      </c>
    </row>
    <row r="83" spans="2:10">
      <c r="B83" s="445"/>
      <c r="C83" s="479" t="s">
        <v>109</v>
      </c>
      <c r="D83" s="307" t="s">
        <v>18</v>
      </c>
      <c r="E83" s="308">
        <v>11.023547988891602</v>
      </c>
      <c r="F83" s="263">
        <v>5.503683001279831</v>
      </c>
      <c r="G83" s="263">
        <v>16.063037594534457</v>
      </c>
      <c r="H83" s="263">
        <v>9.2844350317418574</v>
      </c>
      <c r="I83" s="263">
        <v>17.566144112721087</v>
      </c>
      <c r="J83" s="310">
        <f t="shared" si="25"/>
        <v>59.440847729168837</v>
      </c>
    </row>
    <row r="84" spans="2:10">
      <c r="B84" s="445"/>
      <c r="C84" s="480"/>
      <c r="D84" s="307" t="s">
        <v>110</v>
      </c>
      <c r="E84" s="308">
        <v>410.70144157287388</v>
      </c>
      <c r="F84" s="263">
        <v>38.348722038015723</v>
      </c>
      <c r="G84" s="263">
        <v>83.716083842153665</v>
      </c>
      <c r="H84" s="263">
        <v>63.200758948859715</v>
      </c>
      <c r="I84" s="263">
        <v>354.56101787090302</v>
      </c>
      <c r="J84" s="310">
        <f t="shared" si="25"/>
        <v>950.52802427280608</v>
      </c>
    </row>
    <row r="85" spans="2:10">
      <c r="B85" s="446"/>
      <c r="C85" s="321" t="s">
        <v>111</v>
      </c>
      <c r="D85" s="322"/>
      <c r="E85" s="304">
        <f t="shared" ref="E85:J85" si="28">SUM(E83:E84)</f>
        <v>421.72498956176548</v>
      </c>
      <c r="F85" s="304">
        <f t="shared" si="28"/>
        <v>43.852405039295554</v>
      </c>
      <c r="G85" s="304">
        <f t="shared" si="28"/>
        <v>99.779121436688115</v>
      </c>
      <c r="H85" s="304">
        <f t="shared" si="28"/>
        <v>72.485193980601565</v>
      </c>
      <c r="I85" s="304">
        <f t="shared" si="28"/>
        <v>372.12716198362409</v>
      </c>
      <c r="J85" s="306">
        <f t="shared" si="28"/>
        <v>1009.9688720019749</v>
      </c>
    </row>
    <row r="86" spans="2:10">
      <c r="B86" s="120" t="s">
        <v>119</v>
      </c>
      <c r="C86" s="160"/>
      <c r="D86" s="159"/>
      <c r="E86" s="76">
        <f t="shared" ref="E86:J86" si="29">+E85+E82+E75</f>
        <v>1538.4237840101925</v>
      </c>
      <c r="F86" s="76">
        <f t="shared" si="29"/>
        <v>1363.889994194624</v>
      </c>
      <c r="G86" s="76">
        <f t="shared" si="29"/>
        <v>872.40199189086297</v>
      </c>
      <c r="H86" s="76">
        <f t="shared" si="29"/>
        <v>1018.0211767975126</v>
      </c>
      <c r="I86" s="76">
        <f t="shared" si="29"/>
        <v>1749.9173775444756</v>
      </c>
      <c r="J86" s="83">
        <f t="shared" si="29"/>
        <v>6542.654324437668</v>
      </c>
    </row>
    <row r="87" spans="2:10">
      <c r="B87" s="444">
        <v>2008</v>
      </c>
      <c r="C87" s="479" t="s">
        <v>106</v>
      </c>
      <c r="D87" s="344" t="s">
        <v>106</v>
      </c>
      <c r="E87" s="263">
        <v>637.09821923426728</v>
      </c>
      <c r="F87" s="263">
        <v>552.74309070417701</v>
      </c>
      <c r="G87" s="263">
        <v>432.58902989310775</v>
      </c>
      <c r="H87" s="263">
        <v>590.20939647424598</v>
      </c>
      <c r="I87" s="263">
        <v>425.1841192458977</v>
      </c>
      <c r="J87" s="310">
        <f>SUM(E87:I87)</f>
        <v>2637.8238555516955</v>
      </c>
    </row>
    <row r="88" spans="2:10">
      <c r="B88" s="445"/>
      <c r="C88" s="480"/>
      <c r="D88" s="345" t="s">
        <v>107</v>
      </c>
      <c r="E88" s="263">
        <v>56.525849716186521</v>
      </c>
      <c r="F88" s="263">
        <v>43.353496860809635</v>
      </c>
      <c r="G88" s="263">
        <v>54.215670942516994</v>
      </c>
      <c r="H88" s="263">
        <v>71.996460096497074</v>
      </c>
      <c r="I88" s="263">
        <v>103.24569005507233</v>
      </c>
      <c r="J88" s="310">
        <f>SUM(E88:I88)</f>
        <v>329.33716767108251</v>
      </c>
    </row>
    <row r="89" spans="2:10">
      <c r="B89" s="445"/>
      <c r="C89" s="311" t="s">
        <v>11</v>
      </c>
      <c r="D89" s="322"/>
      <c r="E89" s="303">
        <f t="shared" ref="E89:J89" si="30">SUM(E87:E88)</f>
        <v>693.62406895045376</v>
      </c>
      <c r="F89" s="304">
        <f t="shared" si="30"/>
        <v>596.09658756498663</v>
      </c>
      <c r="G89" s="304">
        <f t="shared" si="30"/>
        <v>486.80470083562477</v>
      </c>
      <c r="H89" s="304">
        <f t="shared" si="30"/>
        <v>662.20585657074309</v>
      </c>
      <c r="I89" s="304">
        <f t="shared" si="30"/>
        <v>528.42980930097008</v>
      </c>
      <c r="J89" s="306">
        <f t="shared" si="30"/>
        <v>2967.1610232227781</v>
      </c>
    </row>
    <row r="90" spans="2:10">
      <c r="B90" s="445"/>
      <c r="C90" s="479" t="s">
        <v>108</v>
      </c>
      <c r="D90" s="307" t="s">
        <v>0</v>
      </c>
      <c r="E90" s="308">
        <v>158.37013009402153</v>
      </c>
      <c r="F90" s="263">
        <v>66.302999999999997</v>
      </c>
      <c r="G90" s="263">
        <v>71.061900105953214</v>
      </c>
      <c r="H90" s="263">
        <v>10.078211815625428</v>
      </c>
      <c r="I90" s="263">
        <v>301.2178031241894</v>
      </c>
      <c r="J90" s="310">
        <f t="shared" ref="J90:J95" si="31">SUM(E90:I90)</f>
        <v>607.03104513978951</v>
      </c>
    </row>
    <row r="91" spans="2:10">
      <c r="B91" s="445"/>
      <c r="C91" s="476"/>
      <c r="D91" s="307" t="s">
        <v>1</v>
      </c>
      <c r="E91" s="308">
        <v>124.15135520231725</v>
      </c>
      <c r="F91" s="263">
        <v>138.64426810495556</v>
      </c>
      <c r="G91" s="263">
        <v>21.025760009765627</v>
      </c>
      <c r="H91" s="263">
        <v>139.83280851080167</v>
      </c>
      <c r="I91" s="263">
        <v>327.69791944382712</v>
      </c>
      <c r="J91" s="310">
        <f t="shared" si="31"/>
        <v>751.35211127166724</v>
      </c>
    </row>
    <row r="92" spans="2:10">
      <c r="B92" s="445"/>
      <c r="C92" s="476"/>
      <c r="D92" s="307" t="s">
        <v>2</v>
      </c>
      <c r="E92" s="308">
        <v>103.61570334299554</v>
      </c>
      <c r="F92" s="263">
        <v>0.68713498781621452</v>
      </c>
      <c r="G92" s="263">
        <v>15.425648518625646</v>
      </c>
      <c r="H92" s="263">
        <v>38.166537578393644</v>
      </c>
      <c r="I92" s="263">
        <v>0</v>
      </c>
      <c r="J92" s="310">
        <f t="shared" si="31"/>
        <v>157.89502442783106</v>
      </c>
    </row>
    <row r="93" spans="2:10">
      <c r="B93" s="445"/>
      <c r="C93" s="476"/>
      <c r="D93" s="307" t="s">
        <v>3</v>
      </c>
      <c r="E93" s="308">
        <v>39.78909977583308</v>
      </c>
      <c r="F93" s="263">
        <v>7.6700000025331977E-2</v>
      </c>
      <c r="G93" s="263">
        <v>0</v>
      </c>
      <c r="H93" s="263">
        <v>0.14402078696014359</v>
      </c>
      <c r="I93" s="263">
        <v>0</v>
      </c>
      <c r="J93" s="310">
        <f t="shared" si="31"/>
        <v>40.009820562818554</v>
      </c>
    </row>
    <row r="94" spans="2:10">
      <c r="B94" s="445"/>
      <c r="C94" s="476"/>
      <c r="D94" s="307" t="s">
        <v>4</v>
      </c>
      <c r="E94" s="308">
        <v>89.614470603942863</v>
      </c>
      <c r="F94" s="263">
        <v>45.451170043945311</v>
      </c>
      <c r="G94" s="263">
        <v>81.596679854393003</v>
      </c>
      <c r="H94" s="263">
        <v>91.390921907424939</v>
      </c>
      <c r="I94" s="263">
        <v>31.963140747070312</v>
      </c>
      <c r="J94" s="310">
        <f t="shared" si="31"/>
        <v>340.0163831567765</v>
      </c>
    </row>
    <row r="95" spans="2:10">
      <c r="B95" s="445"/>
      <c r="C95" s="480"/>
      <c r="D95" s="307" t="s">
        <v>5</v>
      </c>
      <c r="E95" s="308">
        <v>4.5302199707031248</v>
      </c>
      <c r="F95" s="263">
        <v>88.295888635158533</v>
      </c>
      <c r="G95" s="263">
        <v>63.803623046875003</v>
      </c>
      <c r="H95" s="263">
        <v>0</v>
      </c>
      <c r="I95" s="263">
        <v>0</v>
      </c>
      <c r="J95" s="310">
        <f t="shared" si="31"/>
        <v>156.62973165273667</v>
      </c>
    </row>
    <row r="96" spans="2:10">
      <c r="B96" s="445"/>
      <c r="C96" s="311" t="s">
        <v>6</v>
      </c>
      <c r="D96" s="322"/>
      <c r="E96" s="304">
        <f t="shared" ref="E96:J96" si="32">SUM(E90:E95)</f>
        <v>520.0709789898134</v>
      </c>
      <c r="F96" s="304">
        <f t="shared" si="32"/>
        <v>339.45816177190096</v>
      </c>
      <c r="G96" s="304">
        <f t="shared" si="32"/>
        <v>252.91361153561249</v>
      </c>
      <c r="H96" s="304">
        <f t="shared" si="32"/>
        <v>279.61250059920582</v>
      </c>
      <c r="I96" s="304">
        <f t="shared" si="32"/>
        <v>660.87886331508673</v>
      </c>
      <c r="J96" s="306">
        <f t="shared" si="32"/>
        <v>2052.9341162116193</v>
      </c>
    </row>
    <row r="97" spans="2:10">
      <c r="B97" s="445"/>
      <c r="C97" s="479" t="s">
        <v>109</v>
      </c>
      <c r="D97" s="307" t="s">
        <v>18</v>
      </c>
      <c r="E97" s="308">
        <v>31.8231849899291</v>
      </c>
      <c r="F97" s="263">
        <v>6.0799288481473903</v>
      </c>
      <c r="G97" s="263">
        <v>17.679077622011299</v>
      </c>
      <c r="H97" s="263">
        <v>13.5004689178466</v>
      </c>
      <c r="I97" s="263">
        <v>20.7573259686529</v>
      </c>
      <c r="J97" s="310">
        <f>SUM(E97:I97)</f>
        <v>89.839986346587295</v>
      </c>
    </row>
    <row r="98" spans="2:10">
      <c r="B98" s="445"/>
      <c r="C98" s="480"/>
      <c r="D98" s="307" t="s">
        <v>110</v>
      </c>
      <c r="E98" s="308">
        <v>335.81261519525401</v>
      </c>
      <c r="F98" s="263">
        <v>40.132304950527796</v>
      </c>
      <c r="G98" s="263">
        <v>122.95081444781999</v>
      </c>
      <c r="H98" s="263">
        <v>37.498021260125498</v>
      </c>
      <c r="I98" s="263">
        <v>385.172927168071</v>
      </c>
      <c r="J98" s="310">
        <f>SUM(E98:I98)</f>
        <v>921.56668302179833</v>
      </c>
    </row>
    <row r="99" spans="2:10">
      <c r="B99" s="446"/>
      <c r="C99" s="321" t="s">
        <v>111</v>
      </c>
      <c r="D99" s="322"/>
      <c r="E99" s="304">
        <f t="shared" ref="E99:J99" si="33">SUM(E97:E98)</f>
        <v>367.63580018518309</v>
      </c>
      <c r="F99" s="304">
        <f t="shared" si="33"/>
        <v>46.212233798675186</v>
      </c>
      <c r="G99" s="304">
        <f t="shared" si="33"/>
        <v>140.6298920698313</v>
      </c>
      <c r="H99" s="304">
        <f t="shared" si="33"/>
        <v>50.998490177972101</v>
      </c>
      <c r="I99" s="304">
        <f t="shared" si="33"/>
        <v>405.93025313672388</v>
      </c>
      <c r="J99" s="306">
        <f t="shared" si="33"/>
        <v>1011.4066693683856</v>
      </c>
    </row>
    <row r="100" spans="2:10">
      <c r="B100" s="120" t="s">
        <v>120</v>
      </c>
      <c r="C100" s="160"/>
      <c r="D100" s="159"/>
      <c r="E100" s="76">
        <f t="shared" ref="E100:J100" si="34">+E99+E96+E89</f>
        <v>1581.3308481254503</v>
      </c>
      <c r="F100" s="76">
        <f t="shared" si="34"/>
        <v>981.76698313556278</v>
      </c>
      <c r="G100" s="76">
        <f t="shared" si="34"/>
        <v>880.34820444106856</v>
      </c>
      <c r="H100" s="76">
        <f t="shared" si="34"/>
        <v>992.816847347921</v>
      </c>
      <c r="I100" s="76">
        <f t="shared" si="34"/>
        <v>1595.2389257527807</v>
      </c>
      <c r="J100" s="83">
        <f t="shared" si="34"/>
        <v>6031.5018088027828</v>
      </c>
    </row>
    <row r="101" spans="2:10">
      <c r="B101" s="444">
        <v>2009</v>
      </c>
      <c r="C101" s="479" t="s">
        <v>106</v>
      </c>
      <c r="D101" s="344" t="s">
        <v>106</v>
      </c>
      <c r="E101" s="263">
        <v>555.43354999999997</v>
      </c>
      <c r="F101" s="263">
        <v>442.20898</v>
      </c>
      <c r="G101" s="263">
        <v>469.54108999999988</v>
      </c>
      <c r="H101" s="263">
        <v>579.45780999999999</v>
      </c>
      <c r="I101" s="263">
        <v>342.19558000000006</v>
      </c>
      <c r="J101" s="310">
        <f>SUM(E101:I101)</f>
        <v>2388.8370099999997</v>
      </c>
    </row>
    <row r="102" spans="2:10">
      <c r="B102" s="445"/>
      <c r="C102" s="480"/>
      <c r="D102" s="345" t="s">
        <v>107</v>
      </c>
      <c r="E102" s="263">
        <v>77.437579999999969</v>
      </c>
      <c r="F102" s="263">
        <v>41.816929999999971</v>
      </c>
      <c r="G102" s="263">
        <v>49.76052</v>
      </c>
      <c r="H102" s="263">
        <v>71.591399999999993</v>
      </c>
      <c r="I102" s="263">
        <v>97.681230000000028</v>
      </c>
      <c r="J102" s="310">
        <f>SUM(E102:I102)</f>
        <v>338.28765999999996</v>
      </c>
    </row>
    <row r="103" spans="2:10">
      <c r="B103" s="445"/>
      <c r="C103" s="311" t="s">
        <v>11</v>
      </c>
      <c r="D103" s="322"/>
      <c r="E103" s="303">
        <f t="shared" ref="E103:J103" si="35">SUM(E101:E102)</f>
        <v>632.87112999999999</v>
      </c>
      <c r="F103" s="304">
        <f t="shared" si="35"/>
        <v>484.02590999999995</v>
      </c>
      <c r="G103" s="304">
        <f t="shared" si="35"/>
        <v>519.30160999999987</v>
      </c>
      <c r="H103" s="304">
        <f t="shared" si="35"/>
        <v>651.04921000000002</v>
      </c>
      <c r="I103" s="304">
        <f t="shared" si="35"/>
        <v>439.87681000000009</v>
      </c>
      <c r="J103" s="306">
        <f t="shared" si="35"/>
        <v>2727.1246699999997</v>
      </c>
    </row>
    <row r="104" spans="2:10">
      <c r="B104" s="445"/>
      <c r="C104" s="479" t="s">
        <v>108</v>
      </c>
      <c r="D104" s="307" t="s">
        <v>0</v>
      </c>
      <c r="E104" s="308">
        <v>200.01380999999998</v>
      </c>
      <c r="F104" s="263">
        <v>78.716049999999996</v>
      </c>
      <c r="G104" s="263">
        <v>66.723530000000011</v>
      </c>
      <c r="H104" s="263">
        <v>25.062480000000001</v>
      </c>
      <c r="I104" s="263">
        <v>270.41313999999994</v>
      </c>
      <c r="J104" s="310">
        <f t="shared" ref="J104:J109" si="36">SUM(E104:I104)</f>
        <v>640.92900999999995</v>
      </c>
    </row>
    <row r="105" spans="2:10">
      <c r="B105" s="445"/>
      <c r="C105" s="476"/>
      <c r="D105" s="307" t="s">
        <v>1</v>
      </c>
      <c r="E105" s="308">
        <v>108.56522</v>
      </c>
      <c r="F105" s="263">
        <v>122.32961999999998</v>
      </c>
      <c r="G105" s="263">
        <v>81.260890000000003</v>
      </c>
      <c r="H105" s="263">
        <v>176.74725999999995</v>
      </c>
      <c r="I105" s="263">
        <v>413.82624000000004</v>
      </c>
      <c r="J105" s="310">
        <f t="shared" si="36"/>
        <v>902.72922999999992</v>
      </c>
    </row>
    <row r="106" spans="2:10">
      <c r="B106" s="445"/>
      <c r="C106" s="476"/>
      <c r="D106" s="307" t="s">
        <v>2</v>
      </c>
      <c r="E106" s="308">
        <v>87.981199999999959</v>
      </c>
      <c r="F106" s="263">
        <v>0</v>
      </c>
      <c r="G106" s="263">
        <v>208.39605999999998</v>
      </c>
      <c r="H106" s="263">
        <v>100.67054999999995</v>
      </c>
      <c r="I106" s="263">
        <v>12.01356</v>
      </c>
      <c r="J106" s="310">
        <f t="shared" si="36"/>
        <v>409.06136999999984</v>
      </c>
    </row>
    <row r="107" spans="2:10">
      <c r="B107" s="445"/>
      <c r="C107" s="476"/>
      <c r="D107" s="307" t="s">
        <v>3</v>
      </c>
      <c r="E107" s="308">
        <v>33.665049999999987</v>
      </c>
      <c r="F107" s="263">
        <v>0.11803999999999999</v>
      </c>
      <c r="G107" s="263">
        <v>0</v>
      </c>
      <c r="H107" s="263">
        <v>7.5679999999999997E-2</v>
      </c>
      <c r="I107" s="263">
        <v>0</v>
      </c>
      <c r="J107" s="310">
        <f t="shared" si="36"/>
        <v>33.858769999999986</v>
      </c>
    </row>
    <row r="108" spans="2:10">
      <c r="B108" s="445"/>
      <c r="C108" s="476"/>
      <c r="D108" s="307" t="s">
        <v>4</v>
      </c>
      <c r="E108" s="308">
        <v>119.227</v>
      </c>
      <c r="F108" s="263">
        <v>48.337949999999999</v>
      </c>
      <c r="G108" s="263">
        <v>126.07093</v>
      </c>
      <c r="H108" s="263">
        <v>99.709609999999998</v>
      </c>
      <c r="I108" s="263">
        <v>44.672110000000004</v>
      </c>
      <c r="J108" s="310">
        <f t="shared" si="36"/>
        <v>438.01760000000002</v>
      </c>
    </row>
    <row r="109" spans="2:10">
      <c r="B109" s="445"/>
      <c r="C109" s="480"/>
      <c r="D109" s="307" t="s">
        <v>5</v>
      </c>
      <c r="E109" s="308">
        <v>2.9272</v>
      </c>
      <c r="F109" s="263">
        <v>119.38406999999999</v>
      </c>
      <c r="G109" s="263">
        <v>80.822389999999999</v>
      </c>
      <c r="H109" s="263">
        <v>0</v>
      </c>
      <c r="I109" s="263">
        <v>55.193739999999991</v>
      </c>
      <c r="J109" s="310">
        <f t="shared" si="36"/>
        <v>258.32740000000001</v>
      </c>
    </row>
    <row r="110" spans="2:10">
      <c r="B110" s="445"/>
      <c r="C110" s="311" t="s">
        <v>6</v>
      </c>
      <c r="D110" s="322"/>
      <c r="E110" s="304">
        <f t="shared" ref="E110:J110" si="37">SUM(E104:E109)</f>
        <v>552.37947999999994</v>
      </c>
      <c r="F110" s="304">
        <f t="shared" si="37"/>
        <v>368.88572999999997</v>
      </c>
      <c r="G110" s="304">
        <f t="shared" si="37"/>
        <v>563.27380000000005</v>
      </c>
      <c r="H110" s="304">
        <f t="shared" si="37"/>
        <v>402.26557999999989</v>
      </c>
      <c r="I110" s="304">
        <f t="shared" si="37"/>
        <v>796.11878999999999</v>
      </c>
      <c r="J110" s="306">
        <f t="shared" si="37"/>
        <v>2682.9233799999997</v>
      </c>
    </row>
    <row r="111" spans="2:10">
      <c r="B111" s="445"/>
      <c r="C111" s="479" t="s">
        <v>109</v>
      </c>
      <c r="D111" s="307" t="s">
        <v>81</v>
      </c>
      <c r="E111" s="308">
        <v>33.250360000000001</v>
      </c>
      <c r="F111" s="263">
        <v>19.72944</v>
      </c>
      <c r="G111" s="263">
        <v>14.75366</v>
      </c>
      <c r="H111" s="263">
        <v>15.11225</v>
      </c>
      <c r="I111" s="263">
        <v>14.91638</v>
      </c>
      <c r="J111" s="310">
        <f>SUM(E111:I111)</f>
        <v>97.762090000000001</v>
      </c>
    </row>
    <row r="112" spans="2:10">
      <c r="B112" s="445"/>
      <c r="C112" s="480"/>
      <c r="D112" s="307" t="s">
        <v>110</v>
      </c>
      <c r="E112" s="308">
        <v>387.95695000000006</v>
      </c>
      <c r="F112" s="263">
        <v>29.218</v>
      </c>
      <c r="G112" s="263">
        <v>138.40406999999996</v>
      </c>
      <c r="H112" s="263">
        <v>45.806609999999999</v>
      </c>
      <c r="I112" s="263">
        <v>337.57270000000011</v>
      </c>
      <c r="J112" s="310">
        <f>SUM(E112:I112)</f>
        <v>938.95833000000016</v>
      </c>
    </row>
    <row r="113" spans="2:10">
      <c r="B113" s="446"/>
      <c r="C113" s="321" t="s">
        <v>111</v>
      </c>
      <c r="D113" s="322"/>
      <c r="E113" s="304">
        <f t="shared" ref="E113:J113" si="38">SUM(E111:E112)</f>
        <v>421.20731000000006</v>
      </c>
      <c r="F113" s="304">
        <f t="shared" si="38"/>
        <v>48.94744</v>
      </c>
      <c r="G113" s="304">
        <f t="shared" si="38"/>
        <v>153.15772999999996</v>
      </c>
      <c r="H113" s="304">
        <f t="shared" si="38"/>
        <v>60.918859999999995</v>
      </c>
      <c r="I113" s="304">
        <f t="shared" si="38"/>
        <v>352.48908000000011</v>
      </c>
      <c r="J113" s="306">
        <f t="shared" si="38"/>
        <v>1036.7204200000001</v>
      </c>
    </row>
    <row r="114" spans="2:10">
      <c r="B114" s="120" t="s">
        <v>121</v>
      </c>
      <c r="C114" s="160"/>
      <c r="D114" s="159"/>
      <c r="E114" s="76">
        <f t="shared" ref="E114:J114" si="39">+E113+E110+E103</f>
        <v>1606.4579200000001</v>
      </c>
      <c r="F114" s="76">
        <f t="shared" si="39"/>
        <v>901.85907999999995</v>
      </c>
      <c r="G114" s="76">
        <f t="shared" si="39"/>
        <v>1235.7331399999998</v>
      </c>
      <c r="H114" s="76">
        <f t="shared" si="39"/>
        <v>1114.2336499999999</v>
      </c>
      <c r="I114" s="76">
        <f t="shared" si="39"/>
        <v>1588.48468</v>
      </c>
      <c r="J114" s="83">
        <f t="shared" si="39"/>
        <v>6446.7684699999991</v>
      </c>
    </row>
    <row r="115" spans="2:10">
      <c r="B115" s="444">
        <v>2010</v>
      </c>
      <c r="C115" s="479" t="s">
        <v>106</v>
      </c>
      <c r="D115" s="344" t="s">
        <v>106</v>
      </c>
      <c r="E115" s="263">
        <v>555.26616400000069</v>
      </c>
      <c r="F115" s="263">
        <v>435.24072000000024</v>
      </c>
      <c r="G115" s="263">
        <v>585.2736920000001</v>
      </c>
      <c r="H115" s="263">
        <v>643.75096900000074</v>
      </c>
      <c r="I115" s="263">
        <v>327.91289899999992</v>
      </c>
      <c r="J115" s="310">
        <f>SUM(E115:I115)</f>
        <v>2547.4444440000016</v>
      </c>
    </row>
    <row r="116" spans="2:10">
      <c r="B116" s="445"/>
      <c r="C116" s="480"/>
      <c r="D116" s="345" t="s">
        <v>107</v>
      </c>
      <c r="E116" s="263">
        <v>54.472282999999997</v>
      </c>
      <c r="F116" s="263">
        <v>39.068275000000021</v>
      </c>
      <c r="G116" s="263">
        <v>50.648170000000007</v>
      </c>
      <c r="H116" s="263">
        <v>68.438504999999935</v>
      </c>
      <c r="I116" s="263">
        <v>104.58759000000001</v>
      </c>
      <c r="J116" s="310">
        <f>SUM(E116:I116)</f>
        <v>317.21482299999997</v>
      </c>
    </row>
    <row r="117" spans="2:10">
      <c r="B117" s="445"/>
      <c r="C117" s="311" t="s">
        <v>11</v>
      </c>
      <c r="D117" s="322"/>
      <c r="E117" s="303">
        <f t="shared" ref="E117:J117" si="40">SUM(E115:E116)</f>
        <v>609.73844700000063</v>
      </c>
      <c r="F117" s="304">
        <f t="shared" si="40"/>
        <v>474.30899500000027</v>
      </c>
      <c r="G117" s="304">
        <f t="shared" si="40"/>
        <v>635.92186200000015</v>
      </c>
      <c r="H117" s="304">
        <f t="shared" si="40"/>
        <v>712.1894740000007</v>
      </c>
      <c r="I117" s="304">
        <f t="shared" si="40"/>
        <v>432.5004889999999</v>
      </c>
      <c r="J117" s="306">
        <f t="shared" si="40"/>
        <v>2864.6592670000014</v>
      </c>
    </row>
    <row r="118" spans="2:10">
      <c r="B118" s="445"/>
      <c r="C118" s="479" t="s">
        <v>108</v>
      </c>
      <c r="D118" s="307" t="s">
        <v>0</v>
      </c>
      <c r="E118" s="308">
        <v>125.46208</v>
      </c>
      <c r="F118" s="263">
        <v>92.005825000000002</v>
      </c>
      <c r="G118" s="263">
        <v>83.157930000000007</v>
      </c>
      <c r="H118" s="263">
        <v>33.406010000000002</v>
      </c>
      <c r="I118" s="263">
        <v>86.808739000000003</v>
      </c>
      <c r="J118" s="310">
        <f t="shared" ref="J118:J123" si="41">SUM(E118:I118)</f>
        <v>420.84058399999998</v>
      </c>
    </row>
    <row r="119" spans="2:10">
      <c r="B119" s="445"/>
      <c r="C119" s="476"/>
      <c r="D119" s="307" t="s">
        <v>1</v>
      </c>
      <c r="E119" s="308">
        <v>169.34652399999996</v>
      </c>
      <c r="F119" s="263">
        <v>217.68695700000001</v>
      </c>
      <c r="G119" s="263">
        <v>258.22971999999993</v>
      </c>
      <c r="H119" s="263">
        <v>154.03764100000004</v>
      </c>
      <c r="I119" s="263">
        <v>539.65625499999976</v>
      </c>
      <c r="J119" s="310">
        <f t="shared" si="41"/>
        <v>1338.9570969999995</v>
      </c>
    </row>
    <row r="120" spans="2:10">
      <c r="B120" s="445"/>
      <c r="C120" s="476"/>
      <c r="D120" s="307" t="s">
        <v>2</v>
      </c>
      <c r="E120" s="308">
        <v>131.33746399999995</v>
      </c>
      <c r="F120" s="263">
        <v>5.9261000000000001E-2</v>
      </c>
      <c r="G120" s="263">
        <v>254.39127300000001</v>
      </c>
      <c r="H120" s="263">
        <v>193.02593000000007</v>
      </c>
      <c r="I120" s="263">
        <v>18.633853999999999</v>
      </c>
      <c r="J120" s="310">
        <f t="shared" si="41"/>
        <v>597.44778200000007</v>
      </c>
    </row>
    <row r="121" spans="2:10">
      <c r="B121" s="445"/>
      <c r="C121" s="476"/>
      <c r="D121" s="307" t="s">
        <v>3</v>
      </c>
      <c r="E121" s="308">
        <v>27.089414000000001</v>
      </c>
      <c r="F121" s="263">
        <v>7.1999999999999995E-2</v>
      </c>
      <c r="G121" s="263"/>
      <c r="H121" s="263">
        <v>2.2649000000000002E-2</v>
      </c>
      <c r="I121" s="263"/>
      <c r="J121" s="310">
        <f t="shared" si="41"/>
        <v>27.184063000000002</v>
      </c>
    </row>
    <row r="122" spans="2:10">
      <c r="B122" s="445"/>
      <c r="C122" s="476"/>
      <c r="D122" s="307" t="s">
        <v>4</v>
      </c>
      <c r="E122" s="308">
        <v>97.874134999999995</v>
      </c>
      <c r="F122" s="263">
        <v>68.168440000000004</v>
      </c>
      <c r="G122" s="263">
        <v>143.02781999999996</v>
      </c>
      <c r="H122" s="263">
        <v>112.207882</v>
      </c>
      <c r="I122" s="263">
        <v>39.462110000000003</v>
      </c>
      <c r="J122" s="310">
        <f t="shared" si="41"/>
        <v>460.74038699999994</v>
      </c>
    </row>
    <row r="123" spans="2:10">
      <c r="B123" s="445"/>
      <c r="C123" s="480"/>
      <c r="D123" s="307" t="s">
        <v>5</v>
      </c>
      <c r="E123" s="308">
        <v>1.5959700000000001</v>
      </c>
      <c r="F123" s="263">
        <v>146.11814399999997</v>
      </c>
      <c r="G123" s="263">
        <v>203.03564600000001</v>
      </c>
      <c r="H123" s="263">
        <v>37.617460000000001</v>
      </c>
      <c r="I123" s="263">
        <v>48.541696999999999</v>
      </c>
      <c r="J123" s="310">
        <f t="shared" si="41"/>
        <v>436.90891699999997</v>
      </c>
    </row>
    <row r="124" spans="2:10">
      <c r="B124" s="445"/>
      <c r="C124" s="311" t="s">
        <v>6</v>
      </c>
      <c r="D124" s="322"/>
      <c r="E124" s="304">
        <f t="shared" ref="E124:J124" si="42">SUM(E118:E123)</f>
        <v>552.70558699999981</v>
      </c>
      <c r="F124" s="304">
        <f t="shared" si="42"/>
        <v>524.11062700000002</v>
      </c>
      <c r="G124" s="304">
        <f t="shared" si="42"/>
        <v>941.84238899999991</v>
      </c>
      <c r="H124" s="304">
        <f t="shared" si="42"/>
        <v>530.31757200000015</v>
      </c>
      <c r="I124" s="304">
        <f t="shared" si="42"/>
        <v>733.1026549999998</v>
      </c>
      <c r="J124" s="306">
        <f t="shared" si="42"/>
        <v>3282.0788299999995</v>
      </c>
    </row>
    <row r="125" spans="2:10">
      <c r="B125" s="445"/>
      <c r="C125" s="479" t="s">
        <v>109</v>
      </c>
      <c r="D125" s="307" t="s">
        <v>81</v>
      </c>
      <c r="E125" s="308">
        <v>48.743339999999996</v>
      </c>
      <c r="F125" s="263">
        <v>6.0473899999999983</v>
      </c>
      <c r="G125" s="263">
        <v>8.7011040000000008</v>
      </c>
      <c r="H125" s="263">
        <v>12.349856000000001</v>
      </c>
      <c r="I125" s="263">
        <v>15.552923</v>
      </c>
      <c r="J125" s="310">
        <f>SUM(E125:I125)</f>
        <v>91.394612999999993</v>
      </c>
    </row>
    <row r="126" spans="2:10">
      <c r="B126" s="445"/>
      <c r="C126" s="480"/>
      <c r="D126" s="307" t="s">
        <v>110</v>
      </c>
      <c r="E126" s="308">
        <v>458.01161800000011</v>
      </c>
      <c r="F126" s="263">
        <v>55.391576000000008</v>
      </c>
      <c r="G126" s="263">
        <v>177.66087099999999</v>
      </c>
      <c r="H126" s="263">
        <v>45.820618000000003</v>
      </c>
      <c r="I126" s="263">
        <v>323.67215499999998</v>
      </c>
      <c r="J126" s="310">
        <f>SUM(E126:I126)</f>
        <v>1060.556838</v>
      </c>
    </row>
    <row r="127" spans="2:10">
      <c r="B127" s="446"/>
      <c r="C127" s="321" t="s">
        <v>111</v>
      </c>
      <c r="D127" s="322"/>
      <c r="E127" s="304">
        <f t="shared" ref="E127:J127" si="43">SUM(E125:E126)</f>
        <v>506.7549580000001</v>
      </c>
      <c r="F127" s="304">
        <f t="shared" si="43"/>
        <v>61.438966000000008</v>
      </c>
      <c r="G127" s="304">
        <f t="shared" si="43"/>
        <v>186.36197499999997</v>
      </c>
      <c r="H127" s="304">
        <f t="shared" si="43"/>
        <v>58.170474000000006</v>
      </c>
      <c r="I127" s="304">
        <f t="shared" si="43"/>
        <v>339.225078</v>
      </c>
      <c r="J127" s="306">
        <f t="shared" si="43"/>
        <v>1151.9514509999999</v>
      </c>
    </row>
    <row r="128" spans="2:10">
      <c r="B128" s="120" t="s">
        <v>122</v>
      </c>
      <c r="C128" s="160"/>
      <c r="D128" s="159"/>
      <c r="E128" s="76">
        <f t="shared" ref="E128:J128" si="44">+E127+E124+E117</f>
        <v>1669.1989920000005</v>
      </c>
      <c r="F128" s="76">
        <f t="shared" si="44"/>
        <v>1059.8585880000003</v>
      </c>
      <c r="G128" s="76">
        <f t="shared" si="44"/>
        <v>1764.1262260000001</v>
      </c>
      <c r="H128" s="76">
        <f t="shared" si="44"/>
        <v>1300.6775200000009</v>
      </c>
      <c r="I128" s="76">
        <f t="shared" si="44"/>
        <v>1504.8282219999996</v>
      </c>
      <c r="J128" s="83">
        <f t="shared" si="44"/>
        <v>7298.6895480000003</v>
      </c>
    </row>
    <row r="129" spans="2:10">
      <c r="B129" s="444">
        <v>2011</v>
      </c>
      <c r="C129" s="479" t="s">
        <v>106</v>
      </c>
      <c r="D129" s="344" t="s">
        <v>106</v>
      </c>
      <c r="E129" s="263">
        <v>540.26133099999993</v>
      </c>
      <c r="F129" s="263">
        <v>466.03652899999992</v>
      </c>
      <c r="G129" s="263">
        <v>765.89049</v>
      </c>
      <c r="H129" s="263">
        <v>697.12755300000003</v>
      </c>
      <c r="I129" s="263">
        <v>365.47614199999998</v>
      </c>
      <c r="J129" s="310">
        <f>SUM(E129:I129)</f>
        <v>2834.7920449999997</v>
      </c>
    </row>
    <row r="130" spans="2:10">
      <c r="B130" s="445"/>
      <c r="C130" s="480"/>
      <c r="D130" s="345" t="s">
        <v>107</v>
      </c>
      <c r="E130" s="263">
        <v>58.601951</v>
      </c>
      <c r="F130" s="263">
        <v>45.446253999999982</v>
      </c>
      <c r="G130" s="263">
        <v>52.331479999999992</v>
      </c>
      <c r="H130" s="263">
        <v>60.262029999999989</v>
      </c>
      <c r="I130" s="263">
        <v>93.043751999999998</v>
      </c>
      <c r="J130" s="310">
        <f>SUM(E130:I130)</f>
        <v>309.68546699999996</v>
      </c>
    </row>
    <row r="131" spans="2:10">
      <c r="B131" s="445"/>
      <c r="C131" s="311" t="s">
        <v>11</v>
      </c>
      <c r="D131" s="322"/>
      <c r="E131" s="303">
        <f t="shared" ref="E131:J131" si="45">SUM(E129:E130)</f>
        <v>598.86328199999991</v>
      </c>
      <c r="F131" s="304">
        <f t="shared" si="45"/>
        <v>511.48278299999993</v>
      </c>
      <c r="G131" s="304">
        <f t="shared" si="45"/>
        <v>818.22196999999994</v>
      </c>
      <c r="H131" s="304">
        <f t="shared" si="45"/>
        <v>757.38958300000002</v>
      </c>
      <c r="I131" s="304">
        <f t="shared" si="45"/>
        <v>458.51989399999997</v>
      </c>
      <c r="J131" s="306">
        <f t="shared" si="45"/>
        <v>3144.4775119999995</v>
      </c>
    </row>
    <row r="132" spans="2:10">
      <c r="B132" s="445"/>
      <c r="C132" s="479" t="s">
        <v>108</v>
      </c>
      <c r="D132" s="307" t="s">
        <v>0</v>
      </c>
      <c r="E132" s="308">
        <v>100.48351999999998</v>
      </c>
      <c r="F132" s="263">
        <v>60.220579999999998</v>
      </c>
      <c r="G132" s="263">
        <v>140.45169099999998</v>
      </c>
      <c r="H132" s="263">
        <v>58.433786000000005</v>
      </c>
      <c r="I132" s="263">
        <v>83.194005000000004</v>
      </c>
      <c r="J132" s="310">
        <f t="shared" ref="J132:J137" si="46">SUM(E132:I132)</f>
        <v>442.78358199999997</v>
      </c>
    </row>
    <row r="133" spans="2:10">
      <c r="B133" s="445"/>
      <c r="C133" s="476"/>
      <c r="D133" s="307" t="s">
        <v>1</v>
      </c>
      <c r="E133" s="308">
        <v>211.54343800000001</v>
      </c>
      <c r="F133" s="263">
        <v>259.29782699999993</v>
      </c>
      <c r="G133" s="263">
        <v>152.00922600000001</v>
      </c>
      <c r="H133" s="263">
        <v>162.77926800000006</v>
      </c>
      <c r="I133" s="263">
        <v>632.05872699999986</v>
      </c>
      <c r="J133" s="310">
        <f t="shared" si="46"/>
        <v>1417.6884859999998</v>
      </c>
    </row>
    <row r="134" spans="2:10">
      <c r="B134" s="445"/>
      <c r="C134" s="476"/>
      <c r="D134" s="307" t="s">
        <v>2</v>
      </c>
      <c r="E134" s="308">
        <v>115.310551</v>
      </c>
      <c r="F134" s="263">
        <v>9.8996000000000001E-2</v>
      </c>
      <c r="G134" s="263">
        <v>104.073576</v>
      </c>
      <c r="H134" s="263">
        <v>236.18185900000003</v>
      </c>
      <c r="I134" s="263">
        <v>34.611798</v>
      </c>
      <c r="J134" s="310">
        <f t="shared" si="46"/>
        <v>490.27678000000003</v>
      </c>
    </row>
    <row r="135" spans="2:10">
      <c r="B135" s="445"/>
      <c r="C135" s="476"/>
      <c r="D135" s="307" t="s">
        <v>3</v>
      </c>
      <c r="E135" s="308">
        <v>30.696244</v>
      </c>
      <c r="F135" s="263">
        <v>0.03</v>
      </c>
      <c r="G135" s="263">
        <v>0</v>
      </c>
      <c r="H135" s="263">
        <v>3.8261999999999997E-2</v>
      </c>
      <c r="I135" s="263">
        <v>0</v>
      </c>
      <c r="J135" s="310">
        <f t="shared" si="46"/>
        <v>30.764506000000001</v>
      </c>
    </row>
    <row r="136" spans="2:10">
      <c r="B136" s="445"/>
      <c r="C136" s="476"/>
      <c r="D136" s="307" t="s">
        <v>4</v>
      </c>
      <c r="E136" s="308">
        <v>113.32147000000001</v>
      </c>
      <c r="F136" s="263">
        <v>71.479119999999995</v>
      </c>
      <c r="G136" s="263">
        <v>123.26348999999999</v>
      </c>
      <c r="H136" s="263">
        <v>154.474512</v>
      </c>
      <c r="I136" s="263">
        <v>57.814261000000002</v>
      </c>
      <c r="J136" s="310">
        <f t="shared" si="46"/>
        <v>520.35285299999998</v>
      </c>
    </row>
    <row r="137" spans="2:10">
      <c r="B137" s="445"/>
      <c r="C137" s="480"/>
      <c r="D137" s="307" t="s">
        <v>5</v>
      </c>
      <c r="E137" s="308">
        <v>3.3427500000000001</v>
      </c>
      <c r="F137" s="263">
        <v>198.077247</v>
      </c>
      <c r="G137" s="263">
        <v>53.557057</v>
      </c>
      <c r="H137" s="263">
        <v>147.31370900000002</v>
      </c>
      <c r="I137" s="263">
        <v>83.211231999999995</v>
      </c>
      <c r="J137" s="310">
        <f t="shared" si="46"/>
        <v>485.50199500000002</v>
      </c>
    </row>
    <row r="138" spans="2:10">
      <c r="B138" s="445"/>
      <c r="C138" s="311" t="s">
        <v>6</v>
      </c>
      <c r="D138" s="322"/>
      <c r="E138" s="304">
        <f t="shared" ref="E138:J138" si="47">SUM(E132:E137)</f>
        <v>574.69797299999993</v>
      </c>
      <c r="F138" s="304">
        <f t="shared" si="47"/>
        <v>589.20376999999985</v>
      </c>
      <c r="G138" s="304">
        <f t="shared" si="47"/>
        <v>573.35503999999992</v>
      </c>
      <c r="H138" s="304">
        <f t="shared" si="47"/>
        <v>759.22139600000014</v>
      </c>
      <c r="I138" s="304">
        <f t="shared" si="47"/>
        <v>890.89002299999993</v>
      </c>
      <c r="J138" s="306">
        <f t="shared" si="47"/>
        <v>3387.3682019999997</v>
      </c>
    </row>
    <row r="139" spans="2:10">
      <c r="B139" s="445"/>
      <c r="C139" s="479" t="s">
        <v>109</v>
      </c>
      <c r="D139" s="307" t="s">
        <v>81</v>
      </c>
      <c r="E139" s="308">
        <v>9.6027330000000006</v>
      </c>
      <c r="F139" s="263">
        <v>8.9273389999999999</v>
      </c>
      <c r="G139" s="263">
        <v>5.5859109999999994</v>
      </c>
      <c r="H139" s="263">
        <v>7.2028949999999998</v>
      </c>
      <c r="I139" s="263">
        <v>15.561734000000001</v>
      </c>
      <c r="J139" s="310">
        <f>SUM(E139:I139)</f>
        <v>46.880611999999999</v>
      </c>
    </row>
    <row r="140" spans="2:10">
      <c r="B140" s="445"/>
      <c r="C140" s="480"/>
      <c r="D140" s="307" t="s">
        <v>110</v>
      </c>
      <c r="E140" s="308">
        <v>423.79595900000004</v>
      </c>
      <c r="F140" s="263">
        <v>60.253257999999988</v>
      </c>
      <c r="G140" s="263">
        <v>165.83752399999997</v>
      </c>
      <c r="H140" s="263">
        <v>48.369156999999994</v>
      </c>
      <c r="I140" s="263">
        <v>355.38095600000003</v>
      </c>
      <c r="J140" s="310">
        <f>SUM(E140:I140)</f>
        <v>1053.6368540000001</v>
      </c>
    </row>
    <row r="141" spans="2:10">
      <c r="B141" s="446"/>
      <c r="C141" s="321" t="s">
        <v>111</v>
      </c>
      <c r="D141" s="322"/>
      <c r="E141" s="304">
        <f t="shared" ref="E141:J141" si="48">SUM(E139:E140)</f>
        <v>433.39869200000004</v>
      </c>
      <c r="F141" s="304">
        <f t="shared" si="48"/>
        <v>69.180596999999992</v>
      </c>
      <c r="G141" s="304">
        <f t="shared" si="48"/>
        <v>171.42343499999998</v>
      </c>
      <c r="H141" s="304">
        <f t="shared" si="48"/>
        <v>55.572051999999992</v>
      </c>
      <c r="I141" s="304">
        <f t="shared" si="48"/>
        <v>370.94269000000003</v>
      </c>
      <c r="J141" s="306">
        <f t="shared" si="48"/>
        <v>1100.517466</v>
      </c>
    </row>
    <row r="142" spans="2:10" ht="23.25" customHeight="1">
      <c r="B142" s="120" t="s">
        <v>123</v>
      </c>
      <c r="C142" s="160"/>
      <c r="D142" s="159"/>
      <c r="E142" s="163">
        <f t="shared" ref="E142:J142" si="49">+E141+E138+E131</f>
        <v>1606.9599469999998</v>
      </c>
      <c r="F142" s="163">
        <f t="shared" si="49"/>
        <v>1169.8671499999998</v>
      </c>
      <c r="G142" s="163">
        <f t="shared" si="49"/>
        <v>1563.0004449999997</v>
      </c>
      <c r="H142" s="163">
        <f t="shared" si="49"/>
        <v>1572.183031</v>
      </c>
      <c r="I142" s="163">
        <f t="shared" si="49"/>
        <v>1720.352607</v>
      </c>
      <c r="J142" s="83">
        <f t="shared" si="49"/>
        <v>7632.3631799999994</v>
      </c>
    </row>
    <row r="143" spans="2:10">
      <c r="B143" s="444">
        <v>2012</v>
      </c>
      <c r="C143" s="479" t="s">
        <v>106</v>
      </c>
      <c r="D143" s="316" t="s">
        <v>106</v>
      </c>
      <c r="E143" s="323">
        <v>562.35994500000015</v>
      </c>
      <c r="F143" s="324">
        <v>482.5810009999999</v>
      </c>
      <c r="G143" s="324">
        <v>734.48022400000013</v>
      </c>
      <c r="H143" s="324">
        <v>559.59073999999987</v>
      </c>
      <c r="I143" s="325">
        <v>436.78262000000007</v>
      </c>
      <c r="J143" s="309">
        <f>SUM(E143:I143)</f>
        <v>2775.7945300000001</v>
      </c>
    </row>
    <row r="144" spans="2:10">
      <c r="B144" s="445"/>
      <c r="C144" s="480"/>
      <c r="D144" s="334" t="s">
        <v>107</v>
      </c>
      <c r="E144" s="330">
        <v>58.788870000000003</v>
      </c>
      <c r="F144" s="331">
        <v>42.345581999999993</v>
      </c>
      <c r="G144" s="331">
        <v>45.893394999999991</v>
      </c>
      <c r="H144" s="331">
        <v>59.031266000000002</v>
      </c>
      <c r="I144" s="332">
        <v>93.592450999999983</v>
      </c>
      <c r="J144" s="309">
        <f>SUM(E144:I144)</f>
        <v>299.65156399999995</v>
      </c>
    </row>
    <row r="145" spans="2:10">
      <c r="B145" s="445"/>
      <c r="C145" s="311" t="s">
        <v>11</v>
      </c>
      <c r="D145" s="322"/>
      <c r="E145" s="335">
        <f t="shared" ref="E145:J145" si="50">SUM(E143:E144)</f>
        <v>621.14881500000013</v>
      </c>
      <c r="F145" s="336">
        <f t="shared" si="50"/>
        <v>524.92658299999994</v>
      </c>
      <c r="G145" s="336">
        <f t="shared" si="50"/>
        <v>780.37361900000008</v>
      </c>
      <c r="H145" s="336">
        <f t="shared" si="50"/>
        <v>618.62200599999983</v>
      </c>
      <c r="I145" s="336">
        <f t="shared" si="50"/>
        <v>530.37507100000005</v>
      </c>
      <c r="J145" s="306">
        <f t="shared" si="50"/>
        <v>3075.4460939999999</v>
      </c>
    </row>
    <row r="146" spans="2:10">
      <c r="B146" s="445"/>
      <c r="C146" s="479" t="s">
        <v>108</v>
      </c>
      <c r="D146" s="307" t="s">
        <v>0</v>
      </c>
      <c r="E146" s="337">
        <v>107.040616</v>
      </c>
      <c r="F146" s="338">
        <v>126.02361300000001</v>
      </c>
      <c r="G146" s="338">
        <v>122.461158</v>
      </c>
      <c r="H146" s="338">
        <v>97.347742999999994</v>
      </c>
      <c r="I146" s="338">
        <v>104.34431400000003</v>
      </c>
      <c r="J146" s="310">
        <f t="shared" ref="J146:J151" si="51">SUM(E146:I146)</f>
        <v>557.217444</v>
      </c>
    </row>
    <row r="147" spans="2:10">
      <c r="B147" s="445"/>
      <c r="C147" s="476"/>
      <c r="D147" s="307" t="s">
        <v>1</v>
      </c>
      <c r="E147" s="339">
        <v>351.798159</v>
      </c>
      <c r="F147" s="340">
        <v>314.91549500000002</v>
      </c>
      <c r="G147" s="340">
        <v>248.86225199999996</v>
      </c>
      <c r="H147" s="340">
        <v>205.04745899999998</v>
      </c>
      <c r="I147" s="340">
        <v>795.64376100000038</v>
      </c>
      <c r="J147" s="310">
        <f t="shared" si="51"/>
        <v>1916.2671260000002</v>
      </c>
    </row>
    <row r="148" spans="2:10">
      <c r="B148" s="445"/>
      <c r="C148" s="476"/>
      <c r="D148" s="307" t="s">
        <v>2</v>
      </c>
      <c r="E148" s="339">
        <v>129.085251</v>
      </c>
      <c r="F148" s="340">
        <v>9.7235000000000002E-2</v>
      </c>
      <c r="G148" s="340">
        <v>82.861857999999998</v>
      </c>
      <c r="H148" s="340">
        <v>215.62548300000009</v>
      </c>
      <c r="I148" s="340">
        <v>35.317490999999997</v>
      </c>
      <c r="J148" s="310">
        <f t="shared" si="51"/>
        <v>462.98731800000013</v>
      </c>
    </row>
    <row r="149" spans="2:10">
      <c r="B149" s="445"/>
      <c r="C149" s="476"/>
      <c r="D149" s="307" t="s">
        <v>3</v>
      </c>
      <c r="E149" s="339">
        <v>31.182960000000005</v>
      </c>
      <c r="F149" s="340">
        <v>0.314635</v>
      </c>
      <c r="G149" s="340">
        <v>0</v>
      </c>
      <c r="H149" s="340">
        <v>3.1207000000000002E-2</v>
      </c>
      <c r="I149" s="340">
        <v>0</v>
      </c>
      <c r="J149" s="310">
        <f t="shared" si="51"/>
        <v>31.528802000000002</v>
      </c>
    </row>
    <row r="150" spans="2:10">
      <c r="B150" s="445"/>
      <c r="C150" s="476"/>
      <c r="D150" s="307" t="s">
        <v>4</v>
      </c>
      <c r="E150" s="339">
        <v>113.52424999999999</v>
      </c>
      <c r="F150" s="340">
        <v>67.28146000000001</v>
      </c>
      <c r="G150" s="340">
        <v>117.77030200000002</v>
      </c>
      <c r="H150" s="340">
        <v>131.94232</v>
      </c>
      <c r="I150" s="340">
        <v>65.348140000000001</v>
      </c>
      <c r="J150" s="310">
        <f t="shared" si="51"/>
        <v>495.86647199999999</v>
      </c>
    </row>
    <row r="151" spans="2:10">
      <c r="B151" s="445"/>
      <c r="C151" s="480"/>
      <c r="D151" s="307" t="s">
        <v>5</v>
      </c>
      <c r="E151" s="339">
        <v>2.9870999999999999</v>
      </c>
      <c r="F151" s="340">
        <v>228.67049399999999</v>
      </c>
      <c r="G151" s="340">
        <v>57.636471999999998</v>
      </c>
      <c r="H151" s="340">
        <v>119.360041</v>
      </c>
      <c r="I151" s="340">
        <v>119.50616800000002</v>
      </c>
      <c r="J151" s="310">
        <f t="shared" si="51"/>
        <v>528.16027499999996</v>
      </c>
    </row>
    <row r="152" spans="2:10">
      <c r="B152" s="445"/>
      <c r="C152" s="311" t="s">
        <v>6</v>
      </c>
      <c r="D152" s="322"/>
      <c r="E152" s="304">
        <f t="shared" ref="E152:J152" si="52">SUM(E146:E151)</f>
        <v>735.618336</v>
      </c>
      <c r="F152" s="304">
        <f t="shared" si="52"/>
        <v>737.30293200000006</v>
      </c>
      <c r="G152" s="304">
        <f t="shared" si="52"/>
        <v>629.59204199999999</v>
      </c>
      <c r="H152" s="304">
        <f t="shared" si="52"/>
        <v>769.35425300000009</v>
      </c>
      <c r="I152" s="304">
        <f t="shared" si="52"/>
        <v>1120.1598740000006</v>
      </c>
      <c r="J152" s="306">
        <f t="shared" si="52"/>
        <v>3992.0274369999997</v>
      </c>
    </row>
    <row r="153" spans="2:10">
      <c r="B153" s="445"/>
      <c r="C153" s="479" t="s">
        <v>109</v>
      </c>
      <c r="D153" s="307" t="s">
        <v>81</v>
      </c>
      <c r="E153" s="341">
        <v>10.225939</v>
      </c>
      <c r="F153" s="342">
        <v>8.6100409999999989</v>
      </c>
      <c r="G153" s="342">
        <v>6.4495500000000003</v>
      </c>
      <c r="H153" s="342">
        <v>9.756138</v>
      </c>
      <c r="I153" s="342">
        <v>18.320024</v>
      </c>
      <c r="J153" s="310">
        <f>SUM(E153:I153)</f>
        <v>53.361692000000005</v>
      </c>
    </row>
    <row r="154" spans="2:10">
      <c r="B154" s="445"/>
      <c r="C154" s="480"/>
      <c r="D154" s="307" t="s">
        <v>110</v>
      </c>
      <c r="E154" s="343">
        <v>386.65645999999992</v>
      </c>
      <c r="F154" s="333">
        <v>64.693641</v>
      </c>
      <c r="G154" s="333">
        <v>167.84732400000004</v>
      </c>
      <c r="H154" s="333">
        <v>42.131441999999993</v>
      </c>
      <c r="I154" s="333">
        <v>346.41861400000005</v>
      </c>
      <c r="J154" s="310">
        <f>SUM(E154:I154)</f>
        <v>1007.747481</v>
      </c>
    </row>
    <row r="155" spans="2:10">
      <c r="B155" s="446"/>
      <c r="C155" s="321" t="s">
        <v>111</v>
      </c>
      <c r="D155" s="322"/>
      <c r="E155" s="304">
        <f t="shared" ref="E155:J155" si="53">SUM(E153:E154)</f>
        <v>396.88239899999991</v>
      </c>
      <c r="F155" s="304">
        <f t="shared" si="53"/>
        <v>73.303681999999995</v>
      </c>
      <c r="G155" s="304">
        <f t="shared" si="53"/>
        <v>174.29687400000003</v>
      </c>
      <c r="H155" s="304">
        <f t="shared" si="53"/>
        <v>51.887579999999993</v>
      </c>
      <c r="I155" s="304">
        <f t="shared" si="53"/>
        <v>364.73863800000004</v>
      </c>
      <c r="J155" s="306">
        <f t="shared" si="53"/>
        <v>1061.1091730000001</v>
      </c>
    </row>
    <row r="156" spans="2:10" ht="20.25" customHeight="1">
      <c r="B156" s="120" t="s">
        <v>124</v>
      </c>
      <c r="C156" s="160"/>
      <c r="D156" s="159"/>
      <c r="E156" s="76">
        <f t="shared" ref="E156:J156" si="54">+E155+E152+E145</f>
        <v>1753.6495500000001</v>
      </c>
      <c r="F156" s="76">
        <f t="shared" si="54"/>
        <v>1335.533197</v>
      </c>
      <c r="G156" s="76">
        <f t="shared" si="54"/>
        <v>1584.2625350000001</v>
      </c>
      <c r="H156" s="76">
        <f t="shared" si="54"/>
        <v>1439.8638389999999</v>
      </c>
      <c r="I156" s="76">
        <f t="shared" si="54"/>
        <v>2015.2735830000006</v>
      </c>
      <c r="J156" s="83">
        <f t="shared" si="54"/>
        <v>8128.5827039999995</v>
      </c>
    </row>
    <row r="157" spans="2:10">
      <c r="B157" s="444">
        <v>2013</v>
      </c>
      <c r="C157" s="477" t="s">
        <v>106</v>
      </c>
      <c r="D157" s="164" t="s">
        <v>106</v>
      </c>
      <c r="E157" s="283">
        <v>563.24783999999988</v>
      </c>
      <c r="F157" s="282">
        <v>499.04235399999993</v>
      </c>
      <c r="G157" s="282">
        <v>785.5876780000001</v>
      </c>
      <c r="H157" s="282">
        <v>641.05703700000004</v>
      </c>
      <c r="I157" s="282">
        <v>496.92272400000019</v>
      </c>
      <c r="J157" s="250">
        <f>SUM(E157:I157)</f>
        <v>2985.8576329999996</v>
      </c>
    </row>
    <row r="158" spans="2:10">
      <c r="B158" s="445"/>
      <c r="C158" s="478"/>
      <c r="D158" s="166" t="s">
        <v>107</v>
      </c>
      <c r="E158" s="275">
        <v>47.903439999999996</v>
      </c>
      <c r="F158" s="276">
        <v>42.540211000000014</v>
      </c>
      <c r="G158" s="276">
        <v>52.864016000000007</v>
      </c>
      <c r="H158" s="276">
        <v>59.143667000000001</v>
      </c>
      <c r="I158" s="277">
        <v>96.923344999999998</v>
      </c>
      <c r="J158" s="156">
        <f>SUM(E158:I158)</f>
        <v>299.37467900000001</v>
      </c>
    </row>
    <row r="159" spans="2:10">
      <c r="B159" s="445"/>
      <c r="C159" s="311" t="s">
        <v>11</v>
      </c>
      <c r="D159" s="322"/>
      <c r="E159" s="303">
        <f t="shared" ref="E159:J159" si="55">SUM(E157:E158)</f>
        <v>611.15127999999993</v>
      </c>
      <c r="F159" s="304">
        <f t="shared" si="55"/>
        <v>541.58256499999993</v>
      </c>
      <c r="G159" s="304">
        <f t="shared" si="55"/>
        <v>838.45169400000009</v>
      </c>
      <c r="H159" s="304">
        <f t="shared" si="55"/>
        <v>700.20070400000009</v>
      </c>
      <c r="I159" s="305">
        <f t="shared" si="55"/>
        <v>593.84606900000017</v>
      </c>
      <c r="J159" s="306">
        <f t="shared" si="55"/>
        <v>3285.2323119999996</v>
      </c>
    </row>
    <row r="160" spans="2:10">
      <c r="B160" s="445"/>
      <c r="C160" s="479" t="s">
        <v>108</v>
      </c>
      <c r="D160" s="307" t="s">
        <v>0</v>
      </c>
      <c r="E160" s="323">
        <v>97.139879999999962</v>
      </c>
      <c r="F160" s="324">
        <v>167.42429699999997</v>
      </c>
      <c r="G160" s="324">
        <v>95.287196999999992</v>
      </c>
      <c r="H160" s="324">
        <v>119.16602599999996</v>
      </c>
      <c r="I160" s="325">
        <v>99.207690000000014</v>
      </c>
      <c r="J160" s="310">
        <f t="shared" ref="J160:J165" si="56">SUM(E160:I160)</f>
        <v>578.22508999999991</v>
      </c>
    </row>
    <row r="161" spans="2:10">
      <c r="B161" s="445"/>
      <c r="C161" s="476"/>
      <c r="D161" s="307" t="s">
        <v>1</v>
      </c>
      <c r="E161" s="326">
        <v>399.67733800000059</v>
      </c>
      <c r="F161" s="327">
        <v>353.83503199999996</v>
      </c>
      <c r="G161" s="327">
        <v>277.03244599999999</v>
      </c>
      <c r="H161" s="327">
        <v>322.65804300000013</v>
      </c>
      <c r="I161" s="328">
        <v>1033.7222729999999</v>
      </c>
      <c r="J161" s="310">
        <f t="shared" si="56"/>
        <v>2386.9251320000003</v>
      </c>
    </row>
    <row r="162" spans="2:10">
      <c r="B162" s="445"/>
      <c r="C162" s="476"/>
      <c r="D162" s="307" t="s">
        <v>2</v>
      </c>
      <c r="E162" s="326">
        <v>151.09792400000003</v>
      </c>
      <c r="F162" s="327">
        <v>0.100091</v>
      </c>
      <c r="G162" s="327">
        <v>84.191618999999989</v>
      </c>
      <c r="H162" s="327">
        <v>192.55800600000006</v>
      </c>
      <c r="I162" s="328">
        <v>56.464511000000009</v>
      </c>
      <c r="J162" s="310">
        <f t="shared" si="56"/>
        <v>484.41215100000011</v>
      </c>
    </row>
    <row r="163" spans="2:10">
      <c r="B163" s="445"/>
      <c r="C163" s="476"/>
      <c r="D163" s="307" t="s">
        <v>3</v>
      </c>
      <c r="E163" s="326">
        <v>32.392894999999996</v>
      </c>
      <c r="F163" s="327">
        <v>0.48299999999999998</v>
      </c>
      <c r="G163" s="329">
        <v>0</v>
      </c>
      <c r="H163" s="327">
        <v>3.7486869999999999</v>
      </c>
      <c r="I163" s="329">
        <v>0</v>
      </c>
      <c r="J163" s="310">
        <f t="shared" si="56"/>
        <v>36.62458199999999</v>
      </c>
    </row>
    <row r="164" spans="2:10">
      <c r="B164" s="445"/>
      <c r="C164" s="476"/>
      <c r="D164" s="307" t="s">
        <v>4</v>
      </c>
      <c r="E164" s="326">
        <v>103.31401</v>
      </c>
      <c r="F164" s="327">
        <v>91.181047999999976</v>
      </c>
      <c r="G164" s="327">
        <v>109.92422000000002</v>
      </c>
      <c r="H164" s="327">
        <v>123.99717799999999</v>
      </c>
      <c r="I164" s="328">
        <v>61.014600999999999</v>
      </c>
      <c r="J164" s="310">
        <f t="shared" si="56"/>
        <v>489.4310569999999</v>
      </c>
    </row>
    <row r="165" spans="2:10">
      <c r="B165" s="445"/>
      <c r="C165" s="480"/>
      <c r="D165" s="307" t="s">
        <v>5</v>
      </c>
      <c r="E165" s="330">
        <v>6.9553799999999999</v>
      </c>
      <c r="F165" s="331">
        <v>264.71714900000006</v>
      </c>
      <c r="G165" s="331">
        <v>66.263115999999997</v>
      </c>
      <c r="H165" s="331">
        <v>144.26508100000004</v>
      </c>
      <c r="I165" s="332">
        <v>179.58835300000007</v>
      </c>
      <c r="J165" s="310">
        <f t="shared" si="56"/>
        <v>661.78907900000013</v>
      </c>
    </row>
    <row r="166" spans="2:10">
      <c r="B166" s="445"/>
      <c r="C166" s="311" t="s">
        <v>6</v>
      </c>
      <c r="D166" s="322"/>
      <c r="E166" s="304">
        <f t="shared" ref="E166:J166" si="57">SUM(E160:E165)</f>
        <v>790.57742700000051</v>
      </c>
      <c r="F166" s="304">
        <f t="shared" si="57"/>
        <v>877.74061699999993</v>
      </c>
      <c r="G166" s="304">
        <f t="shared" si="57"/>
        <v>632.69859799999995</v>
      </c>
      <c r="H166" s="304">
        <f t="shared" si="57"/>
        <v>906.3930210000002</v>
      </c>
      <c r="I166" s="304">
        <f t="shared" si="57"/>
        <v>1429.9974279999999</v>
      </c>
      <c r="J166" s="306">
        <f t="shared" si="57"/>
        <v>4637.407091</v>
      </c>
    </row>
    <row r="167" spans="2:10">
      <c r="B167" s="445"/>
      <c r="C167" s="479" t="s">
        <v>109</v>
      </c>
      <c r="D167" s="307" t="s">
        <v>81</v>
      </c>
      <c r="E167" s="323">
        <v>19.094051999999994</v>
      </c>
      <c r="F167" s="333">
        <v>9.2936359999999993</v>
      </c>
      <c r="G167" s="333">
        <v>6.6845590000000001</v>
      </c>
      <c r="H167" s="333">
        <v>7.6275749999999993</v>
      </c>
      <c r="I167" s="333">
        <v>32.379860000000001</v>
      </c>
      <c r="J167" s="310">
        <f>SUM(E167:I167)</f>
        <v>75.079681999999991</v>
      </c>
    </row>
    <row r="168" spans="2:10">
      <c r="B168" s="445"/>
      <c r="C168" s="480"/>
      <c r="D168" s="307" t="s">
        <v>110</v>
      </c>
      <c r="E168" s="330">
        <v>441.09681799999993</v>
      </c>
      <c r="F168" s="333">
        <v>68.584364999999977</v>
      </c>
      <c r="G168" s="333">
        <v>219.19230400000004</v>
      </c>
      <c r="H168" s="333">
        <v>39.296601000000003</v>
      </c>
      <c r="I168" s="333">
        <v>274.90002699999997</v>
      </c>
      <c r="J168" s="310">
        <f>SUM(E168:I168)</f>
        <v>1043.070115</v>
      </c>
    </row>
    <row r="169" spans="2:10">
      <c r="B169" s="446"/>
      <c r="C169" s="321" t="s">
        <v>111</v>
      </c>
      <c r="D169" s="322"/>
      <c r="E169" s="304">
        <f t="shared" ref="E169:J169" si="58">SUM(E167:E168)</f>
        <v>460.1908699999999</v>
      </c>
      <c r="F169" s="304">
        <f t="shared" si="58"/>
        <v>77.878000999999983</v>
      </c>
      <c r="G169" s="304">
        <f t="shared" si="58"/>
        <v>225.87686300000004</v>
      </c>
      <c r="H169" s="304">
        <f t="shared" si="58"/>
        <v>46.924176000000003</v>
      </c>
      <c r="I169" s="304">
        <f t="shared" si="58"/>
        <v>307.27988699999997</v>
      </c>
      <c r="J169" s="306">
        <f t="shared" si="58"/>
        <v>1118.149797</v>
      </c>
    </row>
    <row r="170" spans="2:10" ht="21.75" customHeight="1">
      <c r="B170" s="120" t="s">
        <v>125</v>
      </c>
      <c r="C170" s="160"/>
      <c r="D170" s="159"/>
      <c r="E170" s="76">
        <f t="shared" ref="E170:J170" si="59">+E169+E166+E159</f>
        <v>1861.9195770000006</v>
      </c>
      <c r="F170" s="76">
        <f t="shared" si="59"/>
        <v>1497.2011829999999</v>
      </c>
      <c r="G170" s="76">
        <f t="shared" si="59"/>
        <v>1697.0271550000002</v>
      </c>
      <c r="H170" s="76">
        <f t="shared" si="59"/>
        <v>1653.5179010000002</v>
      </c>
      <c r="I170" s="76">
        <f t="shared" si="59"/>
        <v>2331.123384</v>
      </c>
      <c r="J170" s="83">
        <f t="shared" si="59"/>
        <v>9040.7891999999993</v>
      </c>
    </row>
    <row r="171" spans="2:10">
      <c r="B171" s="444">
        <v>2014</v>
      </c>
      <c r="C171" s="477" t="s">
        <v>106</v>
      </c>
      <c r="D171" s="164" t="s">
        <v>106</v>
      </c>
      <c r="E171" s="432">
        <v>666.91029499999991</v>
      </c>
      <c r="F171" s="401">
        <v>416.83495400000004</v>
      </c>
      <c r="G171" s="401">
        <v>858.02239699999961</v>
      </c>
      <c r="H171" s="401">
        <v>666.96866199999977</v>
      </c>
      <c r="I171" s="401">
        <v>545.62514899999985</v>
      </c>
      <c r="J171" s="250">
        <f>SUM(E171:I171)</f>
        <v>3154.3614569999995</v>
      </c>
    </row>
    <row r="172" spans="2:10">
      <c r="B172" s="445"/>
      <c r="C172" s="478"/>
      <c r="D172" s="166" t="s">
        <v>107</v>
      </c>
      <c r="E172" s="167">
        <v>77.613566000000006</v>
      </c>
      <c r="F172" s="87">
        <v>83.119042000000093</v>
      </c>
      <c r="G172" s="87">
        <v>69.225754999999992</v>
      </c>
      <c r="H172" s="87">
        <v>62.364737000000005</v>
      </c>
      <c r="I172" s="87">
        <v>94.831404000000035</v>
      </c>
      <c r="J172" s="402">
        <f>SUM(E172:I172)</f>
        <v>387.15450400000009</v>
      </c>
    </row>
    <row r="173" spans="2:10">
      <c r="B173" s="445"/>
      <c r="C173" s="311" t="s">
        <v>11</v>
      </c>
      <c r="D173" s="322"/>
      <c r="E173" s="303">
        <f t="shared" ref="E173:J173" si="60">SUM(E171:E172)</f>
        <v>744.5238609999999</v>
      </c>
      <c r="F173" s="304">
        <f t="shared" si="60"/>
        <v>499.95399600000013</v>
      </c>
      <c r="G173" s="304">
        <f t="shared" si="60"/>
        <v>927.24815199999966</v>
      </c>
      <c r="H173" s="304">
        <f t="shared" si="60"/>
        <v>729.33339899999976</v>
      </c>
      <c r="I173" s="305">
        <f t="shared" si="60"/>
        <v>640.45655299999987</v>
      </c>
      <c r="J173" s="306">
        <f t="shared" si="60"/>
        <v>3541.5159609999996</v>
      </c>
    </row>
    <row r="174" spans="2:10">
      <c r="B174" s="445"/>
      <c r="C174" s="479" t="s">
        <v>108</v>
      </c>
      <c r="D174" s="393" t="s">
        <v>0</v>
      </c>
      <c r="E174" s="398">
        <v>101.69272999999997</v>
      </c>
      <c r="F174" s="293">
        <v>187.42413400000001</v>
      </c>
      <c r="G174" s="293">
        <v>84.869879999999995</v>
      </c>
      <c r="H174" s="293">
        <v>129.17253499999998</v>
      </c>
      <c r="I174" s="293">
        <v>123.89883800000001</v>
      </c>
      <c r="J174" s="310">
        <f t="shared" ref="J174:J179" si="61">SUM(E174:I174)</f>
        <v>627.05811699999992</v>
      </c>
    </row>
    <row r="175" spans="2:10">
      <c r="B175" s="445"/>
      <c r="C175" s="476"/>
      <c r="D175" s="393" t="s">
        <v>1</v>
      </c>
      <c r="E175" s="399">
        <v>493.03972000000022</v>
      </c>
      <c r="F175" s="293">
        <v>492.17083199999996</v>
      </c>
      <c r="G175" s="293">
        <v>301.01538299999987</v>
      </c>
      <c r="H175" s="293">
        <v>272.49124699999987</v>
      </c>
      <c r="I175" s="293">
        <v>1378.6652579999998</v>
      </c>
      <c r="J175" s="310">
        <f t="shared" si="61"/>
        <v>2937.3824399999999</v>
      </c>
    </row>
    <row r="176" spans="2:10">
      <c r="B176" s="445"/>
      <c r="C176" s="476"/>
      <c r="D176" s="393" t="s">
        <v>2</v>
      </c>
      <c r="E176" s="399">
        <v>238.7610210000002</v>
      </c>
      <c r="F176" s="293">
        <v>0.12984999999999999</v>
      </c>
      <c r="G176" s="293">
        <v>100.02942300000002</v>
      </c>
      <c r="H176" s="293">
        <v>256.31883599999998</v>
      </c>
      <c r="I176" s="293">
        <v>30.692195999999999</v>
      </c>
      <c r="J176" s="310">
        <f t="shared" si="61"/>
        <v>625.93132600000013</v>
      </c>
    </row>
    <row r="177" spans="2:10">
      <c r="B177" s="445"/>
      <c r="C177" s="476"/>
      <c r="D177" s="393" t="s">
        <v>3</v>
      </c>
      <c r="E177" s="399">
        <v>24.94500699999999</v>
      </c>
      <c r="F177" s="293">
        <v>0.61830000000000007</v>
      </c>
      <c r="G177" s="81">
        <v>0</v>
      </c>
      <c r="H177" s="293">
        <v>6.137204999999998</v>
      </c>
      <c r="I177" s="81">
        <v>0</v>
      </c>
      <c r="J177" s="310">
        <f t="shared" si="61"/>
        <v>31.700511999999989</v>
      </c>
    </row>
    <row r="178" spans="2:10">
      <c r="B178" s="445"/>
      <c r="C178" s="476"/>
      <c r="D178" s="393" t="s">
        <v>4</v>
      </c>
      <c r="E178" s="399">
        <v>81.934020000000004</v>
      </c>
      <c r="F178" s="293">
        <v>88.501109999999997</v>
      </c>
      <c r="G178" s="293">
        <v>111.14440999999999</v>
      </c>
      <c r="H178" s="293">
        <v>154.09981000000002</v>
      </c>
      <c r="I178" s="293">
        <v>69.772318999999996</v>
      </c>
      <c r="J178" s="310">
        <f t="shared" si="61"/>
        <v>505.45166899999998</v>
      </c>
    </row>
    <row r="179" spans="2:10">
      <c r="B179" s="445"/>
      <c r="C179" s="480"/>
      <c r="D179" s="393" t="s">
        <v>5</v>
      </c>
      <c r="E179" s="400">
        <v>8.2068500000000011</v>
      </c>
      <c r="F179" s="293">
        <v>256.66302100000001</v>
      </c>
      <c r="G179" s="293">
        <v>68.732123999999999</v>
      </c>
      <c r="H179" s="293">
        <v>187.83593299999998</v>
      </c>
      <c r="I179" s="293">
        <v>342.25738000000001</v>
      </c>
      <c r="J179" s="310">
        <f t="shared" si="61"/>
        <v>863.69530799999995</v>
      </c>
    </row>
    <row r="180" spans="2:10">
      <c r="B180" s="445"/>
      <c r="C180" s="311" t="s">
        <v>6</v>
      </c>
      <c r="D180" s="322"/>
      <c r="E180" s="304">
        <f t="shared" ref="E180:J180" si="62">SUM(E174:E179)</f>
        <v>948.57934800000055</v>
      </c>
      <c r="F180" s="304">
        <f t="shared" si="62"/>
        <v>1025.507247</v>
      </c>
      <c r="G180" s="304">
        <f t="shared" si="62"/>
        <v>665.79121999999995</v>
      </c>
      <c r="H180" s="304">
        <f t="shared" si="62"/>
        <v>1006.0555659999998</v>
      </c>
      <c r="I180" s="304">
        <f t="shared" si="62"/>
        <v>1945.2859909999997</v>
      </c>
      <c r="J180" s="306">
        <f t="shared" si="62"/>
        <v>5591.2193720000005</v>
      </c>
    </row>
    <row r="181" spans="2:10">
      <c r="B181" s="445"/>
      <c r="C181" s="479" t="s">
        <v>109</v>
      </c>
      <c r="D181" s="393" t="s">
        <v>81</v>
      </c>
      <c r="E181" s="165">
        <v>404.22123600000009</v>
      </c>
      <c r="F181" s="87">
        <v>140.79980599999996</v>
      </c>
      <c r="G181" s="87">
        <v>281.5185019999999</v>
      </c>
      <c r="H181" s="87">
        <v>40.237819000000002</v>
      </c>
      <c r="I181" s="87">
        <v>284.42550700000004</v>
      </c>
      <c r="J181" s="310">
        <f>SUM(E181:I181)</f>
        <v>1151.2028700000001</v>
      </c>
    </row>
    <row r="182" spans="2:10">
      <c r="B182" s="445"/>
      <c r="C182" s="480"/>
      <c r="D182" s="393" t="s">
        <v>110</v>
      </c>
      <c r="E182" s="167">
        <v>12.879151999999999</v>
      </c>
      <c r="F182" s="87">
        <v>9.271075999999999</v>
      </c>
      <c r="G182" s="87">
        <v>7.7768349999999993</v>
      </c>
      <c r="H182" s="87">
        <v>24.739828999999997</v>
      </c>
      <c r="I182" s="87">
        <v>30.599195000000012</v>
      </c>
      <c r="J182" s="310">
        <f>SUM(E182:I182)</f>
        <v>85.266086999999999</v>
      </c>
    </row>
    <row r="183" spans="2:10">
      <c r="B183" s="446"/>
      <c r="C183" s="321" t="s">
        <v>111</v>
      </c>
      <c r="D183" s="322"/>
      <c r="E183" s="304">
        <f t="shared" ref="E183:J183" si="63">SUM(E181:E182)</f>
        <v>417.10038800000007</v>
      </c>
      <c r="F183" s="304">
        <f t="shared" si="63"/>
        <v>150.07088199999995</v>
      </c>
      <c r="G183" s="304">
        <f t="shared" si="63"/>
        <v>289.2953369999999</v>
      </c>
      <c r="H183" s="304">
        <f t="shared" si="63"/>
        <v>64.977648000000002</v>
      </c>
      <c r="I183" s="304">
        <f t="shared" si="63"/>
        <v>315.02470200000005</v>
      </c>
      <c r="J183" s="306">
        <f t="shared" si="63"/>
        <v>1236.468957</v>
      </c>
    </row>
    <row r="184" spans="2:10" ht="18.75" customHeight="1">
      <c r="B184" s="120" t="s">
        <v>226</v>
      </c>
      <c r="C184" s="160"/>
      <c r="D184" s="159"/>
      <c r="E184" s="76">
        <f t="shared" ref="E184:J184" si="64">+E183+E180+E173</f>
        <v>2110.2035970000006</v>
      </c>
      <c r="F184" s="76">
        <f t="shared" si="64"/>
        <v>1675.5321250000002</v>
      </c>
      <c r="G184" s="76">
        <f t="shared" si="64"/>
        <v>1882.3347089999995</v>
      </c>
      <c r="H184" s="76">
        <f t="shared" si="64"/>
        <v>1800.3666129999997</v>
      </c>
      <c r="I184" s="76">
        <f t="shared" si="64"/>
        <v>2900.7672459999999</v>
      </c>
      <c r="J184" s="83">
        <f t="shared" si="64"/>
        <v>10369.20429</v>
      </c>
    </row>
  </sheetData>
  <mergeCells count="52"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59:B71"/>
    <mergeCell ref="C59:C60"/>
    <mergeCell ref="C62:C67"/>
    <mergeCell ref="C69:C70"/>
    <mergeCell ref="B73:B85"/>
    <mergeCell ref="C73:C74"/>
    <mergeCell ref="C76:C81"/>
    <mergeCell ref="C83:C84"/>
    <mergeCell ref="B31:B43"/>
    <mergeCell ref="C31:C32"/>
    <mergeCell ref="C34:C39"/>
    <mergeCell ref="C41:C42"/>
    <mergeCell ref="B45:B57"/>
    <mergeCell ref="C45:C46"/>
    <mergeCell ref="C48:C53"/>
    <mergeCell ref="C55:C56"/>
    <mergeCell ref="E5:I5"/>
    <mergeCell ref="B7:B17"/>
    <mergeCell ref="C7:C8"/>
    <mergeCell ref="C10:C14"/>
    <mergeCell ref="B19:B29"/>
    <mergeCell ref="C19:C20"/>
    <mergeCell ref="C22:C26"/>
    <mergeCell ref="C28:D28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Environment Agency User</cp:lastModifiedBy>
  <cp:lastPrinted>2007-05-23T14:27:43Z</cp:lastPrinted>
  <dcterms:created xsi:type="dcterms:W3CDTF">2006-10-24T13:52:52Z</dcterms:created>
  <dcterms:modified xsi:type="dcterms:W3CDTF">2015-10-22T09:27:43Z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