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240" windowHeight="11250" activeTab="1"/>
  </bookViews>
  <sheets>
    <sheet name="Notes" sheetId="1" r:id="rId1"/>
    <sheet name="FE&amp;Skills" sheetId="2" r:id="rId2"/>
  </sheets>
  <definedNames>
    <definedName name="_xlnm._FilterDatabase" localSheetId="1" hidden="1">'FE&amp;Skills'!$A$4:$X$1066</definedName>
  </definedNames>
  <calcPr fullCalcOnLoad="1"/>
</workbook>
</file>

<file path=xl/sharedStrings.xml><?xml version="1.0" encoding="utf-8"?>
<sst xmlns="http://schemas.openxmlformats.org/spreadsheetml/2006/main" count="11348" uniqueCount="4414">
  <si>
    <t>Weblink</t>
  </si>
  <si>
    <t>Provider Name</t>
  </si>
  <si>
    <t>URN</t>
  </si>
  <si>
    <t>UPIN</t>
  </si>
  <si>
    <t>Local authority</t>
  </si>
  <si>
    <t>Ofsted region</t>
  </si>
  <si>
    <t>First day of inspection</t>
  </si>
  <si>
    <t>Last day of inspection</t>
  </si>
  <si>
    <t>Inspection year</t>
  </si>
  <si>
    <t>Date published</t>
  </si>
  <si>
    <t>Inspection type</t>
  </si>
  <si>
    <t>Inspection number</t>
  </si>
  <si>
    <t>Overall Effectiveness</t>
  </si>
  <si>
    <t>Leadership and management</t>
  </si>
  <si>
    <t>Access Training (East Midlands) Ltd</t>
  </si>
  <si>
    <t>Nottingham</t>
  </si>
  <si>
    <t>East Midlands</t>
  </si>
  <si>
    <t>Independent learning provider</t>
  </si>
  <si>
    <t>2009/2010</t>
  </si>
  <si>
    <t>Work based Learning - full inspection</t>
  </si>
  <si>
    <t>NULL</t>
  </si>
  <si>
    <t>Acorn Training Consultants Limited</t>
  </si>
  <si>
    <t>Derbyshire</t>
  </si>
  <si>
    <t>2011/2012</t>
  </si>
  <si>
    <t>A4e Ltd</t>
  </si>
  <si>
    <t>Sheffield</t>
  </si>
  <si>
    <t>North East, Yorkshire &amp; Humber</t>
  </si>
  <si>
    <t>2013/2014</t>
  </si>
  <si>
    <t>Work Based Learning - reinspection</t>
  </si>
  <si>
    <t>Work Based Learning - full (national)</t>
  </si>
  <si>
    <t>Age UK Trading Limited</t>
  </si>
  <si>
    <t>Bradford</t>
  </si>
  <si>
    <t>2012/2013</t>
  </si>
  <si>
    <t>Bexley Youth Training Group</t>
  </si>
  <si>
    <t>Bexley</t>
  </si>
  <si>
    <t>London</t>
  </si>
  <si>
    <t>WBL - full (regional)</t>
  </si>
  <si>
    <t>BROADLAND DISTRICT COUNCIL</t>
  </si>
  <si>
    <t>Norfolk</t>
  </si>
  <si>
    <t>East of England</t>
  </si>
  <si>
    <t>Community learning and skills</t>
  </si>
  <si>
    <t>Buckinghamshire County Council</t>
  </si>
  <si>
    <t>Buckinghamshire</t>
  </si>
  <si>
    <t>South East</t>
  </si>
  <si>
    <t>2008/2009</t>
  </si>
  <si>
    <t>Adult and Community - full (regional)</t>
  </si>
  <si>
    <t>Building Engineering Services Training Limited</t>
  </si>
  <si>
    <t>Business Management Resources (UK) Ltd</t>
  </si>
  <si>
    <t>Telford and Wrekin</t>
  </si>
  <si>
    <t>West Midlands</t>
  </si>
  <si>
    <t>Charnwood Training Group Limited</t>
  </si>
  <si>
    <t>Nottinghamshire</t>
  </si>
  <si>
    <t>Claverham Community College</t>
  </si>
  <si>
    <t>East Sussex</t>
  </si>
  <si>
    <t>ACL - requires improvement</t>
  </si>
  <si>
    <t>Derbyshire and Nottinghamshire Chamber of Commerce and Industry</t>
  </si>
  <si>
    <t>2010/2011</t>
  </si>
  <si>
    <t>East Sussex County Council</t>
  </si>
  <si>
    <t>Enham Trust</t>
  </si>
  <si>
    <t>Hampshire</t>
  </si>
  <si>
    <t>WBL - requires improvement</t>
  </si>
  <si>
    <t>Focus Training (SW) Limited</t>
  </si>
  <si>
    <t>Plymouth</t>
  </si>
  <si>
    <t>South West</t>
  </si>
  <si>
    <t>Adult Education In Gloucestershire</t>
  </si>
  <si>
    <t>Gloucestershire</t>
  </si>
  <si>
    <t>Herbert of Liverpool (Training) Ltd</t>
  </si>
  <si>
    <t>Liverpool</t>
  </si>
  <si>
    <t>North West (EY &amp; ELS)</t>
  </si>
  <si>
    <t>Hertfordshire County Council</t>
  </si>
  <si>
    <t>Hertfordshire</t>
  </si>
  <si>
    <t>In Touch Care Limited</t>
  </si>
  <si>
    <t>In-Comm Training Services Limited</t>
  </si>
  <si>
    <t>Walsall</t>
  </si>
  <si>
    <t>KTS Training (2002) Limited</t>
  </si>
  <si>
    <t>South Gloucestershire</t>
  </si>
  <si>
    <t>Ealing London Borough Council</t>
  </si>
  <si>
    <t>Ealing</t>
  </si>
  <si>
    <t>Michael John Academy</t>
  </si>
  <si>
    <t>Middlesbrough Council</t>
  </si>
  <si>
    <t>Middlesbrough</t>
  </si>
  <si>
    <t>Adult Continuing Education Milton Keynes</t>
  </si>
  <si>
    <t>Milton Keynes</t>
  </si>
  <si>
    <t>Adult and community - full (national)</t>
  </si>
  <si>
    <t>NACRO</t>
  </si>
  <si>
    <t>Lambeth</t>
  </si>
  <si>
    <t>NETA Training Trust</t>
  </si>
  <si>
    <t>Stockton-on-Tees</t>
  </si>
  <si>
    <t>Northamptonshire County Council</t>
  </si>
  <si>
    <t>Northamptonshire</t>
  </si>
  <si>
    <t>Oxfordshire County Council</t>
  </si>
  <si>
    <t>Oxfordshire</t>
  </si>
  <si>
    <t>Skills for Security Limited</t>
  </si>
  <si>
    <t>Worcestershire</t>
  </si>
  <si>
    <t>Seetec Business Technology Centre Limited</t>
  </si>
  <si>
    <t>Essex</t>
  </si>
  <si>
    <t>Springboard Sunderland Trust</t>
  </si>
  <si>
    <t>Sunderland</t>
  </si>
  <si>
    <t>Springfield Education and Training Limited</t>
  </si>
  <si>
    <t>Kent</t>
  </si>
  <si>
    <t>2006/2007</t>
  </si>
  <si>
    <t>Work Based Learning - reinspection (ALI)</t>
  </si>
  <si>
    <t>Work Based Learning - full inspection (ALI)</t>
  </si>
  <si>
    <t>West Sussex County Council</t>
  </si>
  <si>
    <t>West Sussex</t>
  </si>
  <si>
    <t>Birmingham City Council</t>
  </si>
  <si>
    <t>Birmingham</t>
  </si>
  <si>
    <t>Forster Community College Limited</t>
  </si>
  <si>
    <t>Derby City Council</t>
  </si>
  <si>
    <t>Derby</t>
  </si>
  <si>
    <t>Derbyshire Adult Community Education Service</t>
  </si>
  <si>
    <t>Dudley Metropolitan Borough Council</t>
  </si>
  <si>
    <t>Dudley</t>
  </si>
  <si>
    <t>Durham County Council</t>
  </si>
  <si>
    <t>Durham</t>
  </si>
  <si>
    <t>Herefordshire Council</t>
  </si>
  <si>
    <t>Herefordshire</t>
  </si>
  <si>
    <t>Harrow London Borough Council</t>
  </si>
  <si>
    <t>Harrow</t>
  </si>
  <si>
    <t>North Yorkshire County Council</t>
  </si>
  <si>
    <t>North Yorkshire</t>
  </si>
  <si>
    <t>Pre-School Learning Alliance</t>
  </si>
  <si>
    <t>Islington</t>
  </si>
  <si>
    <t>Rotherham Borough Council</t>
  </si>
  <si>
    <t>Rotherham</t>
  </si>
  <si>
    <t>Stockport Metropolitan Borough Council</t>
  </si>
  <si>
    <t>Stockport</t>
  </si>
  <si>
    <t>Training for Today</t>
  </si>
  <si>
    <t>Bolton</t>
  </si>
  <si>
    <t>Training Plus (Merseyside) Limited</t>
  </si>
  <si>
    <t>The Wiltshire Council</t>
  </si>
  <si>
    <t>Wiltshire</t>
  </si>
  <si>
    <t>Wokingham Council</t>
  </si>
  <si>
    <t>Wokingham</t>
  </si>
  <si>
    <t>5 E Ltd.</t>
  </si>
  <si>
    <t>Haringey</t>
  </si>
  <si>
    <t>Woodspeen Training Limited</t>
  </si>
  <si>
    <t>Kirklees</t>
  </si>
  <si>
    <t>Acacia Training and Development Ltd</t>
  </si>
  <si>
    <t>Acacia Training Limited</t>
  </si>
  <si>
    <t>Stoke-On-Trent</t>
  </si>
  <si>
    <t>Train to Gain - full inspection</t>
  </si>
  <si>
    <t>Academy Education Limited</t>
  </si>
  <si>
    <t>City of London</t>
  </si>
  <si>
    <t>Access to Music Limited</t>
  </si>
  <si>
    <t>Access Training Limited</t>
  </si>
  <si>
    <t>Gateshead</t>
  </si>
  <si>
    <t>TRN (Train) Ltd.</t>
  </si>
  <si>
    <t>Achievement Training Limited</t>
  </si>
  <si>
    <t>Adult College for Rural East Sussex (ACRES)</t>
  </si>
  <si>
    <t>Alder Training Limited</t>
  </si>
  <si>
    <t>Alliance Learning</t>
  </si>
  <si>
    <t>Anderson Stockley Accredited Training Ltd</t>
  </si>
  <si>
    <t>Andrew Collinge Training Limited</t>
  </si>
  <si>
    <t>2007/2008</t>
  </si>
  <si>
    <t>Archway Academy</t>
  </si>
  <si>
    <t>Asset Training &amp; Consultancy Limited</t>
  </si>
  <si>
    <t>Sefton</t>
  </si>
  <si>
    <t>AWE PLC</t>
  </si>
  <si>
    <t>West Berkshire</t>
  </si>
  <si>
    <t>Independent learning provider - employer</t>
  </si>
  <si>
    <t>Axia Solutions Limited</t>
  </si>
  <si>
    <t>ATG Training</t>
  </si>
  <si>
    <t>Azure Charitable Enterprises</t>
  </si>
  <si>
    <t>Northumberland</t>
  </si>
  <si>
    <t>B L Training Limited</t>
  </si>
  <si>
    <t>Newcastle Upon Tyne</t>
  </si>
  <si>
    <t>B-Skill Limited</t>
  </si>
  <si>
    <t>Babington Business College Limited</t>
  </si>
  <si>
    <t>BAE Systems PLC</t>
  </si>
  <si>
    <t>Lancashire</t>
  </si>
  <si>
    <t>Barnardo's</t>
  </si>
  <si>
    <t>North Tyneside</t>
  </si>
  <si>
    <t>Barnsley Metropolitan Borough Council</t>
  </si>
  <si>
    <t>Barnsley</t>
  </si>
  <si>
    <t>Basingstoke ITEC</t>
  </si>
  <si>
    <t>Bellis Training Limited</t>
  </si>
  <si>
    <t>Birmingham Electrical Training Ltd</t>
  </si>
  <si>
    <t>BCTG Limited</t>
  </si>
  <si>
    <t>Sandwell</t>
  </si>
  <si>
    <t>Blackburn with Darwen Borough Council</t>
  </si>
  <si>
    <t>Blackburn with Darwen</t>
  </si>
  <si>
    <t>BLACKPOOL UNITARY AUTHORITY</t>
  </si>
  <si>
    <t>Blackpool</t>
  </si>
  <si>
    <t>Blake College LLP</t>
  </si>
  <si>
    <t>Westminster</t>
  </si>
  <si>
    <t>Bolton Metropolitan Borough Council</t>
  </si>
  <si>
    <t>BOSCO Centre</t>
  </si>
  <si>
    <t>Southwark</t>
  </si>
  <si>
    <t>BPP Holdings Limited</t>
  </si>
  <si>
    <t>Reading</t>
  </si>
  <si>
    <t>Bracknell Forest Borough Council</t>
  </si>
  <si>
    <t>Bracknell Forest</t>
  </si>
  <si>
    <t>City Of Bradford Metropolitan District Council</t>
  </si>
  <si>
    <t>Appris Charity Limited</t>
  </si>
  <si>
    <t>Bridge Training Limited</t>
  </si>
  <si>
    <t>Brighton &amp; Hove City Council</t>
  </si>
  <si>
    <t>Brighton and Hove</t>
  </si>
  <si>
    <t>Bristol City Council</t>
  </si>
  <si>
    <t>Bristol City of</t>
  </si>
  <si>
    <t>British Gas Services Limited</t>
  </si>
  <si>
    <t>Leeds</t>
  </si>
  <si>
    <t>British Printing Industries Federation Ltd</t>
  </si>
  <si>
    <t>Coventry</t>
  </si>
  <si>
    <t>British Racing School</t>
  </si>
  <si>
    <t>Cambridgeshire</t>
  </si>
  <si>
    <t>Building Crafts College</t>
  </si>
  <si>
    <t>Newham</t>
  </si>
  <si>
    <t>Burleigh College</t>
  </si>
  <si>
    <t>Hammersmith and Fulham</t>
  </si>
  <si>
    <t>Bury Metropolitan Borough Council</t>
  </si>
  <si>
    <t>Bury</t>
  </si>
  <si>
    <t>Busy Bees Nurseries Limited</t>
  </si>
  <si>
    <t>Staffordshire</t>
  </si>
  <si>
    <t>Cablecom Training Limited</t>
  </si>
  <si>
    <t>Calderdale Metropolitan Borough Council</t>
  </si>
  <si>
    <t>Calderdale</t>
  </si>
  <si>
    <t>Cambridgeshire County Council</t>
  </si>
  <si>
    <t>CANTO LIMITED</t>
  </si>
  <si>
    <t>The Care Learning Centre (Isle of Wight) Limited</t>
  </si>
  <si>
    <t>Isle of Wight</t>
  </si>
  <si>
    <t>Career Development Center Limited</t>
  </si>
  <si>
    <t>Redbridge</t>
  </si>
  <si>
    <t>Aspire-I Limited</t>
  </si>
  <si>
    <t>Babcock</t>
  </si>
  <si>
    <t>Next step</t>
  </si>
  <si>
    <t>Nextstep - inspection</t>
  </si>
  <si>
    <t>Carillion Construction Limited</t>
  </si>
  <si>
    <t>Wolverhampton</t>
  </si>
  <si>
    <t>Central Training Academy Limited</t>
  </si>
  <si>
    <t>Southend-On-Sea</t>
  </si>
  <si>
    <t>CCP GRADUATE SCHOOL LTD</t>
  </si>
  <si>
    <t>Brent</t>
  </si>
  <si>
    <t>Community Learning in Partnership (CLIP) CIC</t>
  </si>
  <si>
    <t>Lincolnshire</t>
  </si>
  <si>
    <t>Chamber Training (Humber) Limited</t>
  </si>
  <si>
    <t>Kingston upon Hull City of</t>
  </si>
  <si>
    <t>Chelmer Training Limited</t>
  </si>
  <si>
    <t>Havering</t>
  </si>
  <si>
    <t>Cheynes Training</t>
  </si>
  <si>
    <t>Croydon</t>
  </si>
  <si>
    <t>Children's Links</t>
  </si>
  <si>
    <t>Chiltern Training Limited</t>
  </si>
  <si>
    <t>Choices 4 All</t>
  </si>
  <si>
    <t>National Construction College</t>
  </si>
  <si>
    <t>Clarkson Evans Limited</t>
  </si>
  <si>
    <t>The College of Animal Welfare Limited</t>
  </si>
  <si>
    <t>Community Training Services Limited</t>
  </si>
  <si>
    <t>The Cornwall Council</t>
  </si>
  <si>
    <t>Cornwall</t>
  </si>
  <si>
    <t>City of London Adult Community Learning</t>
  </si>
  <si>
    <t>Coventry City Council</t>
  </si>
  <si>
    <t>Crackerjack Training Limited</t>
  </si>
  <si>
    <t>CSM Consulting Limited</t>
  </si>
  <si>
    <t>Somerset</t>
  </si>
  <si>
    <t>CSWP</t>
  </si>
  <si>
    <t>Cumbria County Council</t>
  </si>
  <si>
    <t>Cumbria</t>
  </si>
  <si>
    <t>Coventry and Warwickshire Chambers of Commerce Training Limited</t>
  </si>
  <si>
    <t>DART Limited</t>
  </si>
  <si>
    <t>Damar Limited</t>
  </si>
  <si>
    <t>Darlington Borough Council</t>
  </si>
  <si>
    <t>Darlington</t>
  </si>
  <si>
    <t>Davidson Training UK Limited</t>
  </si>
  <si>
    <t>Defence Equipment &amp; Support, Defence Munitions (DM) Gosport</t>
  </si>
  <si>
    <t>Derby Skillbuild</t>
  </si>
  <si>
    <t>Developing Initiatives for Support in the Community</t>
  </si>
  <si>
    <t>Devon County Council Adult and Community Learning</t>
  </si>
  <si>
    <t>Devon</t>
  </si>
  <si>
    <t>Didac Limited</t>
  </si>
  <si>
    <t>Dimensions Training Solutions Limited</t>
  </si>
  <si>
    <t>D M T Business Services Ltd</t>
  </si>
  <si>
    <t>Boots Opticians Professional Services Limited</t>
  </si>
  <si>
    <t>Doncaster Metropolitan Borough Council</t>
  </si>
  <si>
    <t>Doncaster</t>
  </si>
  <si>
    <t>Adult and Community - reinspection</t>
  </si>
  <si>
    <t>Doncaster Rotherham and District Motor Trades Group Training Association Limited</t>
  </si>
  <si>
    <t>DV8 Training Ltd</t>
  </si>
  <si>
    <t>Waltham Forest</t>
  </si>
  <si>
    <t>E.Quality Training Limited</t>
  </si>
  <si>
    <t>EAGIT Ltd.</t>
  </si>
  <si>
    <t>East London Advanced Technology Training</t>
  </si>
  <si>
    <t>Hackney</t>
  </si>
  <si>
    <t>East Riding of Yorkshire Council</t>
  </si>
  <si>
    <t>East Riding of Yorkshire</t>
  </si>
  <si>
    <t>Bedfordshire &amp; Luton Education Business Partnership</t>
  </si>
  <si>
    <t>Central Bedfordshire</t>
  </si>
  <si>
    <t>Education &amp; Youth Services Limited</t>
  </si>
  <si>
    <t>Education and Training Skills Ltd</t>
  </si>
  <si>
    <t>EEF Limited</t>
  </si>
  <si>
    <t>Elfrida Rathbone (Camden)</t>
  </si>
  <si>
    <t>Camden</t>
  </si>
  <si>
    <t>Adult Community Learning Essex</t>
  </si>
  <si>
    <t>E Training</t>
  </si>
  <si>
    <t>Bromley</t>
  </si>
  <si>
    <t>Expedient Training Services Limited</t>
  </si>
  <si>
    <t>South Tyneside</t>
  </si>
  <si>
    <t>Fareport Training Organisation Limited</t>
  </si>
  <si>
    <t>Finning (UK) Ltd.</t>
  </si>
  <si>
    <t>First College</t>
  </si>
  <si>
    <t>First Rung Limited</t>
  </si>
  <si>
    <t>Enfield</t>
  </si>
  <si>
    <t>Lifetime Training Group Limited</t>
  </si>
  <si>
    <t>Babcock Skills Development And Training Limited</t>
  </si>
  <si>
    <t>FNTC Training and Consultancy Limited</t>
  </si>
  <si>
    <t>Four Counties Training Limited</t>
  </si>
  <si>
    <t>Francesco Group (Holdings) Limited</t>
  </si>
  <si>
    <t>Friends Centre</t>
  </si>
  <si>
    <t>Future-Wize Limited</t>
  </si>
  <si>
    <t>G4S Care &amp; Justice Services (UK) Ltd</t>
  </si>
  <si>
    <t>Gateshead Council</t>
  </si>
  <si>
    <t>G B Training (UK) Ltd</t>
  </si>
  <si>
    <t>GenII Engineering &amp; Technology Training Limited</t>
  </si>
  <si>
    <t>GP Strategies Training Limited</t>
  </si>
  <si>
    <t>GHQ Training Limited</t>
  </si>
  <si>
    <t>Gordon Franks Training Limited</t>
  </si>
  <si>
    <t>G.R. &amp; M.M. Blackledge PLC</t>
  </si>
  <si>
    <t>Greenbank Project (The)</t>
  </si>
  <si>
    <t>Haddon Training Limited</t>
  </si>
  <si>
    <t>Hair and Beauty Industry Training Limited</t>
  </si>
  <si>
    <t>Hair Academy South West Limited</t>
  </si>
  <si>
    <t>Halton Borough Council</t>
  </si>
  <si>
    <t>Halton</t>
  </si>
  <si>
    <t>Hampshire County Council</t>
  </si>
  <si>
    <t>Harrogate Training Services</t>
  </si>
  <si>
    <t>Hartlepool Borough Council</t>
  </si>
  <si>
    <t>Hartlepool</t>
  </si>
  <si>
    <t>Hawk Management (UK) Limited</t>
  </si>
  <si>
    <t>Richmond Upon Thames</t>
  </si>
  <si>
    <t>Haydon Training Services Limited</t>
  </si>
  <si>
    <t>Head to Head Training</t>
  </si>
  <si>
    <t>Hounslow</t>
  </si>
  <si>
    <t>The Headmasters Partnership Limited</t>
  </si>
  <si>
    <t>Kingston Upon Thames</t>
  </si>
  <si>
    <t>Heart of England Training Limited</t>
  </si>
  <si>
    <t>Warwickshire</t>
  </si>
  <si>
    <t>Heathercroft Training Services Limited</t>
  </si>
  <si>
    <t>Herefordshire Group Training Association Limited</t>
  </si>
  <si>
    <t>Hill Holt Wood</t>
  </si>
  <si>
    <t>Hillingdon Training Limited</t>
  </si>
  <si>
    <t>Hillingdon</t>
  </si>
  <si>
    <t>Honda Motor Europe Limited</t>
  </si>
  <si>
    <t>Hospitality Training Partnership (IOW) Limited</t>
  </si>
  <si>
    <t>Huddersfield Textile Training Limited</t>
  </si>
  <si>
    <t>Hudson &amp; Hughes Training Limited</t>
  </si>
  <si>
    <t>Hull Business Training Centre Limited</t>
  </si>
  <si>
    <t>Kingston Upon Hull City Council</t>
  </si>
  <si>
    <t>Humberside Engineering Training Association Limited</t>
  </si>
  <si>
    <t>HYA Training Limited</t>
  </si>
  <si>
    <t>Icon Vocational Training Limited</t>
  </si>
  <si>
    <t>Surrey</t>
  </si>
  <si>
    <t>Igen Limited</t>
  </si>
  <si>
    <t>Independent Training Services Limited</t>
  </si>
  <si>
    <t>Intec Business Colleges Limited</t>
  </si>
  <si>
    <t>Inter Training Services Limited</t>
  </si>
  <si>
    <t>Introtrain (ACE) Limited</t>
  </si>
  <si>
    <t>Intuitions Limited</t>
  </si>
  <si>
    <t>IPS International Limited</t>
  </si>
  <si>
    <t>Medway</t>
  </si>
  <si>
    <t>ISIS Training Services Limited</t>
  </si>
  <si>
    <t>Adult and Community Learning Service, Isle of Wight Council</t>
  </si>
  <si>
    <t>Council of the Isles of Scilly</t>
  </si>
  <si>
    <t>Isles of Scilly</t>
  </si>
  <si>
    <t>ITEC North East Limited</t>
  </si>
  <si>
    <t>ITS Training Ltd</t>
  </si>
  <si>
    <t>Suffolk</t>
  </si>
  <si>
    <t>Janard Training and Assessment Centre Limited</t>
  </si>
  <si>
    <t>Jarvis Training Management Limited</t>
  </si>
  <si>
    <t>The JGA Group</t>
  </si>
  <si>
    <t>Jobwise Training Limited</t>
  </si>
  <si>
    <t>John Laing Training Limited</t>
  </si>
  <si>
    <t>JANCETT CHILDCARE &amp; JACE TRAINING LIMITED</t>
  </si>
  <si>
    <t>Sutton</t>
  </si>
  <si>
    <t>Joint Learning Partnership Limited</t>
  </si>
  <si>
    <t>JTL</t>
  </si>
  <si>
    <t>Juniper Training Limited</t>
  </si>
  <si>
    <t>K &amp; G HAIR LLP</t>
  </si>
  <si>
    <t>Kent Community Learning and Skills</t>
  </si>
  <si>
    <t>Keits Training Services Ltd</t>
  </si>
  <si>
    <t>KETTERING BOROUGH COUNCIL</t>
  </si>
  <si>
    <t>Key Training Limited</t>
  </si>
  <si>
    <t>Kingsbury Training Centre Limited</t>
  </si>
  <si>
    <t>Kirkdale Industrial Training Services Limited</t>
  </si>
  <si>
    <t>Kirklees Council  Adult and Community Learning</t>
  </si>
  <si>
    <t>Knowsley Metropolitan Borough Council</t>
  </si>
  <si>
    <t>Knowsley</t>
  </si>
  <si>
    <t>Kwik-Fit (GB) Limited</t>
  </si>
  <si>
    <t>LAGAT Limited</t>
  </si>
  <si>
    <t>Lancashire Adult Learning</t>
  </si>
  <si>
    <t>Lancaster Training Services Limited</t>
  </si>
  <si>
    <t>JAGUAR LAND ROVER HOLDINGS LIMITED</t>
  </si>
  <si>
    <t>Languages Training and Development</t>
  </si>
  <si>
    <t>League Football Education</t>
  </si>
  <si>
    <t>Social Enterprise Kent CIC</t>
  </si>
  <si>
    <t>V Learning Net</t>
  </si>
  <si>
    <t>Leeds City Council</t>
  </si>
  <si>
    <t>Leicester Adult Skills &amp; Learning</t>
  </si>
  <si>
    <t>Leicester</t>
  </si>
  <si>
    <t>Leicestershire County Council</t>
  </si>
  <si>
    <t>Leicestershire</t>
  </si>
  <si>
    <t>Leisure Connection Limited</t>
  </si>
  <si>
    <t>Bedford</t>
  </si>
  <si>
    <t>Leslie Frances (Hair Fashions) Limited</t>
  </si>
  <si>
    <t>Lifeskills Solutions Limited</t>
  </si>
  <si>
    <t>TheLightbulb Ltd</t>
  </si>
  <si>
    <t>Lincolnshire County Council</t>
  </si>
  <si>
    <t>Lite (Stockport) Limited</t>
  </si>
  <si>
    <t>L.I.T.S. Limited</t>
  </si>
  <si>
    <t>Liverpool City Council</t>
  </si>
  <si>
    <t>Locomotivation Ltd.</t>
  </si>
  <si>
    <t>Poole</t>
  </si>
  <si>
    <t>Adult College of Barking and Dagenham</t>
  </si>
  <si>
    <t>Barking and Dagenham</t>
  </si>
  <si>
    <t>BEXLEY LONDON BOROUGH COUNCIL</t>
  </si>
  <si>
    <t>Brent Adult and Community Education Service</t>
  </si>
  <si>
    <t>Bromley London Borough Council</t>
  </si>
  <si>
    <t>Camden London Borough Council</t>
  </si>
  <si>
    <t>Croydon London Borough Council</t>
  </si>
  <si>
    <t>Enfield London Borough Council</t>
  </si>
  <si>
    <t>Royal Borough of Greenwich</t>
  </si>
  <si>
    <t>Greenwich</t>
  </si>
  <si>
    <t>Hammersmith and Fulham Adult Learning and Skills Service</t>
  </si>
  <si>
    <t>Haringey London Borough Council</t>
  </si>
  <si>
    <t>Havering London Borough Council</t>
  </si>
  <si>
    <t>Hillingdon London Borough Council</t>
  </si>
  <si>
    <t>Hounslow Adult and Community Education</t>
  </si>
  <si>
    <t>Adult &amp; Community Learning Service, Islington London Borough Council</t>
  </si>
  <si>
    <t xml:space="preserve"> Lambeth London Borough Council</t>
  </si>
  <si>
    <t>Lewisham London Borough Council</t>
  </si>
  <si>
    <t>Lewisham</t>
  </si>
  <si>
    <t>London Borough of Newham: Adult Learning Service</t>
  </si>
  <si>
    <t>Redbridge Institute of Adult Education</t>
  </si>
  <si>
    <t>Richmond Upon Thames Borough Council</t>
  </si>
  <si>
    <t>Southwark Adult Learning Service</t>
  </si>
  <si>
    <t>Sutton London Borough Council</t>
  </si>
  <si>
    <t>Tower Hamlets Lifelong Learning Service</t>
  </si>
  <si>
    <t>Tower Hamlets</t>
  </si>
  <si>
    <t>WALTHAM FOREST LONDON BOROUGH COUNCIL</t>
  </si>
  <si>
    <t>Wandsworth London Borough Council</t>
  </si>
  <si>
    <t>Wandsworth</t>
  </si>
  <si>
    <t>The London College of Beauty Therapy Limited</t>
  </si>
  <si>
    <t>London Electronics College Limited</t>
  </si>
  <si>
    <t>Kensington and Chelsea</t>
  </si>
  <si>
    <t>Luton Borough Council</t>
  </si>
  <si>
    <t>Luton</t>
  </si>
  <si>
    <t>Manchester City Council</t>
  </si>
  <si>
    <t>Manchester</t>
  </si>
  <si>
    <t>Economic Solutions</t>
  </si>
  <si>
    <t>Economic Solutions Limited (Manchester Solutions)</t>
  </si>
  <si>
    <t>Mantra Learning Limited</t>
  </si>
  <si>
    <t>Oldham</t>
  </si>
  <si>
    <t>Manor Training and Resource Centre Limited</t>
  </si>
  <si>
    <t>Marson Garages (Wolstanton) Limited</t>
  </si>
  <si>
    <t>Matrix Training and Development Limited</t>
  </si>
  <si>
    <t>McArthur Dean Training Limited</t>
  </si>
  <si>
    <t>McDonald's Restaurants Limited</t>
  </si>
  <si>
    <t>Barnet</t>
  </si>
  <si>
    <t>Medway Council</t>
  </si>
  <si>
    <t>Mercia Partnership (UK) Ltd</t>
  </si>
  <si>
    <t>Merton Borough Council</t>
  </si>
  <si>
    <t>Merton</t>
  </si>
  <si>
    <t>METSKILL Limited</t>
  </si>
  <si>
    <t>Michael John Training Manchester</t>
  </si>
  <si>
    <t>Midland Group Training Services Limited</t>
  </si>
  <si>
    <t>Youngsave Company Limited</t>
  </si>
  <si>
    <t>Milton Keynes Christian Foundation Limited</t>
  </si>
  <si>
    <t>Doosan Babcock Limited</t>
  </si>
  <si>
    <t>Mobile Care Qualifications Limited</t>
  </si>
  <si>
    <t>Morthyng Group Limited</t>
  </si>
  <si>
    <t>M I T Skills Limited</t>
  </si>
  <si>
    <t>N &amp; B. Training Company Limited</t>
  </si>
  <si>
    <t>National Business College Limited</t>
  </si>
  <si>
    <t>Young Epilepsy</t>
  </si>
  <si>
    <t>Independent specialist college</t>
  </si>
  <si>
    <t>ISC - full inspection</t>
  </si>
  <si>
    <t>ISC - Satisfactory</t>
  </si>
  <si>
    <t>National Grid PLC</t>
  </si>
  <si>
    <t>National Tyre Service Limited</t>
  </si>
  <si>
    <t>Network Rail Infrastructure Limited</t>
  </si>
  <si>
    <t>Newcastle upon Tyne City Council</t>
  </si>
  <si>
    <t>Newham Training and Education Centre</t>
  </si>
  <si>
    <t>NITAL</t>
  </si>
  <si>
    <t>NLT Training Services Ltd</t>
  </si>
  <si>
    <t>NCC Adult Education Services</t>
  </si>
  <si>
    <t>Norfolk Training Services Limited</t>
  </si>
  <si>
    <t>Westward Pathfinder</t>
  </si>
  <si>
    <t>North East Chamber of Commerce, Trade and Industry</t>
  </si>
  <si>
    <t>North East Employment &amp; Training Agency Ltd</t>
  </si>
  <si>
    <t>North East Lincolnshire Council</t>
  </si>
  <si>
    <t>North East Lincolnshire</t>
  </si>
  <si>
    <t>North Lancs. Training Group Limited(The)</t>
  </si>
  <si>
    <t>North Lincolnshire Council</t>
  </si>
  <si>
    <t>North Lincolnshire</t>
  </si>
  <si>
    <t>North Tyneside Metropolitan Borough Council</t>
  </si>
  <si>
    <t>North West Community Services Training Ltd</t>
  </si>
  <si>
    <t>North West Training Council</t>
  </si>
  <si>
    <t>The Northumberland Council</t>
  </si>
  <si>
    <t>Nottingham City Council</t>
  </si>
  <si>
    <t>NHTA Limited</t>
  </si>
  <si>
    <t>Nottinghamshire County Council</t>
  </si>
  <si>
    <t>Nova Training</t>
  </si>
  <si>
    <t>Nova Recruitment Services Limited</t>
  </si>
  <si>
    <t>Nuneaton Training Centre Limited</t>
  </si>
  <si>
    <t>lookfantastic Training Limited</t>
  </si>
  <si>
    <t>Oakmere Community College</t>
  </si>
  <si>
    <t>Oldham Engineering Group Training Association Limited (The)</t>
  </si>
  <si>
    <t>Oldham Metropolitan Borough Council</t>
  </si>
  <si>
    <t>Omega Training Services Limited</t>
  </si>
  <si>
    <t>Open Door Adult Learning Centre</t>
  </si>
  <si>
    <t>Oracle Training Consultants Limited</t>
  </si>
  <si>
    <t>Ethnic Minority Business Service</t>
  </si>
  <si>
    <t>Paragon Education &amp; Skills Limited</t>
  </si>
  <si>
    <t>Bournemouth</t>
  </si>
  <si>
    <t>Nottingham amd Nottinghamshire Futures</t>
  </si>
  <si>
    <t>PDM Training &amp; Consultancy Limited</t>
  </si>
  <si>
    <t>PETA Limited</t>
  </si>
  <si>
    <t>Portsmouth</t>
  </si>
  <si>
    <t>City College Peterborough</t>
  </si>
  <si>
    <t>Peterborough</t>
  </si>
  <si>
    <t>PGL Training (Plumbing) Limited</t>
  </si>
  <si>
    <t>Philips Hair Salons Limited</t>
  </si>
  <si>
    <t>Wakefield</t>
  </si>
  <si>
    <t>Pilot IMS Limited</t>
  </si>
  <si>
    <t>Plymouth Adult &amp; Community Learning Service</t>
  </si>
  <si>
    <t>Skills and Learning: Bournemouth, Dorset and Poole</t>
  </si>
  <si>
    <t>Portsmouth City Council</t>
  </si>
  <si>
    <t>Positive Outcomes Ltd</t>
  </si>
  <si>
    <t>Poultec Training Limited</t>
  </si>
  <si>
    <t>ProCo NW Limited</t>
  </si>
  <si>
    <t>Wigan</t>
  </si>
  <si>
    <t>Professional Business &amp; Training Solutions Limited</t>
  </si>
  <si>
    <t>Project Management (Staffordshire) Limited</t>
  </si>
  <si>
    <t>Prospect Training Organisations Limited</t>
  </si>
  <si>
    <t>Prospect Training Services (Gloucester) Limited</t>
  </si>
  <si>
    <t>Prospects Learning Foundation Limited</t>
  </si>
  <si>
    <t>Prostart Training</t>
  </si>
  <si>
    <t>Protocol Consultancy Services</t>
  </si>
  <si>
    <t>Skills to Group Limited</t>
  </si>
  <si>
    <t>QA Limited</t>
  </si>
  <si>
    <t>Slough</t>
  </si>
  <si>
    <t>Qinetiq Limited</t>
  </si>
  <si>
    <t>QUBE Qualifications and Development Limited</t>
  </si>
  <si>
    <t>Rathbone Training</t>
  </si>
  <si>
    <t>New Directions - The Learning and Employment Service for Reading</t>
  </si>
  <si>
    <t>Redcar &amp; Cleveland Adult Learning Service</t>
  </si>
  <si>
    <t>Redcar and Cleveland</t>
  </si>
  <si>
    <t>Reed in Partnership Limited</t>
  </si>
  <si>
    <t>Reflections Training Academy</t>
  </si>
  <si>
    <t>Rewards Training Recruitment Consultancy Limited</t>
  </si>
  <si>
    <t>Riverside Training Limited</t>
  </si>
  <si>
    <t>2005/2006</t>
  </si>
  <si>
    <t>Rochdale Training Association Limited</t>
  </si>
  <si>
    <t>Rochdale</t>
  </si>
  <si>
    <t>Rocket Training Limited</t>
  </si>
  <si>
    <t>Rolls-Royce PLC</t>
  </si>
  <si>
    <t>Rolls-Royce Power Engineering PLC</t>
  </si>
  <si>
    <t>Roots and Shoots</t>
  </si>
  <si>
    <t>Ministry of Defence (RAF)</t>
  </si>
  <si>
    <t>Royal Borough of Kensington and Chelsea Council</t>
  </si>
  <si>
    <t>Royal Borough of Kingston upon Thames Council</t>
  </si>
  <si>
    <t>Catch 22 Charity Limited</t>
  </si>
  <si>
    <t>Rutland County Council</t>
  </si>
  <si>
    <t>Rutland</t>
  </si>
  <si>
    <t>RWP Training Limited</t>
  </si>
  <si>
    <t>S &amp; B Automotive Academy Limited</t>
  </si>
  <si>
    <t>Safe in Tees Valley Limited</t>
  </si>
  <si>
    <t>SAKS (Education) Limited</t>
  </si>
  <si>
    <t>Salford and Trafford Engineering Group Training Association Limited</t>
  </si>
  <si>
    <t>Trafford</t>
  </si>
  <si>
    <t>Sandwell Metropolitan Borough Council</t>
  </si>
  <si>
    <t>Sandwell Training Association Limited</t>
  </si>
  <si>
    <t>SBC Training Limited</t>
  </si>
  <si>
    <t>Shropshire</t>
  </si>
  <si>
    <t>Sefton Metropolitan Borough Council</t>
  </si>
  <si>
    <t>Seleta Training and Personnel Services Limited</t>
  </si>
  <si>
    <t>Serco Limited</t>
  </si>
  <si>
    <t>Shape Accredited Training Centre</t>
  </si>
  <si>
    <t>Sheffield City Council</t>
  </si>
  <si>
    <t>County Training</t>
  </si>
  <si>
    <t>Skegness College of Vocational Training Limited</t>
  </si>
  <si>
    <t>Skillnet Limited</t>
  </si>
  <si>
    <t>The Skills Partnership Limited</t>
  </si>
  <si>
    <t>Skills Training UK Limited</t>
  </si>
  <si>
    <t>Slough Borough Council</t>
  </si>
  <si>
    <t>Smart Training and Recruitment Limited</t>
  </si>
  <si>
    <t>Somerset Skills &amp; Learning</t>
  </si>
  <si>
    <t>South Tyneside Council</t>
  </si>
  <si>
    <t>S.W. Durham Training Limited</t>
  </si>
  <si>
    <t>South West Regional Assessment Centre Limited</t>
  </si>
  <si>
    <t>S.Y.T.G. Limited</t>
  </si>
  <si>
    <t>Northern Racing College</t>
  </si>
  <si>
    <t>Southampton City Council</t>
  </si>
  <si>
    <t>Southampton</t>
  </si>
  <si>
    <t>SETA</t>
  </si>
  <si>
    <t>Southend-on-Sea Borough Council</t>
  </si>
  <si>
    <t>Span Training &amp; Development Limited</t>
  </si>
  <si>
    <t>Springfields Fuels Limited</t>
  </si>
  <si>
    <t>St Helens Chamber Limited</t>
  </si>
  <si>
    <t>St. Helens</t>
  </si>
  <si>
    <t>St Helens Metropolitan Borough Council</t>
  </si>
  <si>
    <t>Staffordshire County Council</t>
  </si>
  <si>
    <t>Stockport Engineering Training Association Limited(The)</t>
  </si>
  <si>
    <t>Tees Achieve</t>
  </si>
  <si>
    <t>STOKE-ON-TRENT UNITARY AUTHORITY</t>
  </si>
  <si>
    <t>Straight A Training Limited</t>
  </si>
  <si>
    <t>Strategic Training Solutions (Mansfield) Limited</t>
  </si>
  <si>
    <t>Stubbing Court Training Limited</t>
  </si>
  <si>
    <t>Suffolk County Council</t>
  </si>
  <si>
    <t>Summerhouse Equestrian and Training Centre LLP</t>
  </si>
  <si>
    <t>Sunderland City Metropolitan Borough Council</t>
  </si>
  <si>
    <t>Sunderland Engineering Training Association Limited</t>
  </si>
  <si>
    <t>Surrey County Council</t>
  </si>
  <si>
    <t>Sutton and District Training Limited</t>
  </si>
  <si>
    <t>Swarthmore Education Centre</t>
  </si>
  <si>
    <t>SWINDON UNITARY AUTHORITY</t>
  </si>
  <si>
    <t>Swindon</t>
  </si>
  <si>
    <t>Brighter Futures Merseyside Limited</t>
  </si>
  <si>
    <t>System Group Limited</t>
  </si>
  <si>
    <t>Tameside Metropolitan Borough Council</t>
  </si>
  <si>
    <t>Tameside</t>
  </si>
  <si>
    <t>Targeted Training Projects Limited</t>
  </si>
  <si>
    <t>TDR Training Limited</t>
  </si>
  <si>
    <t>Team Wearside Limited</t>
  </si>
  <si>
    <t>TELFORD AND WREKIN BOROUGH COUNCIL</t>
  </si>
  <si>
    <t>Tesco Stores Limited</t>
  </si>
  <si>
    <t>The Academy Hair &amp; Beauty Ltd</t>
  </si>
  <si>
    <t>Ministry of Defence (Army)</t>
  </si>
  <si>
    <t>The Bassetlaw Training Agency Limited</t>
  </si>
  <si>
    <t>Kaplan Financial Limited</t>
  </si>
  <si>
    <t>The Football Association Premier League Limited</t>
  </si>
  <si>
    <t>Harington Scheme Limited(The)</t>
  </si>
  <si>
    <t>Maritime + Engineering College North West</t>
  </si>
  <si>
    <t>Wirral</t>
  </si>
  <si>
    <t>The Learning Curve</t>
  </si>
  <si>
    <t>The Motor Insurance Repair Research Centre</t>
  </si>
  <si>
    <t>The Reynolds Group Limited</t>
  </si>
  <si>
    <t>The Virtual College</t>
  </si>
  <si>
    <t>The Vocational College Limited</t>
  </si>
  <si>
    <t>Yorkshire College of Beauty Limited</t>
  </si>
  <si>
    <t>Pertemps People Development Group Limited</t>
  </si>
  <si>
    <t>Thurrock Adult Community College</t>
  </si>
  <si>
    <t>Thurrock</t>
  </si>
  <si>
    <t>Aspire Training Team Limited - Tops Day Nursery</t>
  </si>
  <si>
    <t>Total People Limited</t>
  </si>
  <si>
    <t>Cheshire East</t>
  </si>
  <si>
    <t>Training 2000 Limited</t>
  </si>
  <si>
    <t>The Training &amp; Learning Company</t>
  </si>
  <si>
    <t>The Training &amp; Recruitment Partnership Limited</t>
  </si>
  <si>
    <t>Talent Training (UK) LLP</t>
  </si>
  <si>
    <t>Training Services 2000 Ltd</t>
  </si>
  <si>
    <t>Waltham Forest Chamber of Commerce Training Trust Limited</t>
  </si>
  <si>
    <t>The TTE Technical Training Group</t>
  </si>
  <si>
    <t>TTE Training Limited</t>
  </si>
  <si>
    <t>Cheshire West and Chester</t>
  </si>
  <si>
    <t>Tui UK Limited</t>
  </si>
  <si>
    <t>Tyne North Training Limited</t>
  </si>
  <si>
    <t>Learndirect Limited</t>
  </si>
  <si>
    <t>UK Training &amp; Development Limited</t>
  </si>
  <si>
    <t>Venture Learning Limited</t>
  </si>
  <si>
    <t>Visage School of Beauty Therapy Limited</t>
  </si>
  <si>
    <t>Vodafone Limited</t>
  </si>
  <si>
    <t>Babcock Training Limited</t>
  </si>
  <si>
    <t>Wakefield Metropolitan District Council</t>
  </si>
  <si>
    <t>Walsall Adult And Community College</t>
  </si>
  <si>
    <t>Warrington Borough Council</t>
  </si>
  <si>
    <t>Warrington</t>
  </si>
  <si>
    <t>Warwickshire County Council</t>
  </si>
  <si>
    <t>Waverley Training Services</t>
  </si>
  <si>
    <t>Webs Training Limited</t>
  </si>
  <si>
    <t>Weir Training Limited</t>
  </si>
  <si>
    <t>West Anglia Training Association Limited</t>
  </si>
  <si>
    <t>West Berkshire Council</t>
  </si>
  <si>
    <t>West Berkshire Training Consortium</t>
  </si>
  <si>
    <t>Westminster City Council</t>
  </si>
  <si>
    <t>Whitbread PLC</t>
  </si>
  <si>
    <t>Wigan Metropolitan Borough Council</t>
  </si>
  <si>
    <t>Wirral Metropolitan Borough Council</t>
  </si>
  <si>
    <t>Wolverhampton Adult Education Service</t>
  </si>
  <si>
    <t>Women's Technology Training Limited</t>
  </si>
  <si>
    <t>Worcestershire County Council</t>
  </si>
  <si>
    <t>W S Training Ltd.</t>
  </si>
  <si>
    <t>Wiltshire Transport Training &amp; Development Limited</t>
  </si>
  <si>
    <t>Barford Education and Training (North East) Limited</t>
  </si>
  <si>
    <t>Ashton Wigan &amp; District YMCA</t>
  </si>
  <si>
    <t>YH Training Services Limited</t>
  </si>
  <si>
    <t>City of York Council</t>
  </si>
  <si>
    <t>York</t>
  </si>
  <si>
    <t>Ingeus Training Limited</t>
  </si>
  <si>
    <t>Barchester Healthcare Limited</t>
  </si>
  <si>
    <t>TCV Employment &amp; Training Services</t>
  </si>
  <si>
    <t>Hoople Ltd</t>
  </si>
  <si>
    <t>Platinum Employment Advice &amp; Training Limited</t>
  </si>
  <si>
    <t>Unique Training North East Limited</t>
  </si>
  <si>
    <t>Starting Off (Northampton) Limited</t>
  </si>
  <si>
    <t>YMCA Training</t>
  </si>
  <si>
    <t>Aspiration Training Limited</t>
  </si>
  <si>
    <t>British Telecommunications PLC</t>
  </si>
  <si>
    <t>Fashion Retail Academy</t>
  </si>
  <si>
    <t>HIT Training Ltd</t>
  </si>
  <si>
    <t>ID Training</t>
  </si>
  <si>
    <t>Learning Curve (JAA) Limited</t>
  </si>
  <si>
    <t>Pearson PLC</t>
  </si>
  <si>
    <t>Sheffield Independent Film and Television Limited</t>
  </si>
  <si>
    <t>Slough Pit Stop Project Limited</t>
  </si>
  <si>
    <t>TOYOTA(G.B.) PLC</t>
  </si>
  <si>
    <t>West Yorkshire Learning Providers Ltd</t>
  </si>
  <si>
    <t>Yorkshire Training Partnership Limited</t>
  </si>
  <si>
    <t>Anne Clarke Associates Limited</t>
  </si>
  <si>
    <t>The Derbyshire Network</t>
  </si>
  <si>
    <t>EXG Ltd (trading as Exchange Group)</t>
  </si>
  <si>
    <t>Nottinghamshire Training Network</t>
  </si>
  <si>
    <t>Buzz Learning Limited</t>
  </si>
  <si>
    <t>Train'd Up Railway Resourcing Limited</t>
  </si>
  <si>
    <t>TQ Workforce Development Limited</t>
  </si>
  <si>
    <t>Blue Training (U.K.) Limited</t>
  </si>
  <si>
    <t>HSBC Bank PLC</t>
  </si>
  <si>
    <t>Capita PLC</t>
  </si>
  <si>
    <t>England and Wales Cricket Board Limited</t>
  </si>
  <si>
    <t>Veolia Environnement Development Centre Limited</t>
  </si>
  <si>
    <t>Institute of Swimming Limited</t>
  </si>
  <si>
    <t>Lawn Tennis Association Limited</t>
  </si>
  <si>
    <t>Thomas Cook Group UK Limited</t>
  </si>
  <si>
    <t>Citroen U.K. Limited</t>
  </si>
  <si>
    <t>Finmeccanica UK Limited</t>
  </si>
  <si>
    <t>Start Training Ltd</t>
  </si>
  <si>
    <t>Salford</t>
  </si>
  <si>
    <t>Voyage Group Limited</t>
  </si>
  <si>
    <t>BHS Limited</t>
  </si>
  <si>
    <t>Superdrug Stores PLC</t>
  </si>
  <si>
    <t>Health &amp; Safety Training Limited</t>
  </si>
  <si>
    <t>Baltic Training Services Limited</t>
  </si>
  <si>
    <t>YMCA Derbyshire</t>
  </si>
  <si>
    <t>Your Consortium Limited</t>
  </si>
  <si>
    <t>Aurelia Training Limited</t>
  </si>
  <si>
    <t>Progress to Excellence Ltd</t>
  </si>
  <si>
    <t>Performance Through People</t>
  </si>
  <si>
    <t>XTP International Limited</t>
  </si>
  <si>
    <t>Steadfast Training Ltd</t>
  </si>
  <si>
    <t>The Learning Partnership - Bedfordshire and Luton Limited</t>
  </si>
  <si>
    <t>KATS Ltd</t>
  </si>
  <si>
    <t>Skills Team Ltd</t>
  </si>
  <si>
    <t>Mainstream Training Limited</t>
  </si>
  <si>
    <t>Beckett Corporation Limited</t>
  </si>
  <si>
    <t>MI ComputSolutions Incorporated</t>
  </si>
  <si>
    <t>The Voluntary and Community Sector Learning and Skills Consortium</t>
  </si>
  <si>
    <t>Romney Resource 2000 Ltd</t>
  </si>
  <si>
    <t>Asphaleia Limited</t>
  </si>
  <si>
    <t>Phones 4U Limited</t>
  </si>
  <si>
    <t>QDOS Training Limited</t>
  </si>
  <si>
    <t>North Liverpool Regeneration Company Ltd</t>
  </si>
  <si>
    <t>Ministry of Defence (Navy)</t>
  </si>
  <si>
    <t>Skills for Health Limited</t>
  </si>
  <si>
    <t>Skillspoint</t>
  </si>
  <si>
    <t>Mercedes-Benz UK Limited</t>
  </si>
  <si>
    <t>Manchester International College</t>
  </si>
  <si>
    <t>Profound Services Limited</t>
  </si>
  <si>
    <t>The VIA Partnership Limited</t>
  </si>
  <si>
    <t>BSS</t>
  </si>
  <si>
    <t>Inspire 2 Independence (I2I) Ltd</t>
  </si>
  <si>
    <t>Exemplas Holdings Limited</t>
  </si>
  <si>
    <t>Prevista Ltd</t>
  </si>
  <si>
    <t>Team Enterprises Limited</t>
  </si>
  <si>
    <t>Liverpool Chamber Training Ltd</t>
  </si>
  <si>
    <t>Focus Training &amp; Development Ltd</t>
  </si>
  <si>
    <t>IXION Holdings (Contracts) Limited</t>
  </si>
  <si>
    <t>DH Associates</t>
  </si>
  <si>
    <t>Avant Partnership Limited</t>
  </si>
  <si>
    <t>GK Training Services Limited</t>
  </si>
  <si>
    <t>B2B Engage Limited</t>
  </si>
  <si>
    <t>Outsource Vocational Learning Limited</t>
  </si>
  <si>
    <t>People and Business Development Ltd</t>
  </si>
  <si>
    <t>TIR Training Services Ltd</t>
  </si>
  <si>
    <t>Achieve Through Learning Limited</t>
  </si>
  <si>
    <t>Capital Engineering Group Holdings Ltd</t>
  </si>
  <si>
    <t>Wincanton Group Limited</t>
  </si>
  <si>
    <t>SSE Services PLC</t>
  </si>
  <si>
    <t>Toni &amp; Guy UK Training Limited</t>
  </si>
  <si>
    <t>London Learning Consortium Community Interest Company</t>
  </si>
  <si>
    <t>Retail Motor Industry Training Limited</t>
  </si>
  <si>
    <t>Derbyshire Learning &amp; Development Consortium</t>
  </si>
  <si>
    <t>Humber Learning Consortium</t>
  </si>
  <si>
    <t>First City Training Limited</t>
  </si>
  <si>
    <t>Skills UK Ltd</t>
  </si>
  <si>
    <t>London Skills &amp; Development Network Limited</t>
  </si>
  <si>
    <t>E.ON UK Plc</t>
  </si>
  <si>
    <t>Siemens Public Limited Company</t>
  </si>
  <si>
    <t>Bowling College</t>
  </si>
  <si>
    <t>Surrey Care Trust (The)</t>
  </si>
  <si>
    <t>N.T.S. Limited</t>
  </si>
  <si>
    <t>DHL International (UK) Limited</t>
  </si>
  <si>
    <t>Vector Aerospace International Limited</t>
  </si>
  <si>
    <t>MITIE Group PLC</t>
  </si>
  <si>
    <t>Resources (N E) Limited</t>
  </si>
  <si>
    <t>Compass Group UK &amp; Ireland</t>
  </si>
  <si>
    <t>The Military Preparation College</t>
  </si>
  <si>
    <t>Virgin Media Limited</t>
  </si>
  <si>
    <t>Greater Merseyside Learning Providers' Federation Limited</t>
  </si>
  <si>
    <t>t2 business solutions</t>
  </si>
  <si>
    <t>B &amp; Q PLC</t>
  </si>
  <si>
    <t>Redwood Education and Skills Limited</t>
  </si>
  <si>
    <t>City Gateway</t>
  </si>
  <si>
    <t>Business Impact UK Limited</t>
  </si>
  <si>
    <t>Realise Futures</t>
  </si>
  <si>
    <t>CfBT</t>
  </si>
  <si>
    <t>GMCP</t>
  </si>
  <si>
    <t>Careers South West</t>
  </si>
  <si>
    <t>Prospects Services Ltd</t>
  </si>
  <si>
    <t>Careers Yorkshire and the Humber</t>
  </si>
  <si>
    <t>Interserve (Facilities Management) Ltd</t>
  </si>
  <si>
    <t>ISS UK Limited</t>
  </si>
  <si>
    <t>JD Wetherspoon PLC</t>
  </si>
  <si>
    <t>Nestor Primecare Services Limited</t>
  </si>
  <si>
    <t>Cheshire West and Chester Council</t>
  </si>
  <si>
    <t>Brinsworth Training Limited</t>
  </si>
  <si>
    <t>Market Driven Training Limited</t>
  </si>
  <si>
    <t>Raytheon Professional Services</t>
  </si>
  <si>
    <t>Greenbank Services Limited</t>
  </si>
  <si>
    <t>Travis Perkins PLC</t>
  </si>
  <si>
    <t>Cheshire East Council</t>
  </si>
  <si>
    <t>Spirit Pub Company (Services) Limited</t>
  </si>
  <si>
    <t>Bedfordshire Adult Skills &amp; Community Learning</t>
  </si>
  <si>
    <t>Select Service Partner UK Limited</t>
  </si>
  <si>
    <t>Kentucky Fried Chicken</t>
  </si>
  <si>
    <t>Hays Travel Limited</t>
  </si>
  <si>
    <t>Shaw Trust Limited(The)</t>
  </si>
  <si>
    <t>Beacon Employment</t>
  </si>
  <si>
    <t>Housing 21</t>
  </si>
  <si>
    <t>Staffline Recruitment Limited</t>
  </si>
  <si>
    <t>Tribal</t>
  </si>
  <si>
    <t>Consortium of Vocational and Educational Trainers Limited</t>
  </si>
  <si>
    <t>Enlightenment Partnership Limited</t>
  </si>
  <si>
    <t>Apprenticeships &amp; Training Services Consortium Limited</t>
  </si>
  <si>
    <t>Consortia Training Limited</t>
  </si>
  <si>
    <t>South West Association of Training Providers Limited</t>
  </si>
  <si>
    <t>ESG (Skills) Limited</t>
  </si>
  <si>
    <t>Intercontinental Hotels Group Services Company</t>
  </si>
  <si>
    <t>Priory Central Services Limited</t>
  </si>
  <si>
    <t>ACE Training and Consultancy Limited</t>
  </si>
  <si>
    <t>Be Totally You</t>
  </si>
  <si>
    <t>All Trades Training Limited</t>
  </si>
  <si>
    <t>Release Potential Ltd</t>
  </si>
  <si>
    <t>Training Strategies Ltd.</t>
  </si>
  <si>
    <t>Serco Listening</t>
  </si>
  <si>
    <t>SYSCO BUSINESS SKILLS ACADEMY LIMITED</t>
  </si>
  <si>
    <t>BOSCH AUTOMOTIVE SERVICE SOLUTIONS LTD</t>
  </si>
  <si>
    <t>Henshaw's College</t>
  </si>
  <si>
    <t>ISC - Good</t>
  </si>
  <si>
    <t>ISC - Satisfactory (LARGE) (A)</t>
  </si>
  <si>
    <t>Central Sussex College</t>
  </si>
  <si>
    <t>General further education college/tertiary college</t>
  </si>
  <si>
    <t>FE College - full inspection</t>
  </si>
  <si>
    <t>College Inspection FE - Satisfactory</t>
  </si>
  <si>
    <t>City Lit</t>
  </si>
  <si>
    <t>The Working Men's College</t>
  </si>
  <si>
    <t>The Mary Ward Centre (AE Centre)</t>
  </si>
  <si>
    <t>Greenwich Community College at Plumstead Centre</t>
  </si>
  <si>
    <t>Hackney Community College</t>
  </si>
  <si>
    <t>Ealing, Hammersmith and West London College</t>
  </si>
  <si>
    <t>College Inspection FE - Good</t>
  </si>
  <si>
    <t>City and Islington College</t>
  </si>
  <si>
    <t>Kensington and Chelsea College</t>
  </si>
  <si>
    <t>St Charles Catholic Sixth Form College</t>
  </si>
  <si>
    <t>Sixth form college</t>
  </si>
  <si>
    <t>College Inspection SFC - Good</t>
  </si>
  <si>
    <t>Morley College</t>
  </si>
  <si>
    <t>Lambeth College</t>
  </si>
  <si>
    <t>FE College - reinspection</t>
  </si>
  <si>
    <t>The Marine Society College of the Sea</t>
  </si>
  <si>
    <t>LeSoCo</t>
  </si>
  <si>
    <t>Christ The King Sixth Form College</t>
  </si>
  <si>
    <t>Tower Hamlets College</t>
  </si>
  <si>
    <t>Workers' Educational Association</t>
  </si>
  <si>
    <t>South Thames College</t>
  </si>
  <si>
    <t>Westminster Kingsway College</t>
  </si>
  <si>
    <t>St Francis Xavier Sixth Form College</t>
  </si>
  <si>
    <t>SFC - full inspection</t>
  </si>
  <si>
    <t>College category 1 visit</t>
  </si>
  <si>
    <t>City of Westminster College</t>
  </si>
  <si>
    <t>Barking and Dagenham College</t>
  </si>
  <si>
    <t>Barnet and Southgate College</t>
  </si>
  <si>
    <t>Woodhouse College</t>
  </si>
  <si>
    <t>Bexley College</t>
  </si>
  <si>
    <t>FE College - requires improvement</t>
  </si>
  <si>
    <t>The College of North West London</t>
  </si>
  <si>
    <t>Bromley College of Further and Higher Education</t>
  </si>
  <si>
    <t>Croydon College</t>
  </si>
  <si>
    <t>Coulsdon Sixth Form College</t>
  </si>
  <si>
    <t>SFC - reinspection</t>
  </si>
  <si>
    <t>John Ruskin College</t>
  </si>
  <si>
    <t>Capel Manor College</t>
  </si>
  <si>
    <t>Specialist further education</t>
  </si>
  <si>
    <t>College Inspection Other - Good</t>
  </si>
  <si>
    <t>The College of Haringey, Enfield and North East London</t>
  </si>
  <si>
    <t>Stanmore College</t>
  </si>
  <si>
    <t>St Dominic's Sixth Form College</t>
  </si>
  <si>
    <t>Havering College of Further and Higher Education</t>
  </si>
  <si>
    <t>Havering Sixth Form College</t>
  </si>
  <si>
    <t>SFC - requires improvement</t>
  </si>
  <si>
    <t>Uxbridge College</t>
  </si>
  <si>
    <t>West Thames College</t>
  </si>
  <si>
    <t>Kingston College</t>
  </si>
  <si>
    <t>Newham College of Further Education</t>
  </si>
  <si>
    <t>Newham Sixth Form College</t>
  </si>
  <si>
    <t>Redbridge College</t>
  </si>
  <si>
    <t>Richmond-upon-Thames College</t>
  </si>
  <si>
    <t>Carshalton College</t>
  </si>
  <si>
    <t>Waltham Forest College</t>
  </si>
  <si>
    <t>Leyton Sixth Form College</t>
  </si>
  <si>
    <t>College Inspection SFC - Satisfactory</t>
  </si>
  <si>
    <t>Sir George Monoux College</t>
  </si>
  <si>
    <t>Bournville College of Further Education</t>
  </si>
  <si>
    <t>South and City College Birmingham</t>
  </si>
  <si>
    <t>Birmingham Metropolitan College</t>
  </si>
  <si>
    <t>Fircroft College of Adult Education</t>
  </si>
  <si>
    <t>Joseph Chamberlain Sixth Form College</t>
  </si>
  <si>
    <t>Cadbury Sixth Form College</t>
  </si>
  <si>
    <t>Henley College Coventry</t>
  </si>
  <si>
    <t>City College Coventry</t>
  </si>
  <si>
    <t>Hereward College of Further Education</t>
  </si>
  <si>
    <t>Dudley College of Technology</t>
  </si>
  <si>
    <t>College Inspection FE - Inadequate</t>
  </si>
  <si>
    <t>Halesowen College</t>
  </si>
  <si>
    <t>King Edward VI College Stourbridge</t>
  </si>
  <si>
    <t>Sandwell College</t>
  </si>
  <si>
    <t>Solihull College</t>
  </si>
  <si>
    <t>Solihull</t>
  </si>
  <si>
    <t>The Sixth Form College, Solihull</t>
  </si>
  <si>
    <t>Walsall College</t>
  </si>
  <si>
    <t>City of Wolverhampton College</t>
  </si>
  <si>
    <t>Knowsley Community College</t>
  </si>
  <si>
    <t>The City of Liverpool College</t>
  </si>
  <si>
    <t>St Helens College</t>
  </si>
  <si>
    <t>Carmel College</t>
  </si>
  <si>
    <t>Hugh Baird College</t>
  </si>
  <si>
    <t>Southport College</t>
  </si>
  <si>
    <t>King George V College</t>
  </si>
  <si>
    <t>Wirral Metropolitan College</t>
  </si>
  <si>
    <t>Birkenhead Sixth Form College</t>
  </si>
  <si>
    <t>Bolton College</t>
  </si>
  <si>
    <t>Bury College</t>
  </si>
  <si>
    <t>Holy Cross College</t>
  </si>
  <si>
    <t>Loreto College</t>
  </si>
  <si>
    <t>Xaverian College</t>
  </si>
  <si>
    <t>The Oldham College</t>
  </si>
  <si>
    <t>Oldham Sixth Form College</t>
  </si>
  <si>
    <t>Hopwood Hall College</t>
  </si>
  <si>
    <t>Salford City College</t>
  </si>
  <si>
    <t>Stockport College</t>
  </si>
  <si>
    <t>Aquinas College</t>
  </si>
  <si>
    <t>Cheadle and Marple Sixth Form College</t>
  </si>
  <si>
    <t>Tameside College</t>
  </si>
  <si>
    <t>Ashton Sixth Form College</t>
  </si>
  <si>
    <t>Trafford College</t>
  </si>
  <si>
    <t>Wigan and Leigh College</t>
  </si>
  <si>
    <t>Winstanley College</t>
  </si>
  <si>
    <t>St John Rigby RC Sixth Form College</t>
  </si>
  <si>
    <t>Barnsley College</t>
  </si>
  <si>
    <t>Northern College for Residential Adult Education Limited</t>
  </si>
  <si>
    <t>Doncaster College</t>
  </si>
  <si>
    <t>Rotherham College of Arts and Technology</t>
  </si>
  <si>
    <t>Dearne Valley College</t>
  </si>
  <si>
    <t>Thomas Rotherham College</t>
  </si>
  <si>
    <t>The Sheffield College</t>
  </si>
  <si>
    <t>Bradford College</t>
  </si>
  <si>
    <t>Shipley College</t>
  </si>
  <si>
    <t>Calderdale College</t>
  </si>
  <si>
    <t>Kirklees College</t>
  </si>
  <si>
    <t>Greenhead College</t>
  </si>
  <si>
    <t>Huddersfield New College</t>
  </si>
  <si>
    <t>Leeds College of Building</t>
  </si>
  <si>
    <t>Leeds College of Art</t>
  </si>
  <si>
    <t>Higher education institution</t>
  </si>
  <si>
    <t>Notre Dame Catholic Sixth Form College</t>
  </si>
  <si>
    <t>Wakefield College</t>
  </si>
  <si>
    <t>New College Pontefract</t>
  </si>
  <si>
    <t>Gateshead College</t>
  </si>
  <si>
    <t>NCG</t>
  </si>
  <si>
    <t>South Tyneside College</t>
  </si>
  <si>
    <t>City of Bath College</t>
  </si>
  <si>
    <t>Bath and North East Somerset</t>
  </si>
  <si>
    <t>Norton Radstock College</t>
  </si>
  <si>
    <t>St Brendan's Sixth Form College</t>
  </si>
  <si>
    <t>Weston College</t>
  </si>
  <si>
    <t>North Somerset</t>
  </si>
  <si>
    <t>Hartlepool College of Further Education</t>
  </si>
  <si>
    <t>Hartlepool Sixth Form College</t>
  </si>
  <si>
    <t>Middlesbrough College</t>
  </si>
  <si>
    <t>Cleveland College of Art and Design</t>
  </si>
  <si>
    <t>Redcar &amp; Cleveland College</t>
  </si>
  <si>
    <t>Prior Pursglove College</t>
  </si>
  <si>
    <t>Stockton Riverside College</t>
  </si>
  <si>
    <t>Stockton Sixth Form College</t>
  </si>
  <si>
    <t>Hull College</t>
  </si>
  <si>
    <t>DWP (Workstep) - inspection</t>
  </si>
  <si>
    <t>Wilberforce College</t>
  </si>
  <si>
    <t>Wyke Sixth Form College</t>
  </si>
  <si>
    <t>East Riding College</t>
  </si>
  <si>
    <t>Bishop Burton College</t>
  </si>
  <si>
    <t>Grimsby Institute of Further and Higher Education</t>
  </si>
  <si>
    <t>Franklin College</t>
  </si>
  <si>
    <t>North Lindsey College</t>
  </si>
  <si>
    <t>John Leggott Sixth Form College</t>
  </si>
  <si>
    <t>Craven College</t>
  </si>
  <si>
    <t>Selby College</t>
  </si>
  <si>
    <t>Scarborough Sixth Form College</t>
  </si>
  <si>
    <t>York College</t>
  </si>
  <si>
    <t>Askham Bryan College</t>
  </si>
  <si>
    <t>Bedford College</t>
  </si>
  <si>
    <t>Central Bedfordshire College</t>
  </si>
  <si>
    <t>Barnfield College</t>
  </si>
  <si>
    <t>Luton Sixth Form College</t>
  </si>
  <si>
    <t>Newbury College</t>
  </si>
  <si>
    <t>Bracknell and Wokingham College</t>
  </si>
  <si>
    <t>East Berkshire College</t>
  </si>
  <si>
    <t>Berkshire College of Agriculture</t>
  </si>
  <si>
    <t>Windsor and Maidenhead</t>
  </si>
  <si>
    <t>Aylesbury College</t>
  </si>
  <si>
    <t>Amersham and Wycombe College</t>
  </si>
  <si>
    <t>Milton Keynes College</t>
  </si>
  <si>
    <t>Cambridge Regional College</t>
  </si>
  <si>
    <t>Huntingdonshire Regional College</t>
  </si>
  <si>
    <t>Peterborough Regional College</t>
  </si>
  <si>
    <t>Hills Road Sixth Form College</t>
  </si>
  <si>
    <t>Long Road Sixth Form College</t>
  </si>
  <si>
    <t>Warrington Collegiate</t>
  </si>
  <si>
    <t>West Cheshire College</t>
  </si>
  <si>
    <t>South Cheshire College</t>
  </si>
  <si>
    <t>Mid-Cheshire College of Further Education</t>
  </si>
  <si>
    <t>Macclesfield College</t>
  </si>
  <si>
    <t xml:space="preserve">Riverside College Halton </t>
  </si>
  <si>
    <t>Reaseheath College</t>
  </si>
  <si>
    <t>Priestley College</t>
  </si>
  <si>
    <t>Sir John Deane's College</t>
  </si>
  <si>
    <t>Cornwall College</t>
  </si>
  <si>
    <t>Truro and Penwith College</t>
  </si>
  <si>
    <t>Kendal College</t>
  </si>
  <si>
    <t>Lakes College - West Cumbria</t>
  </si>
  <si>
    <t>Furness College</t>
  </si>
  <si>
    <t>Carlisle College</t>
  </si>
  <si>
    <t>Barrow-in-Furness Sixth Form College</t>
  </si>
  <si>
    <t>Chesterfield College</t>
  </si>
  <si>
    <t>Exeter College</t>
  </si>
  <si>
    <t>Petroc</t>
  </si>
  <si>
    <t>South Devon College</t>
  </si>
  <si>
    <t>Torbay</t>
  </si>
  <si>
    <t>City College Plymouth</t>
  </si>
  <si>
    <t>Plymouth College of Art</t>
  </si>
  <si>
    <t>Bicton College</t>
  </si>
  <si>
    <t>The Bournemouth and Poole College</t>
  </si>
  <si>
    <t>Weymouth College</t>
  </si>
  <si>
    <t>Dorset</t>
  </si>
  <si>
    <t>Kingston Maurward College</t>
  </si>
  <si>
    <t>Darlington College</t>
  </si>
  <si>
    <t>Bishop Auckland College</t>
  </si>
  <si>
    <t>Derwentside College</t>
  </si>
  <si>
    <t>New College Durham</t>
  </si>
  <si>
    <t>Queen Elizabeth Sixth Form College</t>
  </si>
  <si>
    <t>City College Brighton and Hove</t>
  </si>
  <si>
    <t>Sussex Coast College Hastings</t>
  </si>
  <si>
    <t>Plumpton College</t>
  </si>
  <si>
    <t>Varndean College</t>
  </si>
  <si>
    <t>Brighton Hove and Sussex Sixth Form College</t>
  </si>
  <si>
    <t>Bexhill College</t>
  </si>
  <si>
    <t>South Essex College of Further and  Higher Education</t>
  </si>
  <si>
    <t>Colchester Institute</t>
  </si>
  <si>
    <t>Harlow College</t>
  </si>
  <si>
    <t>Epping Forest College</t>
  </si>
  <si>
    <t>Chelmsford College</t>
  </si>
  <si>
    <t>The Sixth Form College Colchester</t>
  </si>
  <si>
    <t>SEEVIC College</t>
  </si>
  <si>
    <t>Palmer's College</t>
  </si>
  <si>
    <t>Gloucestershire College</t>
  </si>
  <si>
    <t>Cirencester Tertiary College</t>
  </si>
  <si>
    <t>Hartpury College</t>
  </si>
  <si>
    <t>Basingstoke College of Technology</t>
  </si>
  <si>
    <t>Farnborough College of Technology</t>
  </si>
  <si>
    <t>Brockenhurst College</t>
  </si>
  <si>
    <t>Alton College</t>
  </si>
  <si>
    <t>Eastleigh College</t>
  </si>
  <si>
    <t>Fareham College</t>
  </si>
  <si>
    <t>The South Downs College</t>
  </si>
  <si>
    <t>Southampton City College</t>
  </si>
  <si>
    <t>Highbury College</t>
  </si>
  <si>
    <t>Sparsholt College Hampshire</t>
  </si>
  <si>
    <t>Totton College</t>
  </si>
  <si>
    <t>Queen Mary's College</t>
  </si>
  <si>
    <t>Barton Peveril Sixth Form College</t>
  </si>
  <si>
    <t>Havant College</t>
  </si>
  <si>
    <t>The Sixth Form College Farnborough</t>
  </si>
  <si>
    <t>Itchen College</t>
  </si>
  <si>
    <t>St Vincent College</t>
  </si>
  <si>
    <t>Portsmouth College</t>
  </si>
  <si>
    <t>Richard Taunton Sixth Form College</t>
  </si>
  <si>
    <t>Peter Symonds College</t>
  </si>
  <si>
    <t>South Worcestershire  College</t>
  </si>
  <si>
    <t>Herefordshire &amp; Ludlow College</t>
  </si>
  <si>
    <t>Heart of Worcestershire College</t>
  </si>
  <si>
    <t xml:space="preserve">Hereford College of Arts </t>
  </si>
  <si>
    <t>Hereford Sixth Form College</t>
  </si>
  <si>
    <t>Worcester Sixth Form College</t>
  </si>
  <si>
    <t>West Herts College</t>
  </si>
  <si>
    <t>North Hertfordshire College</t>
  </si>
  <si>
    <t>Hertford Regional College</t>
  </si>
  <si>
    <t>Oaklands College</t>
  </si>
  <si>
    <t>The Isle of Wight College</t>
  </si>
  <si>
    <t>North West Kent College of Technology</t>
  </si>
  <si>
    <t>MidKent College</t>
  </si>
  <si>
    <t>K College</t>
  </si>
  <si>
    <t>East Kent College</t>
  </si>
  <si>
    <t>Canterbury College</t>
  </si>
  <si>
    <t>Hadlow College</t>
  </si>
  <si>
    <t>Accrington and Rossendale College</t>
  </si>
  <si>
    <t>Burnley College</t>
  </si>
  <si>
    <t>Blackburn College</t>
  </si>
  <si>
    <t>Lancaster and Morecambe College</t>
  </si>
  <si>
    <t>Nelson and Colne College</t>
  </si>
  <si>
    <t>Blackpool and the Fylde College</t>
  </si>
  <si>
    <t>Preston College</t>
  </si>
  <si>
    <t>Runshaw College</t>
  </si>
  <si>
    <t>Myerscough College</t>
  </si>
  <si>
    <t>The Blackpool Sixth Form College</t>
  </si>
  <si>
    <t>Cardinal Newman College</t>
  </si>
  <si>
    <t>St Mary's College</t>
  </si>
  <si>
    <t>Stephenson College</t>
  </si>
  <si>
    <t>Loughborough College</t>
  </si>
  <si>
    <t>South Leicestershire College</t>
  </si>
  <si>
    <t>Brooksby Melton College</t>
  </si>
  <si>
    <t>Gateway Sixth Form College</t>
  </si>
  <si>
    <t>Wyggeston and Queen Elizabeth I College</t>
  </si>
  <si>
    <t>Regent College</t>
  </si>
  <si>
    <t>Grantham College</t>
  </si>
  <si>
    <t xml:space="preserve">New College Stamford </t>
  </si>
  <si>
    <t>Boston College</t>
  </si>
  <si>
    <t>Lincoln College</t>
  </si>
  <si>
    <t>The College of West Anglia</t>
  </si>
  <si>
    <t>Norwich City College of Further and Higher Education</t>
  </si>
  <si>
    <t>Great Yarmouth College</t>
  </si>
  <si>
    <t>East Norfolk Sixth Form College</t>
  </si>
  <si>
    <t>Paston Sixth Form College</t>
  </si>
  <si>
    <t>Northampton College</t>
  </si>
  <si>
    <t>Tresham College of Further and Higher Education</t>
  </si>
  <si>
    <t>Moulton College</t>
  </si>
  <si>
    <t>Northumberland College</t>
  </si>
  <si>
    <t>New College Nottingham</t>
  </si>
  <si>
    <t>West Nottinghamshire College</t>
  </si>
  <si>
    <t>North Nottinghamshire College</t>
  </si>
  <si>
    <t>Central College Nottingham</t>
  </si>
  <si>
    <t>Bilborough College</t>
  </si>
  <si>
    <t>The Henley College</t>
  </si>
  <si>
    <t>Abingdon and Witney College</t>
  </si>
  <si>
    <t>Ruskin College</t>
  </si>
  <si>
    <t>Telford College of Arts and Technology</t>
  </si>
  <si>
    <t>Walford and North Shropshire College</t>
  </si>
  <si>
    <t>Shrewsbury College of Arts and Technology</t>
  </si>
  <si>
    <t>Shrewsbury Sixth Form College</t>
  </si>
  <si>
    <t>New College Telford</t>
  </si>
  <si>
    <t>Bridgwater College</t>
  </si>
  <si>
    <t>Somerset College of Arts and Technology</t>
  </si>
  <si>
    <t>Yeovil College</t>
  </si>
  <si>
    <t>Strode College</t>
  </si>
  <si>
    <t>Richard Huish College</t>
  </si>
  <si>
    <t>Burton and South Derbyshire College</t>
  </si>
  <si>
    <t>Newcastle-under-Lyme College</t>
  </si>
  <si>
    <t>Stafford College</t>
  </si>
  <si>
    <t>Stoke-on-Trent College</t>
  </si>
  <si>
    <t>City of Stoke-on-Trent Sixth Form College</t>
  </si>
  <si>
    <t>West Suffolk College</t>
  </si>
  <si>
    <t>Lowestoft College</t>
  </si>
  <si>
    <t>Suffolk New College</t>
  </si>
  <si>
    <t>North East Surrey College of Technology</t>
  </si>
  <si>
    <t>Guildford College of Further and Higher Education</t>
  </si>
  <si>
    <t>East Surrey College</t>
  </si>
  <si>
    <t>Brooklands College</t>
  </si>
  <si>
    <t>Godalming College</t>
  </si>
  <si>
    <t>Reigate College</t>
  </si>
  <si>
    <t>Esher College</t>
  </si>
  <si>
    <t>Woking College</t>
  </si>
  <si>
    <t>Strode's College</t>
  </si>
  <si>
    <t>Warwickshire College</t>
  </si>
  <si>
    <t>North Warwickshire and Hinckley College</t>
  </si>
  <si>
    <t>Stratford-upon-Avon College</t>
  </si>
  <si>
    <t>King Edward VI College Nuneaton</t>
  </si>
  <si>
    <t>Northbrook College, Sussex</t>
  </si>
  <si>
    <t>Chichester College</t>
  </si>
  <si>
    <t>Worthing College</t>
  </si>
  <si>
    <t>The College of Richard Collyer In Horsham</t>
  </si>
  <si>
    <t>Swindon College</t>
  </si>
  <si>
    <t>New College Swindon</t>
  </si>
  <si>
    <t xml:space="preserve">City of Bristol College  </t>
  </si>
  <si>
    <t>Richmond Adult Community College</t>
  </si>
  <si>
    <t>City of Sunderland College</t>
  </si>
  <si>
    <t>Beaumont College - A Scope College</t>
  </si>
  <si>
    <t>Condover College Limited</t>
  </si>
  <si>
    <t>ISC - requires improvement</t>
  </si>
  <si>
    <t>East Durham College</t>
  </si>
  <si>
    <t>The David Lewis Centre</t>
  </si>
  <si>
    <t>Leicester College co Freemen's Park Campus</t>
  </si>
  <si>
    <t>Harrow College</t>
  </si>
  <si>
    <t>Bolton Sixth Form College</t>
  </si>
  <si>
    <t>Dilston College of Further Education</t>
  </si>
  <si>
    <t>Communication Specialist College -  Doncaster</t>
  </si>
  <si>
    <t>Education and Services for People with Autism</t>
  </si>
  <si>
    <t>Fairfield Opportunity Farm (Dilton Ltd) - Fairfield Opportunity Farm College</t>
  </si>
  <si>
    <t>Farleigh Further Education College - Frome</t>
  </si>
  <si>
    <t>The Fortune Centre of Riding Therapy</t>
  </si>
  <si>
    <t xml:space="preserve">Foxes Academy </t>
  </si>
  <si>
    <t xml:space="preserve">Homefield College </t>
  </si>
  <si>
    <t>Landmarks</t>
  </si>
  <si>
    <t>Langdon College</t>
  </si>
  <si>
    <t>Lindeth College of Further Education</t>
  </si>
  <si>
    <t>Linkage Community Trust</t>
  </si>
  <si>
    <t>Cambian Lufton College</t>
  </si>
  <si>
    <t>Mount Camphill Community</t>
  </si>
  <si>
    <t>Nash College</t>
  </si>
  <si>
    <t>Arden College</t>
  </si>
  <si>
    <t>National Star College</t>
  </si>
  <si>
    <t>Northern Counties College</t>
  </si>
  <si>
    <t>Oakwood Court College (Phoenix Learning Care Ltd)</t>
  </si>
  <si>
    <t>Orchard Hill College of Further Education</t>
  </si>
  <si>
    <t>Orpheus Centre</t>
  </si>
  <si>
    <t>ISC - Inadequate (SMALL) (A)</t>
  </si>
  <si>
    <t>Pennine Camphill Community</t>
  </si>
  <si>
    <t>Portland College</t>
  </si>
  <si>
    <t>Queen Alexandra College</t>
  </si>
  <si>
    <t>Queen Elizabeth's Foundation Brain Injury Centre</t>
  </si>
  <si>
    <t>RNIB College Loughborough</t>
  </si>
  <si>
    <t>Exeter Royal Academy for Deaf Education</t>
  </si>
  <si>
    <t>Freeman College</t>
  </si>
  <si>
    <t>Glasshouse College</t>
  </si>
  <si>
    <t>Sense College</t>
  </si>
  <si>
    <t>ISC - Inadequate</t>
  </si>
  <si>
    <t>St Elizabeth's College (The Congregation of the Daughters of the Cross of the Liege)</t>
  </si>
  <si>
    <t>St John's School and College</t>
  </si>
  <si>
    <t>Strathmore College</t>
  </si>
  <si>
    <t>Thornbeck College - North East Autism Society</t>
  </si>
  <si>
    <t>Wesc Foundation College</t>
  </si>
  <si>
    <t>Westgate College</t>
  </si>
  <si>
    <t>William Morris Camphill Community</t>
  </si>
  <si>
    <t>Wiltshire College</t>
  </si>
  <si>
    <t>Treloar College</t>
  </si>
  <si>
    <t>ISC - reinspection</t>
  </si>
  <si>
    <t>Dorton College</t>
  </si>
  <si>
    <t>Ruskin Mill College</t>
  </si>
  <si>
    <t>Sutton College of Learning for Adults</t>
  </si>
  <si>
    <t>Hillcroft College</t>
  </si>
  <si>
    <t>Royal National College for the Blind</t>
  </si>
  <si>
    <t>Derwen College</t>
  </si>
  <si>
    <t>Falmouth University</t>
  </si>
  <si>
    <t>FE in HE - full inspection</t>
  </si>
  <si>
    <t>Sussex Downs College</t>
  </si>
  <si>
    <t>Derby College</t>
  </si>
  <si>
    <t>The Brooke House Sixth Form College</t>
  </si>
  <si>
    <t>University College Birmingham</t>
  </si>
  <si>
    <t>FE in HE - Good</t>
  </si>
  <si>
    <t>Birmingham City University</t>
  </si>
  <si>
    <t>The Arts University College At Bournemouth</t>
  </si>
  <si>
    <t>University of Bolton</t>
  </si>
  <si>
    <t>Ravensbourne</t>
  </si>
  <si>
    <t>Writtle College</t>
  </si>
  <si>
    <t>Coventry University</t>
  </si>
  <si>
    <t>University of Derby</t>
  </si>
  <si>
    <t>University College for the Creative Arts</t>
  </si>
  <si>
    <t>FE in HE - New</t>
  </si>
  <si>
    <t>Buckinghamshire New University</t>
  </si>
  <si>
    <t>De Montfort University</t>
  </si>
  <si>
    <t>Loughborough University</t>
  </si>
  <si>
    <t>University of Lincoln</t>
  </si>
  <si>
    <t>The Manchester Metropolitan University</t>
  </si>
  <si>
    <t>The Nottingham Trent University</t>
  </si>
  <si>
    <t>FE in HE - requires improvement</t>
  </si>
  <si>
    <t>Oxford Brookes University</t>
  </si>
  <si>
    <t>Southampton Solent University</t>
  </si>
  <si>
    <t>University of Sunderland</t>
  </si>
  <si>
    <t>University of the Arts London</t>
  </si>
  <si>
    <t>University of West London</t>
  </si>
  <si>
    <t>Longley Park Sixth Form College</t>
  </si>
  <si>
    <t>Bridge College</t>
  </si>
  <si>
    <t>Activate Learning</t>
  </si>
  <si>
    <t>Tyne Metropolitan College</t>
  </si>
  <si>
    <t xml:space="preserve">The Manchester College </t>
  </si>
  <si>
    <t>South Staffordshire College</t>
  </si>
  <si>
    <t>Rochdale Sixth Form College</t>
  </si>
  <si>
    <t>Leeds City  College</t>
  </si>
  <si>
    <t>Lowestoft Sixth Form College</t>
  </si>
  <si>
    <t>City Gateway 14-19 Provision</t>
  </si>
  <si>
    <t>16-19 academy - full inspection</t>
  </si>
  <si>
    <t>London Academy of Excellence</t>
  </si>
  <si>
    <t>Easton &amp; Otley College</t>
  </si>
  <si>
    <t>Shooters Hill Post-16 Campus</t>
  </si>
  <si>
    <t>Royal College Manchester (Seashell Trust)</t>
  </si>
  <si>
    <t>New College Worcester</t>
  </si>
  <si>
    <t>Haringey Sixth Form Centre</t>
  </si>
  <si>
    <t>Previous Overall Effectiveness</t>
  </si>
  <si>
    <t>Mapped provider type</t>
  </si>
  <si>
    <t>Previous Leadership and management</t>
  </si>
  <si>
    <t>LA2 6AP</t>
  </si>
  <si>
    <t>SR2 7BD</t>
  </si>
  <si>
    <t>DY8 4HF</t>
  </si>
  <si>
    <t>GL53 9QU</t>
  </si>
  <si>
    <t>NE45 5RJ</t>
  </si>
  <si>
    <t>LA23 3NH</t>
  </si>
  <si>
    <t>BA22 8ST</t>
  </si>
  <si>
    <t>BR2 7AG</t>
  </si>
  <si>
    <t>LE11 3BS</t>
  </si>
  <si>
    <t>BH23 8EE</t>
  </si>
  <si>
    <t>TA24 5QP</t>
  </si>
  <si>
    <t>B17 9TG</t>
  </si>
  <si>
    <t>LE12 7TL</t>
  </si>
  <si>
    <t>BN2 0AF</t>
  </si>
  <si>
    <t>TN5 6PT</t>
  </si>
  <si>
    <t>GL10 3SH</t>
  </si>
  <si>
    <t>RH9 8ND</t>
  </si>
  <si>
    <t>EX7 0DE</t>
  </si>
  <si>
    <t>S80 4HP</t>
  </si>
  <si>
    <t>SG10 6EW</t>
  </si>
  <si>
    <t>NG18 4TJ</t>
  </si>
  <si>
    <t>PE23 5AE</t>
  </si>
  <si>
    <t>SM7 3EE</t>
  </si>
  <si>
    <t>HG1 4ED</t>
  </si>
  <si>
    <t>SW10 0QS</t>
  </si>
  <si>
    <t>NG1 1GW</t>
  </si>
  <si>
    <t>DE5 3DJ</t>
  </si>
  <si>
    <t>S9 3XN</t>
  </si>
  <si>
    <t>CfBT Education Trust</t>
  </si>
  <si>
    <t>WF2 7AW</t>
  </si>
  <si>
    <t>DA7 4NR</t>
  </si>
  <si>
    <t>NR7 0DU</t>
  </si>
  <si>
    <t>HP20 1UA</t>
  </si>
  <si>
    <t>SL1 7LW</t>
  </si>
  <si>
    <t>TF2 9TW</t>
  </si>
  <si>
    <t>MK9 3AP</t>
  </si>
  <si>
    <t>NG17 8HP</t>
  </si>
  <si>
    <t>TN33 0HT</t>
  </si>
  <si>
    <t>S41 7NA</t>
  </si>
  <si>
    <t>BN7 1UE</t>
  </si>
  <si>
    <t>NG11 6JZ</t>
  </si>
  <si>
    <t>SP11 6JS</t>
  </si>
  <si>
    <t>PL7 1RF</t>
  </si>
  <si>
    <t>GL1 2EH</t>
  </si>
  <si>
    <t>L1 3DY</t>
  </si>
  <si>
    <t>SG13 8DF</t>
  </si>
  <si>
    <t>S20 7HT</t>
  </si>
  <si>
    <t>WS9 8UG</t>
  </si>
  <si>
    <t>BS15 4AU</t>
  </si>
  <si>
    <t>W5 2HL</t>
  </si>
  <si>
    <t>L1 4EF</t>
  </si>
  <si>
    <t>TS1 9FT</t>
  </si>
  <si>
    <t>MK3 7BB</t>
  </si>
  <si>
    <t>SW8 1UD</t>
  </si>
  <si>
    <t>TS18 2RJ</t>
  </si>
  <si>
    <t>NN4 7YD</t>
  </si>
  <si>
    <t>S9 1XH</t>
  </si>
  <si>
    <t>OX4 2GQ</t>
  </si>
  <si>
    <t>B16 8LB</t>
  </si>
  <si>
    <t>WR1 1RS</t>
  </si>
  <si>
    <t>SS5 4RG</t>
  </si>
  <si>
    <t>SR4 6AD</t>
  </si>
  <si>
    <t>DA10 0LH</t>
  </si>
  <si>
    <t>PO19 1RF</t>
  </si>
  <si>
    <t>B3 3HQ</t>
  </si>
  <si>
    <t>BD1 4EL</t>
  </si>
  <si>
    <t>DE24 9DE</t>
  </si>
  <si>
    <t>DE4 3FW</t>
  </si>
  <si>
    <t>DY1 1HF</t>
  </si>
  <si>
    <t>DL15 9ES</t>
  </si>
  <si>
    <t>HR4 0XH</t>
  </si>
  <si>
    <t>HA1 2XF</t>
  </si>
  <si>
    <t>DL7 8AD</t>
  </si>
  <si>
    <t>N7 9AD</t>
  </si>
  <si>
    <t>S65 1UF</t>
  </si>
  <si>
    <t>SK1 3XE</t>
  </si>
  <si>
    <t>BL3 6PB</t>
  </si>
  <si>
    <t>L1 1JN</t>
  </si>
  <si>
    <t>BA14 8JN</t>
  </si>
  <si>
    <t>RG40 1BN</t>
  </si>
  <si>
    <t>N17 8JL</t>
  </si>
  <si>
    <t>HD1 2EF</t>
  </si>
  <si>
    <t>PL1 3LA</t>
  </si>
  <si>
    <t>ST4 8GB</t>
  </si>
  <si>
    <t>EC1A 9JX</t>
  </si>
  <si>
    <t>B9 4AR</t>
  </si>
  <si>
    <t>NE11 0JL</t>
  </si>
  <si>
    <t>NE8 2XN</t>
  </si>
  <si>
    <t>PL1 1DN</t>
  </si>
  <si>
    <t>TN22 3DJ</t>
  </si>
  <si>
    <t>L12 2AR</t>
  </si>
  <si>
    <t>BL6 5UE</t>
  </si>
  <si>
    <t>NN7 2DT</t>
  </si>
  <si>
    <t>L1 4HF</t>
  </si>
  <si>
    <t>B9 4HN</t>
  </si>
  <si>
    <t>L20 3QQ</t>
  </si>
  <si>
    <t>RG7 4PR</t>
  </si>
  <si>
    <t>ST4 4RJ</t>
  </si>
  <si>
    <t>HP19 8SZ</t>
  </si>
  <si>
    <t>NE23 8JT</t>
  </si>
  <si>
    <t>NE1 1DE</t>
  </si>
  <si>
    <t>NE1 1LE</t>
  </si>
  <si>
    <t>DE24 8GX</t>
  </si>
  <si>
    <t>PR2 9NZ</t>
  </si>
  <si>
    <t>SE19 3BG</t>
  </si>
  <si>
    <t>S71 1LQ</t>
  </si>
  <si>
    <t>RG21 6YT</t>
  </si>
  <si>
    <t>B1 3HS</t>
  </si>
  <si>
    <t>B19 3NR</t>
  </si>
  <si>
    <t>B69 2BN</t>
  </si>
  <si>
    <t>BB1 7DY</t>
  </si>
  <si>
    <t>FY1 1AD</t>
  </si>
  <si>
    <t>W1W 6YS</t>
  </si>
  <si>
    <t>BL1 1RU</t>
  </si>
  <si>
    <t>SE16 4RS</t>
  </si>
  <si>
    <t>RG1 3JH</t>
  </si>
  <si>
    <t>RG12 1AU</t>
  </si>
  <si>
    <t>BD1 5RW</t>
  </si>
  <si>
    <t>BD4 8AT</t>
  </si>
  <si>
    <t>GL1 5RZ</t>
  </si>
  <si>
    <t>BN3 2LS</t>
  </si>
  <si>
    <t>BS4 1DQ</t>
  </si>
  <si>
    <t>LS12 2ES</t>
  </si>
  <si>
    <t>CV5 9RN</t>
  </si>
  <si>
    <t>CB8 7NU</t>
  </si>
  <si>
    <t>E15 1AH</t>
  </si>
  <si>
    <t>W6 0LH</t>
  </si>
  <si>
    <t>BL9 0AQ</t>
  </si>
  <si>
    <t>WS7 9QP</t>
  </si>
  <si>
    <t>TS18 3FB</t>
  </si>
  <si>
    <t>HX1 1UJ</t>
  </si>
  <si>
    <t>CB3 0AP</t>
  </si>
  <si>
    <t>NN3 6WD</t>
  </si>
  <si>
    <t>PO30 5BF</t>
  </si>
  <si>
    <t>NG7 1LY</t>
  </si>
  <si>
    <t>IG8 8HD</t>
  </si>
  <si>
    <t>BD1 2PS</t>
  </si>
  <si>
    <t>M1 5JW</t>
  </si>
  <si>
    <t>WV1 4HY</t>
  </si>
  <si>
    <t>SS1 1BJ</t>
  </si>
  <si>
    <t>NW10 0UF</t>
  </si>
  <si>
    <t>LN8 3EH</t>
  </si>
  <si>
    <t>HU3 1YE</t>
  </si>
  <si>
    <t>RM1 4LA</t>
  </si>
  <si>
    <t>EH2 4EL</t>
  </si>
  <si>
    <t>LN9 6PH</t>
  </si>
  <si>
    <t>RG1 1LG</t>
  </si>
  <si>
    <t>HA1 4ES</t>
  </si>
  <si>
    <t>GL7 1XA</t>
  </si>
  <si>
    <t>PE31 6RH</t>
  </si>
  <si>
    <t>ME10 3RY</t>
  </si>
  <si>
    <t>GL2 9QL</t>
  </si>
  <si>
    <t>PE29 2BQ</t>
  </si>
  <si>
    <t>N15 4RU</t>
  </si>
  <si>
    <t>S9 4LR</t>
  </si>
  <si>
    <t>PL15 7ED</t>
  </si>
  <si>
    <t>PL31 2QN</t>
  </si>
  <si>
    <t>EC2P 2EJ</t>
  </si>
  <si>
    <t>SY2 6DL</t>
  </si>
  <si>
    <t>CV2 2AA</t>
  </si>
  <si>
    <t>B16 8SP</t>
  </si>
  <si>
    <t>TA6 4RR</t>
  </si>
  <si>
    <t>CV6 5NX</t>
  </si>
  <si>
    <t>CA1 1PU</t>
  </si>
  <si>
    <t>CV1 4FD</t>
  </si>
  <si>
    <t>DE72 2GR</t>
  </si>
  <si>
    <t>SK1 1HE</t>
  </si>
  <si>
    <t>PO13 0AA</t>
  </si>
  <si>
    <t>DL1 5TY</t>
  </si>
  <si>
    <t>DL1 1DR</t>
  </si>
  <si>
    <t>DA2 6QD</t>
  </si>
  <si>
    <t>PO13 0AH</t>
  </si>
  <si>
    <t>DE24 9HY</t>
  </si>
  <si>
    <t>DL5 6DS</t>
  </si>
  <si>
    <t>EX2 7NL</t>
  </si>
  <si>
    <t>BS5 8BB</t>
  </si>
  <si>
    <t>HD8 8BJ</t>
  </si>
  <si>
    <t>TR1 3BX</t>
  </si>
  <si>
    <t>NG90 1BS</t>
  </si>
  <si>
    <t>DN2 6AY</t>
  </si>
  <si>
    <t>DN1 3AJ</t>
  </si>
  <si>
    <t>DN3 3DY</t>
  </si>
  <si>
    <t>TN15 0AH</t>
  </si>
  <si>
    <t>E17 8AH</t>
  </si>
  <si>
    <t>ST5 1HN</t>
  </si>
  <si>
    <t>NR6 6EZ</t>
  </si>
  <si>
    <t>W14 9BL</t>
  </si>
  <si>
    <t>E8 4DG</t>
  </si>
  <si>
    <t>NR31 7BQ</t>
  </si>
  <si>
    <t>HU17 9BA</t>
  </si>
  <si>
    <t>MK45 2ND</t>
  </si>
  <si>
    <t>SG1 4QX</t>
  </si>
  <si>
    <t>EX1 3QS</t>
  </si>
  <si>
    <t>B6 7AF</t>
  </si>
  <si>
    <t>NW5 2BP</t>
  </si>
  <si>
    <t>NG11 0EG</t>
  </si>
  <si>
    <t>CM2 6WN</t>
  </si>
  <si>
    <t>BR2 8NA</t>
  </si>
  <si>
    <t>NE32 3HH</t>
  </si>
  <si>
    <t>BA13 4DL</t>
  </si>
  <si>
    <t>PO16 7BB</t>
  </si>
  <si>
    <t>WS11 8LL</t>
  </si>
  <si>
    <t>PE25 2AR</t>
  </si>
  <si>
    <t>N18 2NG</t>
  </si>
  <si>
    <t>BS8 1EJ</t>
  </si>
  <si>
    <t>BS32 4AQ</t>
  </si>
  <si>
    <t>SO51 9DQ</t>
  </si>
  <si>
    <t>W5 5SA</t>
  </si>
  <si>
    <t>ST17 4BH</t>
  </si>
  <si>
    <t>BN1 4GQ</t>
  </si>
  <si>
    <t>S72 8RP</t>
  </si>
  <si>
    <t>S81 7QF</t>
  </si>
  <si>
    <t>NE9 5UA</t>
  </si>
  <si>
    <t>B5 6RG</t>
  </si>
  <si>
    <t>CA14 4JX</t>
  </si>
  <si>
    <t>SK4 1LW</t>
  </si>
  <si>
    <t>DN22 6PJ</t>
  </si>
  <si>
    <t>PL1 2DH</t>
  </si>
  <si>
    <t>B7 4JE</t>
  </si>
  <si>
    <t>PR7 7NB</t>
  </si>
  <si>
    <t>L7 9PF</t>
  </si>
  <si>
    <t>L17 1AG</t>
  </si>
  <si>
    <t>GU1 1EZ</t>
  </si>
  <si>
    <t>SN8 2AG</t>
  </si>
  <si>
    <t>TS27 4SU</t>
  </si>
  <si>
    <t>TA1 3HL</t>
  </si>
  <si>
    <t>WA8 7QF</t>
  </si>
  <si>
    <t>SO23 8UG</t>
  </si>
  <si>
    <t>HG1 5BJ</t>
  </si>
  <si>
    <t>TS24 7HD</t>
  </si>
  <si>
    <t>TW1 3QS</t>
  </si>
  <si>
    <t>HP22 5BL</t>
  </si>
  <si>
    <t>TW3 1NH</t>
  </si>
  <si>
    <t>KT6 7DQ</t>
  </si>
  <si>
    <t>CV21 1FD</t>
  </si>
  <si>
    <t>BN22 8LT</t>
  </si>
  <si>
    <t>HR2 6JT</t>
  </si>
  <si>
    <t>HR4 9SX</t>
  </si>
  <si>
    <t>LN6 9JP</t>
  </si>
  <si>
    <t>HA4 6SE</t>
  </si>
  <si>
    <t>NG22 0DF</t>
  </si>
  <si>
    <t>HD2 1YF</t>
  </si>
  <si>
    <t>TA1 4EB</t>
  </si>
  <si>
    <t>HU8 7JJ</t>
  </si>
  <si>
    <t>HU1 2AA</t>
  </si>
  <si>
    <t>HU7 0XJ</t>
  </si>
  <si>
    <t>HU3 4DD</t>
  </si>
  <si>
    <t>NP26 4BR</t>
  </si>
  <si>
    <t>LS2 7LY</t>
  </si>
  <si>
    <t>S70 1YD</t>
  </si>
  <si>
    <t>CV21 2BB</t>
  </si>
  <si>
    <t>PO8 0BZ</t>
  </si>
  <si>
    <t>OX2 0DP</t>
  </si>
  <si>
    <t>HG1 1HS</t>
  </si>
  <si>
    <t>ME2 4DU</t>
  </si>
  <si>
    <t>OX29 8LN</t>
  </si>
  <si>
    <t>PO33 1QS</t>
  </si>
  <si>
    <t>TR21 0LW</t>
  </si>
  <si>
    <t>DL5 6XP</t>
  </si>
  <si>
    <t>IP11 7EJ</t>
  </si>
  <si>
    <t>TS23 4EA</t>
  </si>
  <si>
    <t>L24 9HZ</t>
  </si>
  <si>
    <t>HA4 9XA</t>
  </si>
  <si>
    <t>EC1Y 0SG</t>
  </si>
  <si>
    <t>CM13 3FR</t>
  </si>
  <si>
    <t>SM6 0EU</t>
  </si>
  <si>
    <t>PR8 4QW</t>
  </si>
  <si>
    <t>BR6 0JS</t>
  </si>
  <si>
    <t>WV2 4BH</t>
  </si>
  <si>
    <t>TN24 8DH</t>
  </si>
  <si>
    <t>ME10 1LF</t>
  </si>
  <si>
    <t>WD6 3FG</t>
  </si>
  <si>
    <t>NN16 0DG</t>
  </si>
  <si>
    <t>SL4 1BN</t>
  </si>
  <si>
    <t>B23 6AG</t>
  </si>
  <si>
    <t>HD6 1QF</t>
  </si>
  <si>
    <t>HD2 1JP</t>
  </si>
  <si>
    <t>L25 9PB</t>
  </si>
  <si>
    <t>DE21 6JL</t>
  </si>
  <si>
    <t>LN2 1HN</t>
  </si>
  <si>
    <t>CA14 4JN</t>
  </si>
  <si>
    <t>PR1 8RJ</t>
  </si>
  <si>
    <t>LA3 2UZ</t>
  </si>
  <si>
    <t>CV34 6TB</t>
  </si>
  <si>
    <t>OX28 6EU</t>
  </si>
  <si>
    <t>NE63 8AP</t>
  </si>
  <si>
    <t>PR2 2YF</t>
  </si>
  <si>
    <t>CT6 7GQ</t>
  </si>
  <si>
    <t>PL15 9NJ</t>
  </si>
  <si>
    <t>LS2 8DT</t>
  </si>
  <si>
    <t>LE1 6HL</t>
  </si>
  <si>
    <t>LE3 8RF</t>
  </si>
  <si>
    <t>MK44 3BA</t>
  </si>
  <si>
    <t>S70 2JL</t>
  </si>
  <si>
    <t>SS14 1LL</t>
  </si>
  <si>
    <t>SS14 3DP</t>
  </si>
  <si>
    <t>LN2 5HQ</t>
  </si>
  <si>
    <t>LN1 1YL</t>
  </si>
  <si>
    <t>SK1 1DY</t>
  </si>
  <si>
    <t>BR5 1EF</t>
  </si>
  <si>
    <t>L8 6SE</t>
  </si>
  <si>
    <t>BH15 1BT</t>
  </si>
  <si>
    <t>RM9 5QA</t>
  </si>
  <si>
    <t>DA14 4ED</t>
  </si>
  <si>
    <t>HA9 7RH</t>
  </si>
  <si>
    <t>BR1 3UH</t>
  </si>
  <si>
    <t>NW1 1BD</t>
  </si>
  <si>
    <t>CR0 1EA</t>
  </si>
  <si>
    <t>N9 0UR</t>
  </si>
  <si>
    <t>SE18 6PW</t>
  </si>
  <si>
    <t>W6 9JJ</t>
  </si>
  <si>
    <t>N22 8LE</t>
  </si>
  <si>
    <t>RM1 3BB</t>
  </si>
  <si>
    <t>UB8 1NP</t>
  </si>
  <si>
    <t>TW3 4DN</t>
  </si>
  <si>
    <t>N1 1XR</t>
  </si>
  <si>
    <t>SW2 5RW</t>
  </si>
  <si>
    <t>SE6 4RU</t>
  </si>
  <si>
    <t>E16 2QU</t>
  </si>
  <si>
    <t>IG2 6TD</t>
  </si>
  <si>
    <t>TW1 3BZ</t>
  </si>
  <si>
    <t>SE15 4NX</t>
  </si>
  <si>
    <t>SM1 1EA</t>
  </si>
  <si>
    <t>E3 5EQ</t>
  </si>
  <si>
    <t>E17 8QR</t>
  </si>
  <si>
    <t>SW17 8HE</t>
  </si>
  <si>
    <t>W1F 7JP</t>
  </si>
  <si>
    <t>SW5 9SU</t>
  </si>
  <si>
    <t>LU1 2BQ</t>
  </si>
  <si>
    <t>M60 2LA</t>
  </si>
  <si>
    <t>M24 1RU</t>
  </si>
  <si>
    <t>S2 1FF</t>
  </si>
  <si>
    <t>SE1 7JW</t>
  </si>
  <si>
    <t>ST5 1LZ</t>
  </si>
  <si>
    <t>WC1N 3AQ</t>
  </si>
  <si>
    <t>TF1 7GX</t>
  </si>
  <si>
    <t>HU1 1RS</t>
  </si>
  <si>
    <t>N2 8AW</t>
  </si>
  <si>
    <t>ME1 1EW</t>
  </si>
  <si>
    <t>L34 1LA</t>
  </si>
  <si>
    <t>SM4 5DX</t>
  </si>
  <si>
    <t>S9 1BX</t>
  </si>
  <si>
    <t>M4 1LW</t>
  </si>
  <si>
    <t>CW8 1LJ</t>
  </si>
  <si>
    <t>CV1 2JG</t>
  </si>
  <si>
    <t>SR1 2QF</t>
  </si>
  <si>
    <t>MK12 5HX</t>
  </si>
  <si>
    <t>DY4 8YY</t>
  </si>
  <si>
    <t>NE6 2YD</t>
  </si>
  <si>
    <t>S60 2AF</t>
  </si>
  <si>
    <t>KT14 6EW</t>
  </si>
  <si>
    <t>GU1 4QW</t>
  </si>
  <si>
    <t>HD1 4EN</t>
  </si>
  <si>
    <t>RH7 6PW</t>
  </si>
  <si>
    <t>NG22 0DA</t>
  </si>
  <si>
    <t>SK4 1BS</t>
  </si>
  <si>
    <t>PO12 3BY</t>
  </si>
  <si>
    <t>SN3 1AH</t>
  </si>
  <si>
    <t>TF1 1NY</t>
  </si>
  <si>
    <t>NE4 9LU</t>
  </si>
  <si>
    <t>E15 4GY</t>
  </si>
  <si>
    <t>NN17 5JG</t>
  </si>
  <si>
    <t>S43 1JU</t>
  </si>
  <si>
    <t>NR1 1QW</t>
  </si>
  <si>
    <t>NR4 6DG</t>
  </si>
  <si>
    <t>EX31 1EU</t>
  </si>
  <si>
    <t>DH1 5TS</t>
  </si>
  <si>
    <t>DN31 1HU</t>
  </si>
  <si>
    <t>BB5 1EQ</t>
  </si>
  <si>
    <t>DN16 2UT</t>
  </si>
  <si>
    <t>NE27 0BY</t>
  </si>
  <si>
    <t>L9 6AW</t>
  </si>
  <si>
    <t>L30 6XT</t>
  </si>
  <si>
    <t>S75 3ET</t>
  </si>
  <si>
    <t>NE61 2EF</t>
  </si>
  <si>
    <t>NG2 3NG</t>
  </si>
  <si>
    <t>NG5 1AP</t>
  </si>
  <si>
    <t>NG2 7QP</t>
  </si>
  <si>
    <t>WV13 1PX</t>
  </si>
  <si>
    <t>DY1 1LQ</t>
  </si>
  <si>
    <t>RG27 9UP</t>
  </si>
  <si>
    <t>CV11 4BS</t>
  </si>
  <si>
    <t>BN3 3LN</t>
  </si>
  <si>
    <t>L4 6UG</t>
  </si>
  <si>
    <t>OL4 1JP</t>
  </si>
  <si>
    <t>OL1 1UT</t>
  </si>
  <si>
    <t>B38 8SS</t>
  </si>
  <si>
    <t>S12 3AS</t>
  </si>
  <si>
    <t>DN1 3NJ</t>
  </si>
  <si>
    <t>OX4 1JQ</t>
  </si>
  <si>
    <t>RM17 5TD</t>
  </si>
  <si>
    <t>BH1 4NB</t>
  </si>
  <si>
    <t>NG7 6JN</t>
  </si>
  <si>
    <t>SP10 1EP</t>
  </si>
  <si>
    <t>PO6 3TE</t>
  </si>
  <si>
    <t>PE1 1TU</t>
  </si>
  <si>
    <t>EX3 0DB</t>
  </si>
  <si>
    <t>WF1 3BG</t>
  </si>
  <si>
    <t>B5 5SL</t>
  </si>
  <si>
    <t>PL1 2AA</t>
  </si>
  <si>
    <t>BH15 3DL</t>
  </si>
  <si>
    <t>PO1 2BG</t>
  </si>
  <si>
    <t>DE55 2DS</t>
  </si>
  <si>
    <t>NR20 3JY</t>
  </si>
  <si>
    <t>WN6 7DD</t>
  </si>
  <si>
    <t>DA15 9LU</t>
  </si>
  <si>
    <t>ST1 4DQ</t>
  </si>
  <si>
    <t>HU3 4DL</t>
  </si>
  <si>
    <t>GL2 2AL</t>
  </si>
  <si>
    <t>BR1 1LT</t>
  </si>
  <si>
    <t>SS2 4XA</t>
  </si>
  <si>
    <t>NG10 1LL</t>
  </si>
  <si>
    <t>B3 2NH</t>
  </si>
  <si>
    <t>PL21 9HN</t>
  </si>
  <si>
    <t>SL1 1SG</t>
  </si>
  <si>
    <t>SP4 0JF</t>
  </si>
  <si>
    <t>OX14 4RR</t>
  </si>
  <si>
    <t>NE4 7SA</t>
  </si>
  <si>
    <t>RG2 8DH</t>
  </si>
  <si>
    <t>TS10 1RT</t>
  </si>
  <si>
    <t>SE17 3PY</t>
  </si>
  <si>
    <t>BS8 2AT</t>
  </si>
  <si>
    <t>ST4 7AA</t>
  </si>
  <si>
    <t>RH10 1HU</t>
  </si>
  <si>
    <t>HR2 7RE</t>
  </si>
  <si>
    <t>WR5 2JX</t>
  </si>
  <si>
    <t>OL16 5NA</t>
  </si>
  <si>
    <t>L7 2RN</t>
  </si>
  <si>
    <t>DE24 9HZ</t>
  </si>
  <si>
    <t>NE15 6LL</t>
  </si>
  <si>
    <t>SE11 6DN</t>
  </si>
  <si>
    <t>S65 1EG</t>
  </si>
  <si>
    <t>GL2 2AT</t>
  </si>
  <si>
    <t>W8 7NX</t>
  </si>
  <si>
    <t>KT2 5PE</t>
  </si>
  <si>
    <t>SK8 6RQ</t>
  </si>
  <si>
    <t>EC1V 3AG</t>
  </si>
  <si>
    <t>GL6 0PL</t>
  </si>
  <si>
    <t>LE15 6HP</t>
  </si>
  <si>
    <t>CA1 2QX</t>
  </si>
  <si>
    <t>BS3 4AG</t>
  </si>
  <si>
    <t>TS18 3TS</t>
  </si>
  <si>
    <t>DL3 7AN</t>
  </si>
  <si>
    <t>M16 0LD</t>
  </si>
  <si>
    <t>B69 3DE</t>
  </si>
  <si>
    <t>B64 6AG</t>
  </si>
  <si>
    <t>SY1 3AG</t>
  </si>
  <si>
    <t>L21 1EZ</t>
  </si>
  <si>
    <t>SE3 9DU</t>
  </si>
  <si>
    <t>TA1 3FB</t>
  </si>
  <si>
    <t>TS3 8BT</t>
  </si>
  <si>
    <t>S6 3FP</t>
  </si>
  <si>
    <t>PE25 3EZ</t>
  </si>
  <si>
    <t>WD18 8YS</t>
  </si>
  <si>
    <t>RG8 7LR</t>
  </si>
  <si>
    <t>HA9 6DE</t>
  </si>
  <si>
    <t>SL1 3UQ</t>
  </si>
  <si>
    <t>PO30 1AJ</t>
  </si>
  <si>
    <t>TA1 4DY</t>
  </si>
  <si>
    <t>NE33 2RL</t>
  </si>
  <si>
    <t>DL5 6AT</t>
  </si>
  <si>
    <t>BH21 3AA</t>
  </si>
  <si>
    <t>S9 3QS</t>
  </si>
  <si>
    <t>DN11 0HN</t>
  </si>
  <si>
    <t>SO14 7LY</t>
  </si>
  <si>
    <t>SO15 0LJ</t>
  </si>
  <si>
    <t>SS1 2UP</t>
  </si>
  <si>
    <t>OX16 6LP</t>
  </si>
  <si>
    <t>SO21 2NF</t>
  </si>
  <si>
    <t>PR4 0XJ</t>
  </si>
  <si>
    <t>WA10 1FY</t>
  </si>
  <si>
    <t>WA9 1HE</t>
  </si>
  <si>
    <t>ST16 2LH</t>
  </si>
  <si>
    <t>SK1 3UQ</t>
  </si>
  <si>
    <t>SK4 1PQ</t>
  </si>
  <si>
    <t>TS23 2DA</t>
  </si>
  <si>
    <t>ST4 1HH</t>
  </si>
  <si>
    <t>GU9 7DR</t>
  </si>
  <si>
    <t>S60 1BN</t>
  </si>
  <si>
    <t>NG18 1SS</t>
  </si>
  <si>
    <t>S42 7JE</t>
  </si>
  <si>
    <t>IP1 2BX</t>
  </si>
  <si>
    <t>GL2 2RG</t>
  </si>
  <si>
    <t>SR2 7DN</t>
  </si>
  <si>
    <t>NE38 9BZ</t>
  </si>
  <si>
    <t>GU22 7QQ</t>
  </si>
  <si>
    <t>SM4 6JS</t>
  </si>
  <si>
    <t>LS3 1AD</t>
  </si>
  <si>
    <t>SN1 2JH</t>
  </si>
  <si>
    <t>L3 2BA</t>
  </si>
  <si>
    <t>CA6 4NW</t>
  </si>
  <si>
    <t>OL6 6DL</t>
  </si>
  <si>
    <t>DY5 1XF</t>
  </si>
  <si>
    <t>NE12 8EX</t>
  </si>
  <si>
    <t>SR1 1EE</t>
  </si>
  <si>
    <t>TF3 4JA</t>
  </si>
  <si>
    <t>N3 2JU</t>
  </si>
  <si>
    <t>AL7 1AB</t>
  </si>
  <si>
    <t>YO17 9HX</t>
  </si>
  <si>
    <t>SP11 8HJ</t>
  </si>
  <si>
    <t>S80 2HX</t>
  </si>
  <si>
    <t>M1 6FQ</t>
  </si>
  <si>
    <t>W1U 8PL</t>
  </si>
  <si>
    <t>N6 5EH</t>
  </si>
  <si>
    <t>CH41 5LH</t>
  </si>
  <si>
    <t>SN12 8BU</t>
  </si>
  <si>
    <t>RG19 4NR</t>
  </si>
  <si>
    <t>DA5 2DX</t>
  </si>
  <si>
    <t>LS29 8DD</t>
  </si>
  <si>
    <t>L20 8DN</t>
  </si>
  <si>
    <t>LS19 7EN</t>
  </si>
  <si>
    <t>B15 3TR</t>
  </si>
  <si>
    <t>RM17 6DN</t>
  </si>
  <si>
    <t>BH7 6BZ</t>
  </si>
  <si>
    <t>CW10 9LZ</t>
  </si>
  <si>
    <t>NN11 7JG</t>
  </si>
  <si>
    <t>BB1 3BD</t>
  </si>
  <si>
    <t>SA7 0AJ</t>
  </si>
  <si>
    <t>CR4 3FA</t>
  </si>
  <si>
    <t>NE31 2EX</t>
  </si>
  <si>
    <t>DE24 8AJ</t>
  </si>
  <si>
    <t>IG2 6NQ</t>
  </si>
  <si>
    <t>GU34 4EN</t>
  </si>
  <si>
    <t>L3 9HG</t>
  </si>
  <si>
    <t>TS6 6TZ</t>
  </si>
  <si>
    <t>CH65 4LT</t>
  </si>
  <si>
    <t>CV4 8TT</t>
  </si>
  <si>
    <t>NE28 9NJ</t>
  </si>
  <si>
    <t>S1 4UP</t>
  </si>
  <si>
    <t>HP3 9TD</t>
  </si>
  <si>
    <t>WN1 1LN</t>
  </si>
  <si>
    <t>SE9 2SU</t>
  </si>
  <si>
    <t>RG14 2FN</t>
  </si>
  <si>
    <t>WF2 7DQ</t>
  </si>
  <si>
    <t>WS3 1AG</t>
  </si>
  <si>
    <t>WA4 6DQ</t>
  </si>
  <si>
    <t>CV34 4UL</t>
  </si>
  <si>
    <t>GU9 9PT</t>
  </si>
  <si>
    <t>NG9 2PD</t>
  </si>
  <si>
    <t>KT16 9BE</t>
  </si>
  <si>
    <t>PE29 1YB</t>
  </si>
  <si>
    <t>RG14 1BZ</t>
  </si>
  <si>
    <t>RG14 5DD</t>
  </si>
  <si>
    <t>EX2 6HA</t>
  </si>
  <si>
    <t>SW1E 6QP</t>
  </si>
  <si>
    <t>LU5 5XE</t>
  </si>
  <si>
    <t>WN1 3DS</t>
  </si>
  <si>
    <t>CH41 4FD</t>
  </si>
  <si>
    <t>WV1 3AU</t>
  </si>
  <si>
    <t>L8 7PE</t>
  </si>
  <si>
    <t>WR5 2NP</t>
  </si>
  <si>
    <t>NW1 1TR</t>
  </si>
  <si>
    <t>IP31 2QR</t>
  </si>
  <si>
    <t>SN10 2EX</t>
  </si>
  <si>
    <t>SS14 3JJ</t>
  </si>
  <si>
    <t>WN4 8PD</t>
  </si>
  <si>
    <t>YO12 5EA</t>
  </si>
  <si>
    <t>YO1 6GA</t>
  </si>
  <si>
    <t>NE11 0SH</t>
  </si>
  <si>
    <t>KT17 4QB</t>
  </si>
  <si>
    <t>B31 2AJ</t>
  </si>
  <si>
    <t>S4 7QN</t>
  </si>
  <si>
    <t>LE11 3BT</t>
  </si>
  <si>
    <t>SM5 2EJ</t>
  </si>
  <si>
    <t>PO30 5TA</t>
  </si>
  <si>
    <t>NE11 0JQ</t>
  </si>
  <si>
    <t>KT17 3DS</t>
  </si>
  <si>
    <t>DE14 3RL</t>
  </si>
  <si>
    <t>B5 4BD</t>
  </si>
  <si>
    <t>DH1 1TH</t>
  </si>
  <si>
    <t>OL9 6AA</t>
  </si>
  <si>
    <t>NN1 2DA</t>
  </si>
  <si>
    <t>RG9 1UH</t>
  </si>
  <si>
    <t>LU5 4HG</t>
  </si>
  <si>
    <t>CV32 5JE</t>
  </si>
  <si>
    <t>SK2 6NG</t>
  </si>
  <si>
    <t>SE1 7HT</t>
  </si>
  <si>
    <t>SL6 6QR</t>
  </si>
  <si>
    <t>BA1 1UP</t>
  </si>
  <si>
    <t>BS4 5RQ</t>
  </si>
  <si>
    <t>GL51 7SJ</t>
  </si>
  <si>
    <t>B29 6LH</t>
  </si>
  <si>
    <t>B60 3AL</t>
  </si>
  <si>
    <t>NG1 7BT</t>
  </si>
  <si>
    <t>HU14 3HH</t>
  </si>
  <si>
    <t>W1T 1QL</t>
  </si>
  <si>
    <t>BN43 5FF</t>
  </si>
  <si>
    <t>NE2 1QE</t>
  </si>
  <si>
    <t>DL14 6XB</t>
  </si>
  <si>
    <t>SR8 2RR</t>
  </si>
  <si>
    <t>CM20 2JE</t>
  </si>
  <si>
    <t>S1 2BS</t>
  </si>
  <si>
    <t>SL1 4JW</t>
  </si>
  <si>
    <t>NG7 2RU</t>
  </si>
  <si>
    <t>BD4 8BX</t>
  </si>
  <si>
    <t>S63 5DB</t>
  </si>
  <si>
    <t>PE38 0QR</t>
  </si>
  <si>
    <t>DE5 3FW</t>
  </si>
  <si>
    <t>W4 5PY</t>
  </si>
  <si>
    <t>NG18 2AE</t>
  </si>
  <si>
    <t>FK11 7BU</t>
  </si>
  <si>
    <t>OL9 8DE</t>
  </si>
  <si>
    <t>E14 5HQ</t>
  </si>
  <si>
    <t>B15 1TH</t>
  </si>
  <si>
    <t>NW8 8QZ</t>
  </si>
  <si>
    <t>N1 9JY</t>
  </si>
  <si>
    <t>LE11 3QF</t>
  </si>
  <si>
    <t>SW15 5JQ</t>
  </si>
  <si>
    <t>PE3 8SB</t>
  </si>
  <si>
    <t>CV3 1ND</t>
  </si>
  <si>
    <t>SW1P3AE</t>
  </si>
  <si>
    <t>M27 6AD</t>
  </si>
  <si>
    <t>WS13 6QD</t>
  </si>
  <si>
    <t>NW1 5PX</t>
  </si>
  <si>
    <t>WF9 2XR</t>
  </si>
  <si>
    <t>NE29 6TF</t>
  </si>
  <si>
    <t>DL5 6EN</t>
  </si>
  <si>
    <t>DE24 8UT</t>
  </si>
  <si>
    <t>HG5 0AS</t>
  </si>
  <si>
    <t>CV1 3GE</t>
  </si>
  <si>
    <t>CH41 1FN</t>
  </si>
  <si>
    <t>WS1 1SQ</t>
  </si>
  <si>
    <t>SK4 1AS</t>
  </si>
  <si>
    <t>PE11 1UB</t>
  </si>
  <si>
    <t>MK42 7BZ</t>
  </si>
  <si>
    <t>W5 2ST</t>
  </si>
  <si>
    <t>SW19 2PT</t>
  </si>
  <si>
    <t>SW9 9UH</t>
  </si>
  <si>
    <t>NG1 3FB</t>
  </si>
  <si>
    <t>TN28 8LH</t>
  </si>
  <si>
    <t>BN11 1TA</t>
  </si>
  <si>
    <t>ST5 9QD</t>
  </si>
  <si>
    <t>L3 3BN</t>
  </si>
  <si>
    <t>PO2 8BY</t>
  </si>
  <si>
    <t>BS2 0JP</t>
  </si>
  <si>
    <t>LE3 8DG</t>
  </si>
  <si>
    <t>MK15 8BA</t>
  </si>
  <si>
    <t>M20 4AF</t>
  </si>
  <si>
    <t>PR26 6TT</t>
  </si>
  <si>
    <t>M1 3HU</t>
  </si>
  <si>
    <t>YO26 6PH</t>
  </si>
  <si>
    <t>SS1 1ND</t>
  </si>
  <si>
    <t>AL10 9NE</t>
  </si>
  <si>
    <t>N7 9DP</t>
  </si>
  <si>
    <t>WA11 8HD</t>
  </si>
  <si>
    <t>DL1 1LA</t>
  </si>
  <si>
    <t>CM1 1TD</t>
  </si>
  <si>
    <t>CH64 9TZ</t>
  </si>
  <si>
    <t>WN7 4AD</t>
  </si>
  <si>
    <t>RG12 1JS</t>
  </si>
  <si>
    <t>SN4 7HF</t>
  </si>
  <si>
    <t>CB9 7BN</t>
  </si>
  <si>
    <t>HU17 8DY</t>
  </si>
  <si>
    <t>S60 2DA</t>
  </si>
  <si>
    <t>SW19 4DD</t>
  </si>
  <si>
    <t>SN14 0WT</t>
  </si>
  <si>
    <t>RG19 4AZ</t>
  </si>
  <si>
    <t>M4 5DL</t>
  </si>
  <si>
    <t>CR0 1QG</t>
  </si>
  <si>
    <t>NG8 6PY</t>
  </si>
  <si>
    <t>DE1 2GT</t>
  </si>
  <si>
    <t>HU3 2LL</t>
  </si>
  <si>
    <t>SN1 3AW</t>
  </si>
  <si>
    <t>NG21 0NZ</t>
  </si>
  <si>
    <t>NE6 2YL</t>
  </si>
  <si>
    <t>BD9 5BQ</t>
  </si>
  <si>
    <t>GU8 5EE</t>
  </si>
  <si>
    <t>TW3 1DA</t>
  </si>
  <si>
    <t>TW4 6JS</t>
  </si>
  <si>
    <t>BS16 7FH</t>
  </si>
  <si>
    <t>SR5 3XJ</t>
  </si>
  <si>
    <t>KT16 9BQ</t>
  </si>
  <si>
    <t>CF10 5FE</t>
  </si>
  <si>
    <t>L8 7BA</t>
  </si>
  <si>
    <t>CF3 0EG</t>
  </si>
  <si>
    <t>SO53 3LE</t>
  </si>
  <si>
    <t>E14 4JB</t>
  </si>
  <si>
    <t>NE11 0EF</t>
  </si>
  <si>
    <t>IP1 5NP</t>
  </si>
  <si>
    <t>YO1 9WB</t>
  </si>
  <si>
    <t>B70 6RP</t>
  </si>
  <si>
    <t>GU21 5RW</t>
  </si>
  <si>
    <t>WD24 4QL</t>
  </si>
  <si>
    <t>IP8 4PZ</t>
  </si>
  <si>
    <t>CH1 2NP</t>
  </si>
  <si>
    <t>CW8 1HW</t>
  </si>
  <si>
    <t>HP2 7EX</t>
  </si>
  <si>
    <t>CW11 1HZ</t>
  </si>
  <si>
    <t>OX5 1JD</t>
  </si>
  <si>
    <t>DE14 2WF</t>
  </si>
  <si>
    <t>SG17 5TQ</t>
  </si>
  <si>
    <t>NW1 2AE</t>
  </si>
  <si>
    <t>GU21 6JT</t>
  </si>
  <si>
    <t>SR1 3NE</t>
  </si>
  <si>
    <t>TS5 4BE</t>
  </si>
  <si>
    <t>DY11 7RA</t>
  </si>
  <si>
    <t>CH14RN</t>
  </si>
  <si>
    <t>NG2 1AE</t>
  </si>
  <si>
    <t>BS2 8RR</t>
  </si>
  <si>
    <t>OX28 6ET</t>
  </si>
  <si>
    <t>EX2 5AB</t>
  </si>
  <si>
    <t>UB9 5HR</t>
  </si>
  <si>
    <t>LE19 1SA</t>
  </si>
  <si>
    <t>PR9 0TZ</t>
  </si>
  <si>
    <t>KT6 6DF</t>
  </si>
  <si>
    <t>WC2B 4BA</t>
  </si>
  <si>
    <t>SE13 6QT</t>
  </si>
  <si>
    <t>NR13 6LH</t>
  </si>
  <si>
    <t>NE43 7SF</t>
  </si>
  <si>
    <t>EX4 4JS</t>
  </si>
  <si>
    <t>PR2 8UR</t>
  </si>
  <si>
    <t>NE1 2ES</t>
  </si>
  <si>
    <t>SK3 0XG</t>
  </si>
  <si>
    <t>RH10 1NR</t>
  </si>
  <si>
    <t>SE18 7DQ</t>
  </si>
  <si>
    <t>N1 6HQ</t>
  </si>
  <si>
    <t>N7 0RN</t>
  </si>
  <si>
    <t>W10 6EY</t>
  </si>
  <si>
    <t>SW4 9BL</t>
  </si>
  <si>
    <t>SE4 1UT</t>
  </si>
  <si>
    <t>SE13 5GE</t>
  </si>
  <si>
    <t>E14 0AF</t>
  </si>
  <si>
    <t>EC2A 4XW</t>
  </si>
  <si>
    <t>SW18 2PP</t>
  </si>
  <si>
    <t>WC1X 8RA</t>
  </si>
  <si>
    <t>SW12 8EN</t>
  </si>
  <si>
    <t>W2 1NB</t>
  </si>
  <si>
    <t>RM7 0XU</t>
  </si>
  <si>
    <t>EN5 4AZ</t>
  </si>
  <si>
    <t>N12 9EY</t>
  </si>
  <si>
    <t>DA17 6JA</t>
  </si>
  <si>
    <t>NW10 2XD</t>
  </si>
  <si>
    <t>BR2 8HE</t>
  </si>
  <si>
    <t>CR9 1DX</t>
  </si>
  <si>
    <t>CR5 1YA</t>
  </si>
  <si>
    <t>CR2 8JJ</t>
  </si>
  <si>
    <t>EN1 4RQ</t>
  </si>
  <si>
    <t>HA7 4BQ</t>
  </si>
  <si>
    <t>HA3 6RR</t>
  </si>
  <si>
    <t>HA1 3HX</t>
  </si>
  <si>
    <t>RM11 2LL</t>
  </si>
  <si>
    <t>RM11 3TB</t>
  </si>
  <si>
    <t>UB8 1NQ</t>
  </si>
  <si>
    <t>TW7 4HS</t>
  </si>
  <si>
    <t>KT1 2AQ</t>
  </si>
  <si>
    <t>E6 6ER</t>
  </si>
  <si>
    <t>E13 8SG</t>
  </si>
  <si>
    <t>RM6 4XT</t>
  </si>
  <si>
    <t>TW2 7SJ</t>
  </si>
  <si>
    <t>E17 4JB</t>
  </si>
  <si>
    <t>E10 6EQ</t>
  </si>
  <si>
    <t>E17 5AA</t>
  </si>
  <si>
    <t>B5 5SU</t>
  </si>
  <si>
    <t>B3 1JB</t>
  </si>
  <si>
    <t>B4 7PS</t>
  </si>
  <si>
    <t>B12 9FF</t>
  </si>
  <si>
    <t>B38 8QT</t>
  </si>
  <si>
    <t>CV2 1ED</t>
  </si>
  <si>
    <t>CV1 5DG</t>
  </si>
  <si>
    <t>CV4 9SW</t>
  </si>
  <si>
    <t>DY1 4AS</t>
  </si>
  <si>
    <t>B63 3NA</t>
  </si>
  <si>
    <t>DY8 1TD</t>
  </si>
  <si>
    <t>B70 6AW</t>
  </si>
  <si>
    <t>B91 1SB</t>
  </si>
  <si>
    <t>B91 3WR</t>
  </si>
  <si>
    <t>WS2 8ES</t>
  </si>
  <si>
    <t>WV6 0DU</t>
  </si>
  <si>
    <t>L36 9TD</t>
  </si>
  <si>
    <t>L3 5TP</t>
  </si>
  <si>
    <t>WA10 1PP</t>
  </si>
  <si>
    <t>WA10 3AG</t>
  </si>
  <si>
    <t>L20 7EW</t>
  </si>
  <si>
    <t>PR9 0TT</t>
  </si>
  <si>
    <t>PR8 6LR</t>
  </si>
  <si>
    <t>CH41 4NT</t>
  </si>
  <si>
    <t>CH43 8SQ</t>
  </si>
  <si>
    <t>BL3 5BG</t>
  </si>
  <si>
    <t>BL9 0BG</t>
  </si>
  <si>
    <t>BL9 9BB</t>
  </si>
  <si>
    <t>M11 2WH</t>
  </si>
  <si>
    <t>M15 5PB</t>
  </si>
  <si>
    <t>M14 5RB</t>
  </si>
  <si>
    <t>OL8 1XU</t>
  </si>
  <si>
    <t>M24 6XH</t>
  </si>
  <si>
    <t>M50 3SR</t>
  </si>
  <si>
    <t>SK2 6TH</t>
  </si>
  <si>
    <t>SK8 5HA</t>
  </si>
  <si>
    <t>OL6 6NX</t>
  </si>
  <si>
    <t>OL6 9RL</t>
  </si>
  <si>
    <t>M32 0XH</t>
  </si>
  <si>
    <t>WN1 1RS</t>
  </si>
  <si>
    <t>WN5 7XF</t>
  </si>
  <si>
    <t>WN5 0LJ</t>
  </si>
  <si>
    <t>S70 2YW</t>
  </si>
  <si>
    <t>DN1 2RF</t>
  </si>
  <si>
    <t>S63 7EW</t>
  </si>
  <si>
    <t>S60 2BE</t>
  </si>
  <si>
    <t>S2 2YY</t>
  </si>
  <si>
    <t>BD7 1AY</t>
  </si>
  <si>
    <t>BD18 3JW</t>
  </si>
  <si>
    <t>HX1 3UZ</t>
  </si>
  <si>
    <t>HD1 3HH</t>
  </si>
  <si>
    <t>HD1 4ES</t>
  </si>
  <si>
    <t>HD3 4GL</t>
  </si>
  <si>
    <t>LS2 8BL</t>
  </si>
  <si>
    <t>LS2 7QT</t>
  </si>
  <si>
    <t>LS2 9AQ</t>
  </si>
  <si>
    <t>LS2 9BL</t>
  </si>
  <si>
    <t>WF1 2DH</t>
  </si>
  <si>
    <t>WF8 4QR</t>
  </si>
  <si>
    <t>NE8 3BE</t>
  </si>
  <si>
    <t>NE34 6ET</t>
  </si>
  <si>
    <t>BA3 3RW</t>
  </si>
  <si>
    <t>BS23 2AL</t>
  </si>
  <si>
    <t>TS24 7NT</t>
  </si>
  <si>
    <t>TS25 5PF</t>
  </si>
  <si>
    <t>TS2 1AD</t>
  </si>
  <si>
    <t>TS5 7RJ</t>
  </si>
  <si>
    <t>TS10 1EZ</t>
  </si>
  <si>
    <t>TS14 6BU</t>
  </si>
  <si>
    <t>TS17 6FB</t>
  </si>
  <si>
    <t>TS19 0QD</t>
  </si>
  <si>
    <t>HU1 3DG</t>
  </si>
  <si>
    <t>HU8 9HD</t>
  </si>
  <si>
    <t>HU5 4NT</t>
  </si>
  <si>
    <t>HU17 7DT</t>
  </si>
  <si>
    <t>HU17 8QG</t>
  </si>
  <si>
    <t>DN34 5BQ</t>
  </si>
  <si>
    <t>DN34 5BY</t>
  </si>
  <si>
    <t>DN17 1AJ</t>
  </si>
  <si>
    <t>DN17 1DS</t>
  </si>
  <si>
    <t>BD23 1US</t>
  </si>
  <si>
    <t>YO8 8AT</t>
  </si>
  <si>
    <t>YO12 5LF</t>
  </si>
  <si>
    <t>YO23 2BB</t>
  </si>
  <si>
    <t>YO23 3FR</t>
  </si>
  <si>
    <t>MK42 9AH</t>
  </si>
  <si>
    <t>LU2 0EZ</t>
  </si>
  <si>
    <t>LU2 7EW</t>
  </si>
  <si>
    <t>RG14 7TD</t>
  </si>
  <si>
    <t>RG12 1DJ</t>
  </si>
  <si>
    <t>SL3 8BY</t>
  </si>
  <si>
    <t>HP21 8PD</t>
  </si>
  <si>
    <t>HP7 9HN</t>
  </si>
  <si>
    <t>MK6 5LP</t>
  </si>
  <si>
    <t>CB4 2QT</t>
  </si>
  <si>
    <t>PE29 1BL</t>
  </si>
  <si>
    <t>PE1 4DZ</t>
  </si>
  <si>
    <t>CB2 8PE</t>
  </si>
  <si>
    <t>CB2 8PX</t>
  </si>
  <si>
    <t>WA2 8QA</t>
  </si>
  <si>
    <t>CH65 7BF</t>
  </si>
  <si>
    <t>CW2 8AB</t>
  </si>
  <si>
    <t>SK11 8LF</t>
  </si>
  <si>
    <t>WA8 7QQ</t>
  </si>
  <si>
    <t>CW5 6DF</t>
  </si>
  <si>
    <t>WA4 6RD</t>
  </si>
  <si>
    <t>CW9 8AF</t>
  </si>
  <si>
    <t>PL25 4DJ</t>
  </si>
  <si>
    <t>TR1 3XX</t>
  </si>
  <si>
    <t>LA9 5AY</t>
  </si>
  <si>
    <t>LA14 2PJ</t>
  </si>
  <si>
    <t>CA1 1HS</t>
  </si>
  <si>
    <t>LA13 9LE</t>
  </si>
  <si>
    <t>S41 7NG</t>
  </si>
  <si>
    <t>EX31 2BQ</t>
  </si>
  <si>
    <t>TQ4 7EJ</t>
  </si>
  <si>
    <t>PL1 5QG</t>
  </si>
  <si>
    <t>PL4 8AT</t>
  </si>
  <si>
    <t>EX9 7BY</t>
  </si>
  <si>
    <t>BH14 0LS</t>
  </si>
  <si>
    <t>DT4 7LQ</t>
  </si>
  <si>
    <t>BH12 5HH</t>
  </si>
  <si>
    <t>DT2 8PY</t>
  </si>
  <si>
    <t>DL14 6JZ</t>
  </si>
  <si>
    <t>DH8 5EE</t>
  </si>
  <si>
    <t>DH1 5ES</t>
  </si>
  <si>
    <t>DL3 7AU</t>
  </si>
  <si>
    <t>BN1 4FA</t>
  </si>
  <si>
    <t>TN34 1BA</t>
  </si>
  <si>
    <t>BN21 2UF</t>
  </si>
  <si>
    <t>BN7 3AE</t>
  </si>
  <si>
    <t>BN1 6WQ</t>
  </si>
  <si>
    <t>BN3 6EG</t>
  </si>
  <si>
    <t>TN40 2JG</t>
  </si>
  <si>
    <t>CO3 3LL</t>
  </si>
  <si>
    <t>CM20 3LH</t>
  </si>
  <si>
    <t>IG10 3SA</t>
  </si>
  <si>
    <t>CM2 0JQ</t>
  </si>
  <si>
    <t>CO1 1SN</t>
  </si>
  <si>
    <t>SS7 1TW</t>
  </si>
  <si>
    <t>GL19 3BE</t>
  </si>
  <si>
    <t>RG21 8TN</t>
  </si>
  <si>
    <t>GU14 6SB</t>
  </si>
  <si>
    <t>SO42 7ZE</t>
  </si>
  <si>
    <t>GU34 2LX</t>
  </si>
  <si>
    <t>SO50 5FS</t>
  </si>
  <si>
    <t>PO14 1NH</t>
  </si>
  <si>
    <t>PO7 8AA</t>
  </si>
  <si>
    <t>SO14 1AR</t>
  </si>
  <si>
    <t>PO6 2SA</t>
  </si>
  <si>
    <t>SO40 3ZX</t>
  </si>
  <si>
    <t>RG21 3HF</t>
  </si>
  <si>
    <t>SO50 5ZA</t>
  </si>
  <si>
    <t>PO9 1QL</t>
  </si>
  <si>
    <t>GU14 8JX</t>
  </si>
  <si>
    <t>SO19 7TB</t>
  </si>
  <si>
    <t>PO12 4QA</t>
  </si>
  <si>
    <t>PO3 6PZ</t>
  </si>
  <si>
    <t>SO15 5RL</t>
  </si>
  <si>
    <t>SO22 6RX</t>
  </si>
  <si>
    <t>WR11 1LP</t>
  </si>
  <si>
    <t>HR1 1LS</t>
  </si>
  <si>
    <t>B98 8DW</t>
  </si>
  <si>
    <t>HR1 1LT</t>
  </si>
  <si>
    <t>HR1 1LU</t>
  </si>
  <si>
    <t>WR5 2LU</t>
  </si>
  <si>
    <t>WD17 3EZ</t>
  </si>
  <si>
    <t>SG1 1LA</t>
  </si>
  <si>
    <t>SG12 9JF</t>
  </si>
  <si>
    <t>AL4 0JA</t>
  </si>
  <si>
    <t>DA1 2JT</t>
  </si>
  <si>
    <t>ME7 1FN</t>
  </si>
  <si>
    <t>TN9 2PW</t>
  </si>
  <si>
    <t>CT10 1PN</t>
  </si>
  <si>
    <t>CT1 3AJ</t>
  </si>
  <si>
    <t>TN11 0AL</t>
  </si>
  <si>
    <t>BB5 2AW</t>
  </si>
  <si>
    <t>BB12 0AN</t>
  </si>
  <si>
    <t>BB2 1LH</t>
  </si>
  <si>
    <t>LA1 2TY</t>
  </si>
  <si>
    <t>BB9 7YT</t>
  </si>
  <si>
    <t>FY2 0HB</t>
  </si>
  <si>
    <t>PR25 3DQ</t>
  </si>
  <si>
    <t>PR3 0RY</t>
  </si>
  <si>
    <t>FY3 7LR</t>
  </si>
  <si>
    <t>PR1 4HD</t>
  </si>
  <si>
    <t>BB1 8DX</t>
  </si>
  <si>
    <t>LE67 3TN</t>
  </si>
  <si>
    <t>LE18 4PH</t>
  </si>
  <si>
    <t>LE2 7LW</t>
  </si>
  <si>
    <t>LE14 2LJ</t>
  </si>
  <si>
    <t>LE5 1GA</t>
  </si>
  <si>
    <t>LE1 7RJ</t>
  </si>
  <si>
    <t>LE1 7LW</t>
  </si>
  <si>
    <t>NG31 9AP</t>
  </si>
  <si>
    <t>PE9 1XA</t>
  </si>
  <si>
    <t>PE21 6JF</t>
  </si>
  <si>
    <t>PE30 2QW</t>
  </si>
  <si>
    <t>NR2 2LJ</t>
  </si>
  <si>
    <t>NR31 0ED</t>
  </si>
  <si>
    <t>NR9 5DX</t>
  </si>
  <si>
    <t>NR28 9JL</t>
  </si>
  <si>
    <t>NN3 3RF</t>
  </si>
  <si>
    <t>NN15 6ER</t>
  </si>
  <si>
    <t>NN3 7RR</t>
  </si>
  <si>
    <t>NE63 9RG</t>
  </si>
  <si>
    <t>NG1 1NG</t>
  </si>
  <si>
    <t>NG18 5BH</t>
  </si>
  <si>
    <t>S81 7HP</t>
  </si>
  <si>
    <t>NG2 7GA</t>
  </si>
  <si>
    <t>NG8 4DQ</t>
  </si>
  <si>
    <t>OX1 1SA</t>
  </si>
  <si>
    <t>OX14 1GG</t>
  </si>
  <si>
    <t>OX3 9BZ</t>
  </si>
  <si>
    <t>TF1 2NP</t>
  </si>
  <si>
    <t>SY11 4QB</t>
  </si>
  <si>
    <t>SY2 6PR</t>
  </si>
  <si>
    <t>SY1 1RX</t>
  </si>
  <si>
    <t>TA6 4PZ</t>
  </si>
  <si>
    <t>TA1 5AX</t>
  </si>
  <si>
    <t>BA21 4DR</t>
  </si>
  <si>
    <t>BA16 0AB</t>
  </si>
  <si>
    <t>TA1 3DZ</t>
  </si>
  <si>
    <t>WS11 1UE</t>
  </si>
  <si>
    <t>ST5 2GB</t>
  </si>
  <si>
    <t>ST16 2QR</t>
  </si>
  <si>
    <t>ST4 2DG</t>
  </si>
  <si>
    <t>ST4 2RU</t>
  </si>
  <si>
    <t>IP33 3RL</t>
  </si>
  <si>
    <t>NR32 2NB</t>
  </si>
  <si>
    <t>IP4 1LT</t>
  </si>
  <si>
    <t>RH1 2JX</t>
  </si>
  <si>
    <t>KT13 8TT</t>
  </si>
  <si>
    <t>GU7 1RS</t>
  </si>
  <si>
    <t>RH2 0SD</t>
  </si>
  <si>
    <t>KT7 0JB</t>
  </si>
  <si>
    <t>GU22 9DL</t>
  </si>
  <si>
    <t>TW20 9DR</t>
  </si>
  <si>
    <t>CV11 6BH</t>
  </si>
  <si>
    <t>CV37 9QR</t>
  </si>
  <si>
    <t>CV11 4BE</t>
  </si>
  <si>
    <t>BN12 6NU</t>
  </si>
  <si>
    <t>PO19 1SB</t>
  </si>
  <si>
    <t>BN13 1NS</t>
  </si>
  <si>
    <t>RH12 2EJ</t>
  </si>
  <si>
    <t>SN15 3QD</t>
  </si>
  <si>
    <t>SN2 1DY</t>
  </si>
  <si>
    <t>BS1 5UA</t>
  </si>
  <si>
    <t>TW9 2RE</t>
  </si>
  <si>
    <t>SR3 4AH</t>
  </si>
  <si>
    <t>SY1 3GZ</t>
  </si>
  <si>
    <t>SR8 2RN</t>
  </si>
  <si>
    <t>SK9 7UD</t>
  </si>
  <si>
    <t>BL3 5BU</t>
  </si>
  <si>
    <t>BA11 2AB</t>
  </si>
  <si>
    <t>SN1 4AS</t>
  </si>
  <si>
    <t>M7 4HA</t>
  </si>
  <si>
    <t>NE2 3BB</t>
  </si>
  <si>
    <t>SM6 0NB</t>
  </si>
  <si>
    <t>WF4 3JL</t>
  </si>
  <si>
    <t>EX2 4NF</t>
  </si>
  <si>
    <t>S1 2NG</t>
  </si>
  <si>
    <t>PE7 8JB</t>
  </si>
  <si>
    <t>ST4 8LJ</t>
  </si>
  <si>
    <t>DL5 6UN</t>
  </si>
  <si>
    <t>CT9 1NB</t>
  </si>
  <si>
    <t>HR1 1EB</t>
  </si>
  <si>
    <t>SY11 3JA</t>
  </si>
  <si>
    <t>TR11 4RH</t>
  </si>
  <si>
    <t>DE24 8JE</t>
  </si>
  <si>
    <t>E5 8BP</t>
  </si>
  <si>
    <t>B42 2SU</t>
  </si>
  <si>
    <t>BL3 5AB</t>
  </si>
  <si>
    <t>SE10 0EW</t>
  </si>
  <si>
    <t>CM1 3RR</t>
  </si>
  <si>
    <t>CV1 5FB</t>
  </si>
  <si>
    <t>DE22 1GB</t>
  </si>
  <si>
    <t>GU9 7DS</t>
  </si>
  <si>
    <t>HP11 2JZ</t>
  </si>
  <si>
    <t>LE1 9BH</t>
  </si>
  <si>
    <t>LE11 3TU</t>
  </si>
  <si>
    <t>LN6 7TS</t>
  </si>
  <si>
    <t>M15 6BH</t>
  </si>
  <si>
    <t>NG1 4BU</t>
  </si>
  <si>
    <t>OX3 0BP</t>
  </si>
  <si>
    <t>SO14 0YN</t>
  </si>
  <si>
    <t>SR1 3SD</t>
  </si>
  <si>
    <t>WC1V 7EY</t>
  </si>
  <si>
    <t>W5 5RF</t>
  </si>
  <si>
    <t>S5 6SG</t>
  </si>
  <si>
    <t>M11 2GR</t>
  </si>
  <si>
    <t>NE28 9NL</t>
  </si>
  <si>
    <t>OL12 6HY</t>
  </si>
  <si>
    <t>NR32 2PJ</t>
  </si>
  <si>
    <t>E14 9UB</t>
  </si>
  <si>
    <t>E15 1AJ</t>
  </si>
  <si>
    <t>SE18 4LD</t>
  </si>
  <si>
    <t>N17 8HR</t>
  </si>
  <si>
    <t>Total 12/13 Learners</t>
  </si>
  <si>
    <t>Address1</t>
  </si>
  <si>
    <t>Address2</t>
  </si>
  <si>
    <t>Address3</t>
  </si>
  <si>
    <t>Address4</t>
  </si>
  <si>
    <t>Address5</t>
  </si>
  <si>
    <t>Post Code</t>
  </si>
  <si>
    <t>Slyne Road</t>
  </si>
  <si>
    <t>Lancaster</t>
  </si>
  <si>
    <t>Tyne and Wear</t>
  </si>
  <si>
    <t>Wollaston Road</t>
  </si>
  <si>
    <t>Amblecote</t>
  </si>
  <si>
    <t>Stourbridge</t>
  </si>
  <si>
    <t>Cheltenham</t>
  </si>
  <si>
    <t>Dilston Hall</t>
  </si>
  <si>
    <t>The Oaks</t>
  </si>
  <si>
    <t>Lindeth</t>
  </si>
  <si>
    <t>Cambridge</t>
  </si>
  <si>
    <t>Twickenham</t>
  </si>
  <si>
    <t>Epsom</t>
  </si>
  <si>
    <t>Lufton</t>
  </si>
  <si>
    <t>Croydon Road</t>
  </si>
  <si>
    <t>Hayes</t>
  </si>
  <si>
    <t>Radmoor Road</t>
  </si>
  <si>
    <t>Loughborough</t>
  </si>
  <si>
    <t>Bransgore</t>
  </si>
  <si>
    <t>Christchurch</t>
  </si>
  <si>
    <t>Old Town</t>
  </si>
  <si>
    <t>The Esplanade</t>
  </si>
  <si>
    <t>Minehead</t>
  </si>
  <si>
    <t>49 Court Oak Road</t>
  </si>
  <si>
    <t>Harborne</t>
  </si>
  <si>
    <t>42 St Mary's Road</t>
  </si>
  <si>
    <t>Sileby</t>
  </si>
  <si>
    <t>Brighton</t>
  </si>
  <si>
    <t>Faircrouch Lane</t>
  </si>
  <si>
    <t>Guildford</t>
  </si>
  <si>
    <t>Edgbaston</t>
  </si>
  <si>
    <t>William Morris House</t>
  </si>
  <si>
    <t>Eastington</t>
  </si>
  <si>
    <t>Stonehouse</t>
  </si>
  <si>
    <t>Redhill</t>
  </si>
  <si>
    <t>Morpeth</t>
  </si>
  <si>
    <t>Chapelthorpe</t>
  </si>
  <si>
    <t>West Yorkshire</t>
  </si>
  <si>
    <t>North Park Lane</t>
  </si>
  <si>
    <t>Godstone</t>
  </si>
  <si>
    <t>Dawlish</t>
  </si>
  <si>
    <t>Upper Mill Farm</t>
  </si>
  <si>
    <t>Creswell</t>
  </si>
  <si>
    <t>Much Hadham</t>
  </si>
  <si>
    <t>Oldbury</t>
  </si>
  <si>
    <t>Nottingham Road</t>
  </si>
  <si>
    <t>Mansfield</t>
  </si>
  <si>
    <t>Stoke on Trent</t>
  </si>
  <si>
    <t>Toynton Campus</t>
  </si>
  <si>
    <t>Toynton All Saints</t>
  </si>
  <si>
    <t>Eastcote</t>
  </si>
  <si>
    <t>Banstead Place</t>
  </si>
  <si>
    <t>Park Road</t>
  </si>
  <si>
    <t>Banstead</t>
  </si>
  <si>
    <t>Southend Road</t>
  </si>
  <si>
    <t>96 Cliff Road</t>
  </si>
  <si>
    <t>Newport</t>
  </si>
  <si>
    <t>Jubilee House</t>
  </si>
  <si>
    <t>1 Nottingham Road</t>
  </si>
  <si>
    <t>Ripley</t>
  </si>
  <si>
    <t>Bessemer Road</t>
  </si>
  <si>
    <t>Calder Island Way</t>
  </si>
  <si>
    <t>Cardiff</t>
  </si>
  <si>
    <t>Chippenham</t>
  </si>
  <si>
    <t>Unit 4</t>
  </si>
  <si>
    <t>St George's Road</t>
  </si>
  <si>
    <t>Dagenham</t>
  </si>
  <si>
    <t>Chester</t>
  </si>
  <si>
    <t>17 Uplands Road</t>
  </si>
  <si>
    <t>Bexleyheath</t>
  </si>
  <si>
    <t>Thorpe Lodge</t>
  </si>
  <si>
    <t>1 Yarmouth Road</t>
  </si>
  <si>
    <t>Norwich</t>
  </si>
  <si>
    <t>County Hall</t>
  </si>
  <si>
    <t>Walton Street</t>
  </si>
  <si>
    <t>Aylesbury</t>
  </si>
  <si>
    <t>The Priory</t>
  </si>
  <si>
    <t>Stomp Road</t>
  </si>
  <si>
    <t>Burnham</t>
  </si>
  <si>
    <t>Grosvenor House</t>
  </si>
  <si>
    <t>Hollinswood Road</t>
  </si>
  <si>
    <t>Central Park</t>
  </si>
  <si>
    <t>Telford</t>
  </si>
  <si>
    <t>662 North Row</t>
  </si>
  <si>
    <t>Sutton Road</t>
  </si>
  <si>
    <t>Kirkby-In-Ashfield</t>
  </si>
  <si>
    <t>North Trade Road</t>
  </si>
  <si>
    <t>Battle</t>
  </si>
  <si>
    <t>Cirencester</t>
  </si>
  <si>
    <t>Commerce Centre</t>
  </si>
  <si>
    <t>Canal Wharf</t>
  </si>
  <si>
    <t>Chesterfield</t>
  </si>
  <si>
    <t>Dorchester</t>
  </si>
  <si>
    <t>St. Annes Crescent</t>
  </si>
  <si>
    <t>Lewes</t>
  </si>
  <si>
    <t>Ruddington Fields Business Park</t>
  </si>
  <si>
    <t>Ruddington</t>
  </si>
  <si>
    <t>Enham Place</t>
  </si>
  <si>
    <t>Enham Alamein</t>
  </si>
  <si>
    <t>Andover</t>
  </si>
  <si>
    <t>Suite B, South Wing</t>
  </si>
  <si>
    <t>Valley House</t>
  </si>
  <si>
    <t>Valley Road</t>
  </si>
  <si>
    <t>Plympton</t>
  </si>
  <si>
    <t>Llanthony Warehouse</t>
  </si>
  <si>
    <t>The Docks</t>
  </si>
  <si>
    <t>Gloucester</t>
  </si>
  <si>
    <t>Hove</t>
  </si>
  <si>
    <t>Hastings</t>
  </si>
  <si>
    <t>69 Hanover Street</t>
  </si>
  <si>
    <t>Adult &amp; Community Learning</t>
  </si>
  <si>
    <t>Room 145</t>
  </si>
  <si>
    <t>Pegs Lane</t>
  </si>
  <si>
    <t>Hertford</t>
  </si>
  <si>
    <t>Redditch</t>
  </si>
  <si>
    <t>Grimsby</t>
  </si>
  <si>
    <t>Green Lane</t>
  </si>
  <si>
    <t>Lincoln</t>
  </si>
  <si>
    <t>St David's House</t>
  </si>
  <si>
    <t>Drake Business Park</t>
  </si>
  <si>
    <t>11 Drake Crescent</t>
  </si>
  <si>
    <t>Waterthorpe</t>
  </si>
  <si>
    <t>Unit 12</t>
  </si>
  <si>
    <t>Hayward Industrial Park</t>
  </si>
  <si>
    <t>Vigo Place</t>
  </si>
  <si>
    <t>Aldridge</t>
  </si>
  <si>
    <t>University Road</t>
  </si>
  <si>
    <t>1st Floor</t>
  </si>
  <si>
    <t>Hereford</t>
  </si>
  <si>
    <t>Merseyside</t>
  </si>
  <si>
    <t>Kings Gate House</t>
  </si>
  <si>
    <t>Church Road</t>
  </si>
  <si>
    <t>Bristol</t>
  </si>
  <si>
    <t>Dearing House</t>
  </si>
  <si>
    <t>1 Young Street</t>
  </si>
  <si>
    <t>St Helens</t>
  </si>
  <si>
    <t>3rd Floor SE, Perceval House</t>
  </si>
  <si>
    <t>14-16 Uxbridge Road</t>
  </si>
  <si>
    <t>Civic Centre</t>
  </si>
  <si>
    <t>Middlesex</t>
  </si>
  <si>
    <t>42-46</t>
  </si>
  <si>
    <t>Renshaw Street</t>
  </si>
  <si>
    <t>Commerce House</t>
  </si>
  <si>
    <t>Huddersfield</t>
  </si>
  <si>
    <t>PO BOX 500</t>
  </si>
  <si>
    <t>Rivers Ace Centre</t>
  </si>
  <si>
    <t>Trent Road</t>
  </si>
  <si>
    <t>Bletchley</t>
  </si>
  <si>
    <t>Park Place 12</t>
  </si>
  <si>
    <t>Lawn Lane</t>
  </si>
  <si>
    <t>Ware</t>
  </si>
  <si>
    <t>Long Eaton</t>
  </si>
  <si>
    <t>The Old Rectory</t>
  </si>
  <si>
    <t>Pennine Avenue</t>
  </si>
  <si>
    <t>North Tees Industrial Estate</t>
  </si>
  <si>
    <t>Stockton on Tees</t>
  </si>
  <si>
    <t>Scunthorpe</t>
  </si>
  <si>
    <t>John Dryden House</t>
  </si>
  <si>
    <t>8-10 The Lakes</t>
  </si>
  <si>
    <t>Northampton</t>
  </si>
  <si>
    <t>12 Europa View</t>
  </si>
  <si>
    <t>Unipart House</t>
  </si>
  <si>
    <t>Garsington Road</t>
  </si>
  <si>
    <t>Oxford</t>
  </si>
  <si>
    <t>Berkeley House</t>
  </si>
  <si>
    <t>Greater Manchester</t>
  </si>
  <si>
    <t>Security House</t>
  </si>
  <si>
    <t>Barbourne Road</t>
  </si>
  <si>
    <t>Worcester</t>
  </si>
  <si>
    <t>Main Road</t>
  </si>
  <si>
    <t>Hockley</t>
  </si>
  <si>
    <t>Shrewsbury</t>
  </si>
  <si>
    <t>Bridgwater</t>
  </si>
  <si>
    <t>Hebburn</t>
  </si>
  <si>
    <t>Unit 1-2</t>
  </si>
  <si>
    <t>East Way Rivergreen Industrial Estate</t>
  </si>
  <si>
    <t>Unit 8</t>
  </si>
  <si>
    <t>Swanscombe Business Centre London Road</t>
  </si>
  <si>
    <t>Swanscombe</t>
  </si>
  <si>
    <t>High Street</t>
  </si>
  <si>
    <t>Thames Ditton</t>
  </si>
  <si>
    <t>Gipsy Lane</t>
  </si>
  <si>
    <t>Council Offices</t>
  </si>
  <si>
    <t>Wellington Road</t>
  </si>
  <si>
    <t>Ashton-under-Lyne</t>
  </si>
  <si>
    <t>Watford</t>
  </si>
  <si>
    <t>Room 223</t>
  </si>
  <si>
    <t>West Street</t>
  </si>
  <si>
    <t>Chichester</t>
  </si>
  <si>
    <t>The Council House Birmingham</t>
  </si>
  <si>
    <t>Second Floor</t>
  </si>
  <si>
    <t>Central Library</t>
  </si>
  <si>
    <t>Chamberlin Square</t>
  </si>
  <si>
    <t>2 Captain Street</t>
  </si>
  <si>
    <t>Allen Park Centre</t>
  </si>
  <si>
    <t>Allen Street</t>
  </si>
  <si>
    <t>Allenton</t>
  </si>
  <si>
    <t>Chatsworth Hall</t>
  </si>
  <si>
    <t>Chesterfield Road</t>
  </si>
  <si>
    <t>Matlock</t>
  </si>
  <si>
    <t>The Council House</t>
  </si>
  <si>
    <t>Priory Road</t>
  </si>
  <si>
    <t>Learning Delivery Team and Learning Support Team (DLR and CREATE)</t>
  </si>
  <si>
    <t>Adult Learning and Skills Service - Education Service</t>
  </si>
  <si>
    <t>Council Offices, Civic Centre</t>
  </si>
  <si>
    <t>North Terrace, Crook</t>
  </si>
  <si>
    <t>Po Box 4</t>
  </si>
  <si>
    <t>Room 224</t>
  </si>
  <si>
    <t>Station Road</t>
  </si>
  <si>
    <t>Northallerton</t>
  </si>
  <si>
    <t>The Fitzpatrick Building</t>
  </si>
  <si>
    <t>188 York Way</t>
  </si>
  <si>
    <t>Stroud</t>
  </si>
  <si>
    <t>Civic Building</t>
  </si>
  <si>
    <t>Walker Place</t>
  </si>
  <si>
    <t>Adult Education Service</t>
  </si>
  <si>
    <t>Stopford House</t>
  </si>
  <si>
    <t>Town Hall</t>
  </si>
  <si>
    <t>Ipswich</t>
  </si>
  <si>
    <t>Catherine House</t>
  </si>
  <si>
    <t>Lever Street</t>
  </si>
  <si>
    <t>62-64 Lime Street</t>
  </si>
  <si>
    <t>Bythesea Road</t>
  </si>
  <si>
    <t>Trowbridge</t>
  </si>
  <si>
    <t>Shute End</t>
  </si>
  <si>
    <t>3rd Floor</t>
  </si>
  <si>
    <t>Selby Centre</t>
  </si>
  <si>
    <t>Selby Road</t>
  </si>
  <si>
    <t>Tottenham</t>
  </si>
  <si>
    <t>Cannock</t>
  </si>
  <si>
    <t>Falmouth</t>
  </si>
  <si>
    <t>Kings Head Buildings</t>
  </si>
  <si>
    <t>Cloth Hall Street</t>
  </si>
  <si>
    <t>Birkenhead</t>
  </si>
  <si>
    <t>South Yorkshire</t>
  </si>
  <si>
    <t>The Training Centre</t>
  </si>
  <si>
    <t>10 Sawrey Street</t>
  </si>
  <si>
    <t>Milbay</t>
  </si>
  <si>
    <t>Acacia House</t>
  </si>
  <si>
    <t>Trentham Business Quarter Bellringer Road</t>
  </si>
  <si>
    <t>Trentham</t>
  </si>
  <si>
    <t>Stoke-on-Trent</t>
  </si>
  <si>
    <t>4 West Smithfield</t>
  </si>
  <si>
    <t>Exeter</t>
  </si>
  <si>
    <t>68 Heath Mill Lane</t>
  </si>
  <si>
    <t>Kingsway</t>
  </si>
  <si>
    <t>Team Valley Trading Estate</t>
  </si>
  <si>
    <t>Unit 3</t>
  </si>
  <si>
    <t>Bensham Trading Estate</t>
  </si>
  <si>
    <t>Lobley Hill Road</t>
  </si>
  <si>
    <t>Market Street</t>
  </si>
  <si>
    <t>St Austell</t>
  </si>
  <si>
    <t>Norwich Union House</t>
  </si>
  <si>
    <t>2 St Andrew's Cross</t>
  </si>
  <si>
    <t>c/o Uckfield Community Technology College</t>
  </si>
  <si>
    <t>Downsview Crescent</t>
  </si>
  <si>
    <t>Uckfield</t>
  </si>
  <si>
    <t>Market Rasen</t>
  </si>
  <si>
    <t>Sandfield Park</t>
  </si>
  <si>
    <t>Central Drive</t>
  </si>
  <si>
    <t>Manchester Road</t>
  </si>
  <si>
    <t>The Hurst Building</t>
  </si>
  <si>
    <t>Horwich Business Park, Chorley New Road</t>
  </si>
  <si>
    <t>Horwich</t>
  </si>
  <si>
    <t>The Strand</t>
  </si>
  <si>
    <t>Market Place</t>
  </si>
  <si>
    <t>Deanery Court</t>
  </si>
  <si>
    <t>Preston Deanery</t>
  </si>
  <si>
    <t>99 Bold Street</t>
  </si>
  <si>
    <t>86 Watery Lane Middleway</t>
  </si>
  <si>
    <t>Bordesley</t>
  </si>
  <si>
    <t>Eastbourne</t>
  </si>
  <si>
    <t>Harrogate</t>
  </si>
  <si>
    <t>Washington</t>
  </si>
  <si>
    <t>First Floor</t>
  </si>
  <si>
    <t>St. Hughs House</t>
  </si>
  <si>
    <t>Stanley Precinct</t>
  </si>
  <si>
    <t>Southport</t>
  </si>
  <si>
    <t>Reigate Road</t>
  </si>
  <si>
    <t>Beverley</t>
  </si>
  <si>
    <t>Bishop Auckland</t>
  </si>
  <si>
    <t>Basingstoke</t>
  </si>
  <si>
    <t>Cocklebury Road</t>
  </si>
  <si>
    <t>Apprentice Training School - Building C9</t>
  </si>
  <si>
    <t>Aldermaston</t>
  </si>
  <si>
    <t>Unit 1, Riverside</t>
  </si>
  <si>
    <t>2 Campbell Road</t>
  </si>
  <si>
    <t>Future Centre</t>
  </si>
  <si>
    <t>Smeaton Close</t>
  </si>
  <si>
    <t>Kielder Avenue</t>
  </si>
  <si>
    <t>Beacon Lane</t>
  </si>
  <si>
    <t>Cramlington</t>
  </si>
  <si>
    <t>8 Mosley Street</t>
  </si>
  <si>
    <t>Floor A</t>
  </si>
  <si>
    <t>Milburn House</t>
  </si>
  <si>
    <t>Dean Street</t>
  </si>
  <si>
    <t>Newcastle upon Tyne</t>
  </si>
  <si>
    <t>Mallard Way</t>
  </si>
  <si>
    <t>Pride Park</t>
  </si>
  <si>
    <t>Grays</t>
  </si>
  <si>
    <t>BAE Systems HR Shared Services</t>
  </si>
  <si>
    <t>Fulwood Park</t>
  </si>
  <si>
    <t>Caxton Road</t>
  </si>
  <si>
    <t>Preston</t>
  </si>
  <si>
    <t>Coxwell Road</t>
  </si>
  <si>
    <t>Eldon Centre</t>
  </si>
  <si>
    <t>Eldon Street North</t>
  </si>
  <si>
    <t>Barrow-in-Furness</t>
  </si>
  <si>
    <t>3rd Floor Telford House</t>
  </si>
  <si>
    <t>Hamilton Close</t>
  </si>
  <si>
    <t>Bath</t>
  </si>
  <si>
    <t>Radstock</t>
  </si>
  <si>
    <t>Hoo Farm Industrial Estate</t>
  </si>
  <si>
    <t>Worcester Road</t>
  </si>
  <si>
    <t>Kidderminster</t>
  </si>
  <si>
    <t>Dunstable</t>
  </si>
  <si>
    <t>Cauldwell Street</t>
  </si>
  <si>
    <t>Ampthill</t>
  </si>
  <si>
    <t>Unit 102</t>
  </si>
  <si>
    <t>The Argent Centre</t>
  </si>
  <si>
    <t>60 Frederick Street</t>
  </si>
  <si>
    <t>Redcar</t>
  </si>
  <si>
    <t>Sidcup</t>
  </si>
  <si>
    <t>Hull</t>
  </si>
  <si>
    <t>34 Brearley Street</t>
  </si>
  <si>
    <t>The Broadway</t>
  </si>
  <si>
    <t>European Business Park</t>
  </si>
  <si>
    <t>Taylors Lane</t>
  </si>
  <si>
    <t>King William Street</t>
  </si>
  <si>
    <t>Blackburn</t>
  </si>
  <si>
    <t>Po Box 77</t>
  </si>
  <si>
    <t>162 New Cavendish Street</t>
  </si>
  <si>
    <t>Willenhall</t>
  </si>
  <si>
    <t>Woking</t>
  </si>
  <si>
    <t>Bracknell</t>
  </si>
  <si>
    <t>Wellington Street</t>
  </si>
  <si>
    <t>Victoria Square</t>
  </si>
  <si>
    <t>Newcastle Under Lyme</t>
  </si>
  <si>
    <t>281 Jamaica Road</t>
  </si>
  <si>
    <t>Rotherhithe</t>
  </si>
  <si>
    <t>Grantham</t>
  </si>
  <si>
    <t>North Road</t>
  </si>
  <si>
    <t>One Reading Central 23</t>
  </si>
  <si>
    <t>Forbury Road</t>
  </si>
  <si>
    <t>Adult Education &amp; Lifelong Learning</t>
  </si>
  <si>
    <t>Seymour House</t>
  </si>
  <si>
    <t>38 Broadway</t>
  </si>
  <si>
    <t>Yeovil</t>
  </si>
  <si>
    <t>Jacobs Well</t>
  </si>
  <si>
    <t>Yeadon</t>
  </si>
  <si>
    <t>BTAL House</t>
  </si>
  <si>
    <t>Laisterdyke</t>
  </si>
  <si>
    <t>Brentwood</t>
  </si>
  <si>
    <t>Morelands Trading Estate</t>
  </si>
  <si>
    <t>Bristol Road</t>
  </si>
  <si>
    <t>Kings House</t>
  </si>
  <si>
    <t>Grand Avenue</t>
  </si>
  <si>
    <t>Brierley Hill</t>
  </si>
  <si>
    <t>The Park</t>
  </si>
  <si>
    <t>Daventry Road</t>
  </si>
  <si>
    <t>British Gas Academy</t>
  </si>
  <si>
    <t>Canal Street</t>
  </si>
  <si>
    <t>New Wortley</t>
  </si>
  <si>
    <t>Unit 2, Villiers Court</t>
  </si>
  <si>
    <t>Meriden Business Park, Copse Drive</t>
  </si>
  <si>
    <t>Meriden</t>
  </si>
  <si>
    <t>Snailwell Road</t>
  </si>
  <si>
    <t>Newmarket</t>
  </si>
  <si>
    <t>Launceston</t>
  </si>
  <si>
    <t>Kennard Road</t>
  </si>
  <si>
    <t>Britannia House</t>
  </si>
  <si>
    <t>1-11 Glenthorne Road</t>
  </si>
  <si>
    <t>Burnley</t>
  </si>
  <si>
    <t>Salisbury</t>
  </si>
  <si>
    <t>18 Haymarket Street</t>
  </si>
  <si>
    <t>Church Street</t>
  </si>
  <si>
    <t>Speke</t>
  </si>
  <si>
    <t>Newbury</t>
  </si>
  <si>
    <t>Shaftesbury Drive</t>
  </si>
  <si>
    <t>Burntwood</t>
  </si>
  <si>
    <t>1 Wylam Court</t>
  </si>
  <si>
    <t>Westland Way</t>
  </si>
  <si>
    <t>Preston Farm Industrial Estate</t>
  </si>
  <si>
    <t>Stockton-On-Tees</t>
  </si>
  <si>
    <t>Halifax</t>
  </si>
  <si>
    <t>Shire Hall</t>
  </si>
  <si>
    <t>Castle Hill</t>
  </si>
  <si>
    <t>Kidlington</t>
  </si>
  <si>
    <t>Canterbury</t>
  </si>
  <si>
    <t>South Wing</t>
  </si>
  <si>
    <t>Welton House</t>
  </si>
  <si>
    <t>Summerhouse Road</t>
  </si>
  <si>
    <t>Moulton Park</t>
  </si>
  <si>
    <t>Suite 8, The Courtyard</t>
  </si>
  <si>
    <t>Monks Brook</t>
  </si>
  <si>
    <t>Suite 1</t>
  </si>
  <si>
    <t>02-04 Clinton Terrace Derby Road</t>
  </si>
  <si>
    <t>Waterloo</t>
  </si>
  <si>
    <t>Unit 8 Bourne Court</t>
  </si>
  <si>
    <t>Unity Trading Estate</t>
  </si>
  <si>
    <t>Woodford Green</t>
  </si>
  <si>
    <t>Easton</t>
  </si>
  <si>
    <t>Northwich</t>
  </si>
  <si>
    <t>Onward House</t>
  </si>
  <si>
    <t>Baptist Place</t>
  </si>
  <si>
    <t>Godalming</t>
  </si>
  <si>
    <t>Babcock Enterprises</t>
  </si>
  <si>
    <t>Lee House</t>
  </si>
  <si>
    <t>90 Great Bridgewater Street</t>
  </si>
  <si>
    <t>Construction House</t>
  </si>
  <si>
    <t>24 Birch Street</t>
  </si>
  <si>
    <t>Carlisle</t>
  </si>
  <si>
    <t>King's Lynn</t>
  </si>
  <si>
    <t>Colchester</t>
  </si>
  <si>
    <t>44 Alexandra Street</t>
  </si>
  <si>
    <t>Southend-on-Sea</t>
  </si>
  <si>
    <t>Unit 18</t>
  </si>
  <si>
    <t>Iron Bridge Close Great Central Way</t>
  </si>
  <si>
    <t>8 Queen Street</t>
  </si>
  <si>
    <t>34-38 Beverley Road</t>
  </si>
  <si>
    <t>Macclesfield</t>
  </si>
  <si>
    <t>Cheshire</t>
  </si>
  <si>
    <t>Cox House</t>
  </si>
  <si>
    <t>Seymer Road</t>
  </si>
  <si>
    <t>Romford</t>
  </si>
  <si>
    <t>Nelson</t>
  </si>
  <si>
    <t>Chelmsford</t>
  </si>
  <si>
    <t>Banbury</t>
  </si>
  <si>
    <t>Middlewich</t>
  </si>
  <si>
    <t>Crewe</t>
  </si>
  <si>
    <t>Princess Way</t>
  </si>
  <si>
    <t>15 Hope Street</t>
  </si>
  <si>
    <t>Edinburgh</t>
  </si>
  <si>
    <t>Holland House</t>
  </si>
  <si>
    <t>Horncastle College</t>
  </si>
  <si>
    <t>Mareham Road</t>
  </si>
  <si>
    <t>Horncastle</t>
  </si>
  <si>
    <t>15 Station Road</t>
  </si>
  <si>
    <t>The Twenty-One Building</t>
  </si>
  <si>
    <t>21 Pinner Road</t>
  </si>
  <si>
    <t>Fosse Way Campus</t>
  </si>
  <si>
    <t>Stroud Road</t>
  </si>
  <si>
    <t>Bircham Newton Training Centre</t>
  </si>
  <si>
    <t>Bircham Newton</t>
  </si>
  <si>
    <t>Tile Hill Lane</t>
  </si>
  <si>
    <t>Tile Hill</t>
  </si>
  <si>
    <t>Bonham Drive Eurolink Business Park</t>
  </si>
  <si>
    <t>Sittingbourne</t>
  </si>
  <si>
    <t>Meteor Business Park</t>
  </si>
  <si>
    <t>Cheltenham Road East</t>
  </si>
  <si>
    <t>Training Centre</t>
  </si>
  <si>
    <t>Headland House</t>
  </si>
  <si>
    <t>Chord Business Park London Road</t>
  </si>
  <si>
    <t>Godmanchester</t>
  </si>
  <si>
    <t>Huntingdon</t>
  </si>
  <si>
    <t>Tottenham Centre</t>
  </si>
  <si>
    <t>High Road</t>
  </si>
  <si>
    <t>Acres Hill Business Park</t>
  </si>
  <si>
    <t>3 Acres Hill Lane</t>
  </si>
  <si>
    <t>Alton</t>
  </si>
  <si>
    <t>Tamar Business Park</t>
  </si>
  <si>
    <t>Pennygillam Industrial Estate</t>
  </si>
  <si>
    <t>Stafford</t>
  </si>
  <si>
    <t>All Saints Business Centre</t>
  </si>
  <si>
    <t>Newcastle-upon-Tyne</t>
  </si>
  <si>
    <t>Truro</t>
  </si>
  <si>
    <t>Carew House</t>
  </si>
  <si>
    <t>Dunmere Road</t>
  </si>
  <si>
    <t>Bodmin</t>
  </si>
  <si>
    <t>PO Box 270</t>
  </si>
  <si>
    <t>Consett</t>
  </si>
  <si>
    <t>21 Sutton Road</t>
  </si>
  <si>
    <t>Butts</t>
  </si>
  <si>
    <t>Eburne Neighbourhood Learning Centre</t>
  </si>
  <si>
    <t>Deedmore Road</t>
  </si>
  <si>
    <t>78-79 Francis Road</t>
  </si>
  <si>
    <t>Skipton</t>
  </si>
  <si>
    <t>Eastleigh</t>
  </si>
  <si>
    <t>Rooms 17 &amp; 18, The Exchange</t>
  </si>
  <si>
    <t>Express Business Park</t>
  </si>
  <si>
    <t>South Shields</t>
  </si>
  <si>
    <t>1st Floor, Tower Court</t>
  </si>
  <si>
    <t>Foleshill Enterprise Park</t>
  </si>
  <si>
    <t>Courtaulds Way</t>
  </si>
  <si>
    <t>5 Portland Square</t>
  </si>
  <si>
    <t>Victoria Place</t>
  </si>
  <si>
    <t>123 St Nicholas Street</t>
  </si>
  <si>
    <t>Leigh</t>
  </si>
  <si>
    <t>Manor Farm House</t>
  </si>
  <si>
    <t>London Road</t>
  </si>
  <si>
    <t>Shardlow</t>
  </si>
  <si>
    <t>First Floor, Petersgate House</t>
  </si>
  <si>
    <t>64 Petersgate</t>
  </si>
  <si>
    <t>Fareham Road</t>
  </si>
  <si>
    <t>Gosport</t>
  </si>
  <si>
    <t>Coleridge Centre</t>
  </si>
  <si>
    <t>Ribble Drive</t>
  </si>
  <si>
    <t>Haughton Road</t>
  </si>
  <si>
    <t>Paignton</t>
  </si>
  <si>
    <t>Daventry</t>
  </si>
  <si>
    <t>Regus House</t>
  </si>
  <si>
    <t>Victory Way</t>
  </si>
  <si>
    <t>Crossways Business Park</t>
  </si>
  <si>
    <t>Dartford</t>
  </si>
  <si>
    <t>F231 Training Centre</t>
  </si>
  <si>
    <t>Defence Munitions Gosport</t>
  </si>
  <si>
    <t>Warwick</t>
  </si>
  <si>
    <t>4 Charnwood St</t>
  </si>
  <si>
    <t>Moor Lane</t>
  </si>
  <si>
    <t>Malton</t>
  </si>
  <si>
    <t>Unit 2</t>
  </si>
  <si>
    <t>I E S Centre</t>
  </si>
  <si>
    <t>Horndale Avenue</t>
  </si>
  <si>
    <t>Aycliffe Business Park</t>
  </si>
  <si>
    <t>Newton Aycliffe</t>
  </si>
  <si>
    <t>Great Moor House</t>
  </si>
  <si>
    <t>Bittern Road</t>
  </si>
  <si>
    <t>Sowton</t>
  </si>
  <si>
    <t>Woodwise Academy</t>
  </si>
  <si>
    <t>Riverside</t>
  </si>
  <si>
    <t>Crews Hole Road</t>
  </si>
  <si>
    <t>New Court</t>
  </si>
  <si>
    <t>Abbey Road North</t>
  </si>
  <si>
    <t>Shepley</t>
  </si>
  <si>
    <t>86-87 Kenwyn Street</t>
  </si>
  <si>
    <t>Boots Opticians</t>
  </si>
  <si>
    <t>Thane Road</t>
  </si>
  <si>
    <t>Leger Way</t>
  </si>
  <si>
    <t>Council House</t>
  </si>
  <si>
    <t>College Road</t>
  </si>
  <si>
    <t>Rands Lane Industrial Estate</t>
  </si>
  <si>
    <t>Rands Lane</t>
  </si>
  <si>
    <t>Armthorpe</t>
  </si>
  <si>
    <t>Wimborne</t>
  </si>
  <si>
    <t>Seal Drive</t>
  </si>
  <si>
    <t>Seal</t>
  </si>
  <si>
    <t>Wembley</t>
  </si>
  <si>
    <t>Newark</t>
  </si>
  <si>
    <t>Outset Centre</t>
  </si>
  <si>
    <t>2 Grange Road</t>
  </si>
  <si>
    <t>Egham</t>
  </si>
  <si>
    <t>10-12 Water Street</t>
  </si>
  <si>
    <t>Newcastle</t>
  </si>
  <si>
    <t>5 Hurricane Way</t>
  </si>
  <si>
    <t>Norwich Airport Industrial Estate</t>
  </si>
  <si>
    <t>Gliddon Road</t>
  </si>
  <si>
    <t>Barons Court</t>
  </si>
  <si>
    <t>Victoria Road</t>
  </si>
  <si>
    <t>Margate</t>
  </si>
  <si>
    <t>Accrington</t>
  </si>
  <si>
    <t>260-264 Kingsland Road</t>
  </si>
  <si>
    <t>Church Lane</t>
  </si>
  <si>
    <t>Gorleston</t>
  </si>
  <si>
    <t>Great Yarmouth</t>
  </si>
  <si>
    <t>Continuing Education Service</t>
  </si>
  <si>
    <t>Cross Street</t>
  </si>
  <si>
    <t>York Road</t>
  </si>
  <si>
    <t>Taunton</t>
  </si>
  <si>
    <t>Chancery House</t>
  </si>
  <si>
    <t>St Nicholas Way</t>
  </si>
  <si>
    <t>St James House</t>
  </si>
  <si>
    <t>15 Doolittle Mill</t>
  </si>
  <si>
    <t>Froghall Road</t>
  </si>
  <si>
    <t>18 Boulton Road</t>
  </si>
  <si>
    <t>Stevenage</t>
  </si>
  <si>
    <t>ETS House</t>
  </si>
  <si>
    <t>Emperor Way</t>
  </si>
  <si>
    <t>Exeter Business Park</t>
  </si>
  <si>
    <t>Gavin Way</t>
  </si>
  <si>
    <t>7 Dowdney Close</t>
  </si>
  <si>
    <t>Hortensia Road</t>
  </si>
  <si>
    <t>PO BOX 47</t>
  </si>
  <si>
    <t>The Enterprise Centre</t>
  </si>
  <si>
    <t>27 Hastings Road</t>
  </si>
  <si>
    <t>Quay Corner Training Centre</t>
  </si>
  <si>
    <t>Quay Corner</t>
  </si>
  <si>
    <t>Church Bank</t>
  </si>
  <si>
    <t>Jarrow</t>
  </si>
  <si>
    <t>Tyne &amp; Wear</t>
  </si>
  <si>
    <t>High Wycombe</t>
  </si>
  <si>
    <t>Dilton Marsh</t>
  </si>
  <si>
    <t>Admiral House</t>
  </si>
  <si>
    <t>67 High Street</t>
  </si>
  <si>
    <t>Fareham</t>
  </si>
  <si>
    <t>Frome</t>
  </si>
  <si>
    <t>Watling Street</t>
  </si>
  <si>
    <t>19 Ida Road</t>
  </si>
  <si>
    <t>Skegness</t>
  </si>
  <si>
    <t>Cambridge Road</t>
  </si>
  <si>
    <t>Weston-Super-Mare</t>
  </si>
  <si>
    <t>4 Pegamoid Road</t>
  </si>
  <si>
    <t>Eleventh Floor</t>
  </si>
  <si>
    <t>Clifton Heights</t>
  </si>
  <si>
    <t>Triangle west</t>
  </si>
  <si>
    <t>Clifton</t>
  </si>
  <si>
    <t>2610 The Quadrant</t>
  </si>
  <si>
    <t>Aztec West</t>
  </si>
  <si>
    <t>Almondsbury</t>
  </si>
  <si>
    <t>Premier Way</t>
  </si>
  <si>
    <t>Romsey</t>
  </si>
  <si>
    <t>Rugby</t>
  </si>
  <si>
    <t>Basildon</t>
  </si>
  <si>
    <t>Shaftesbury House</t>
  </si>
  <si>
    <t>49/51 Uxbridge Road</t>
  </si>
  <si>
    <t>Francesco Group House</t>
  </si>
  <si>
    <t>1 The Green</t>
  </si>
  <si>
    <t>1a Isetta Square</t>
  </si>
  <si>
    <t>35 New England Street</t>
  </si>
  <si>
    <t>Wallsend</t>
  </si>
  <si>
    <t>BBIC Centre</t>
  </si>
  <si>
    <t>Snydale Road</t>
  </si>
  <si>
    <t>Cudworth</t>
  </si>
  <si>
    <t>Carlton House</t>
  </si>
  <si>
    <t>Carlton Road</t>
  </si>
  <si>
    <t>Worksop</t>
  </si>
  <si>
    <t>Dryden Professional Centre</t>
  </si>
  <si>
    <t>Evistones Road</t>
  </si>
  <si>
    <t>Wyner House</t>
  </si>
  <si>
    <t>143 Bromsgrove Street</t>
  </si>
  <si>
    <t>Unit 1</t>
  </si>
  <si>
    <t>Joseph Noble Road</t>
  </si>
  <si>
    <t>Lillyhall Industrial Estate</t>
  </si>
  <si>
    <t>Lillyhall</t>
  </si>
  <si>
    <t>Workington</t>
  </si>
  <si>
    <t>Floor 6a</t>
  </si>
  <si>
    <t>Kingsgate</t>
  </si>
  <si>
    <t>Wellington Road North</t>
  </si>
  <si>
    <t>Retford</t>
  </si>
  <si>
    <t>2-3 Elizabeth Court</t>
  </si>
  <si>
    <t>Whimple Street</t>
  </si>
  <si>
    <t>City Centre</t>
  </si>
  <si>
    <t>Bootle</t>
  </si>
  <si>
    <t>1 St James Place</t>
  </si>
  <si>
    <t>9 Western Avenue, Matrix Park</t>
  </si>
  <si>
    <t>Buckshaw Village</t>
  </si>
  <si>
    <t>Chorley</t>
  </si>
  <si>
    <t>Greenbank Lane</t>
  </si>
  <si>
    <t>Knaresborough</t>
  </si>
  <si>
    <t>Stoke Road</t>
  </si>
  <si>
    <t>Farnborough</t>
  </si>
  <si>
    <t>Unit 4 Pelhams Court</t>
  </si>
  <si>
    <t>Marlborough</t>
  </si>
  <si>
    <t>Brewery House</t>
  </si>
  <si>
    <t>Castle Eden</t>
  </si>
  <si>
    <t>Cleveland</t>
  </si>
  <si>
    <t>120 East Reach</t>
  </si>
  <si>
    <t>Cosham</t>
  </si>
  <si>
    <t>Municipal Building</t>
  </si>
  <si>
    <t>Widnes</t>
  </si>
  <si>
    <t>Southside Offices</t>
  </si>
  <si>
    <t>The Castle</t>
  </si>
  <si>
    <t>Winchester</t>
  </si>
  <si>
    <t>Hampton</t>
  </si>
  <si>
    <t>Harlow</t>
  </si>
  <si>
    <t>Regent House</t>
  </si>
  <si>
    <t>19 Haywra Street</t>
  </si>
  <si>
    <t>Adult Education</t>
  </si>
  <si>
    <t>Tower Street</t>
  </si>
  <si>
    <t>East Ham</t>
  </si>
  <si>
    <t>Bradford Road</t>
  </si>
  <si>
    <t>4th Floor, Regal House</t>
  </si>
  <si>
    <t>70 London Road</t>
  </si>
  <si>
    <t>Unit 14 Triangle Business Park</t>
  </si>
  <si>
    <t>Quilters Way</t>
  </si>
  <si>
    <t>Stoke Mandeville</t>
  </si>
  <si>
    <t>Bucks</t>
  </si>
  <si>
    <t>Ashley House</t>
  </si>
  <si>
    <t>86-94 High Street</t>
  </si>
  <si>
    <t>Tolworth</t>
  </si>
  <si>
    <t>Eleven Arches House</t>
  </si>
  <si>
    <t>125 Yates Avenue</t>
  </si>
  <si>
    <t>142 Whitley Road</t>
  </si>
  <si>
    <t>Bogs Lane</t>
  </si>
  <si>
    <t>Thorn Business Park</t>
  </si>
  <si>
    <t>Rotherwas</t>
  </si>
  <si>
    <t>Holmer Road</t>
  </si>
  <si>
    <t>Hornchurch</t>
  </si>
  <si>
    <t>Norton Disney</t>
  </si>
  <si>
    <t>Unit A</t>
  </si>
  <si>
    <t>Eagle Office Centre</t>
  </si>
  <si>
    <t>The Runway</t>
  </si>
  <si>
    <t>Ruislip</t>
  </si>
  <si>
    <t>Mill Lane</t>
  </si>
  <si>
    <t>Oakham</t>
  </si>
  <si>
    <t>Lowestoft</t>
  </si>
  <si>
    <t>Ashford</t>
  </si>
  <si>
    <t>Rochester</t>
  </si>
  <si>
    <t>Devizes</t>
  </si>
  <si>
    <t>New Road</t>
  </si>
  <si>
    <t>Leyland</t>
  </si>
  <si>
    <t>Richmond</t>
  </si>
  <si>
    <t>Hatfield</t>
  </si>
  <si>
    <t>Evesham</t>
  </si>
  <si>
    <t>Boston</t>
  </si>
  <si>
    <t>Hemel Hempstead</t>
  </si>
  <si>
    <t>Berkshire</t>
  </si>
  <si>
    <t>County Durham</t>
  </si>
  <si>
    <t>Henley-on-Thames</t>
  </si>
  <si>
    <t>Lichfield</t>
  </si>
  <si>
    <t>Rufford Court</t>
  </si>
  <si>
    <t>Wellow Road</t>
  </si>
  <si>
    <t>Eakring</t>
  </si>
  <si>
    <t>Prescot</t>
  </si>
  <si>
    <t>Suite 3-4, The Courtyard</t>
  </si>
  <si>
    <t>Saint Cross</t>
  </si>
  <si>
    <t>Monksbrook</t>
  </si>
  <si>
    <t>IoW</t>
  </si>
  <si>
    <t>Textile House</t>
  </si>
  <si>
    <t>Red Doles Lane</t>
  </si>
  <si>
    <t>21 The Crescent</t>
  </si>
  <si>
    <t>5 Spyvee Street</t>
  </si>
  <si>
    <t>The Guildhall</t>
  </si>
  <si>
    <t>Alfred Gelder Street</t>
  </si>
  <si>
    <t>Wilberforce Drive</t>
  </si>
  <si>
    <t>Copenhagen Road</t>
  </si>
  <si>
    <t>Hitech House</t>
  </si>
  <si>
    <t>Hitech Park, Goulton Street</t>
  </si>
  <si>
    <t>61 Newport Road</t>
  </si>
  <si>
    <t>Caldicot</t>
  </si>
  <si>
    <t>1 Eastgate</t>
  </si>
  <si>
    <t>Park Road Training Centre</t>
  </si>
  <si>
    <t>Leyton</t>
  </si>
  <si>
    <t>Old School</t>
  </si>
  <si>
    <t>Pennington Court</t>
  </si>
  <si>
    <t>2 London Road</t>
  </si>
  <si>
    <t>Horndean</t>
  </si>
  <si>
    <t>Waterlooville</t>
  </si>
  <si>
    <t>114 Power Road</t>
  </si>
  <si>
    <t>Unit 11, Kings Meadow</t>
  </si>
  <si>
    <t>Ferry Hinksey Road</t>
  </si>
  <si>
    <t>43-45 Tower Street</t>
  </si>
  <si>
    <t>Northbank House</t>
  </si>
  <si>
    <t>Sir Thomas Longley Road</t>
  </si>
  <si>
    <t>Medway City Estate</t>
  </si>
  <si>
    <t>6 Blenheim Office Park</t>
  </si>
  <si>
    <t>Lower Road</t>
  </si>
  <si>
    <t>Long Hanborough</t>
  </si>
  <si>
    <t>Witney</t>
  </si>
  <si>
    <t>Westridge Centre</t>
  </si>
  <si>
    <t>Brading Road</t>
  </si>
  <si>
    <t>Ryde</t>
  </si>
  <si>
    <t>St Mary's</t>
  </si>
  <si>
    <t>The Digital Factory</t>
  </si>
  <si>
    <t>Durham Way South</t>
  </si>
  <si>
    <t>Aycliffe Industrial Park</t>
  </si>
  <si>
    <t>Cliff House</t>
  </si>
  <si>
    <t>Hamilton Gardens</t>
  </si>
  <si>
    <t>Felixstowe</t>
  </si>
  <si>
    <t>Halewood</t>
  </si>
  <si>
    <t>Belasis Business Centre</t>
  </si>
  <si>
    <t>Coxwold Way</t>
  </si>
  <si>
    <t>Belasis Hall Technology Park</t>
  </si>
  <si>
    <t>Billingham</t>
  </si>
  <si>
    <t>Unit 1 H1, Hudson House</t>
  </si>
  <si>
    <t>Southern Gateway</t>
  </si>
  <si>
    <t>Bury St Edmunds</t>
  </si>
  <si>
    <t>Merchant House</t>
  </si>
  <si>
    <t>Television House</t>
  </si>
  <si>
    <t>269 Field End Road</t>
  </si>
  <si>
    <t>Havant</t>
  </si>
  <si>
    <t>Sycamore House</t>
  </si>
  <si>
    <t>5 Sycamore Street</t>
  </si>
  <si>
    <t>The Drive</t>
  </si>
  <si>
    <t>Great Warley</t>
  </si>
  <si>
    <t>Jancett House</t>
  </si>
  <si>
    <t>16 Stanley Park Road</t>
  </si>
  <si>
    <t>Wallington</t>
  </si>
  <si>
    <t>82 Waterloo Road</t>
  </si>
  <si>
    <t>Stafford House</t>
  </si>
  <si>
    <t>120/122 High Street</t>
  </si>
  <si>
    <t>Orpington</t>
  </si>
  <si>
    <t>St Johns House</t>
  </si>
  <si>
    <t>St Johns Square</t>
  </si>
  <si>
    <t>Heron Business Centre</t>
  </si>
  <si>
    <t>Henwood</t>
  </si>
  <si>
    <t>Head Office</t>
  </si>
  <si>
    <t>Centennial Park</t>
  </si>
  <si>
    <t>Centennial Avenue</t>
  </si>
  <si>
    <t>Elstree</t>
  </si>
  <si>
    <t>Borehamwood</t>
  </si>
  <si>
    <t>Horsemarket</t>
  </si>
  <si>
    <t>Kettering</t>
  </si>
  <si>
    <t>13-15</t>
  </si>
  <si>
    <t>Sheet Street</t>
  </si>
  <si>
    <t>Windsor</t>
  </si>
  <si>
    <t>The Gardens</t>
  </si>
  <si>
    <t>Erdington</t>
  </si>
  <si>
    <t>Kirkdale House</t>
  </si>
  <si>
    <t>Armytage Road</t>
  </si>
  <si>
    <t>Brighouse</t>
  </si>
  <si>
    <t>Unit 5</t>
  </si>
  <si>
    <t>14-19 and Adult Learning</t>
  </si>
  <si>
    <t>Kirklees Council Learning Service</t>
  </si>
  <si>
    <t>Room 6/7, Deighton Centre</t>
  </si>
  <si>
    <t>Deighton Road</t>
  </si>
  <si>
    <t>Mackets Education</t>
  </si>
  <si>
    <t>Arncliffe Road</t>
  </si>
  <si>
    <t>Kendal</t>
  </si>
  <si>
    <t>Divisional Office</t>
  </si>
  <si>
    <t>Meadows Ind Estate</t>
  </si>
  <si>
    <t>20 Cramner Road</t>
  </si>
  <si>
    <t>Newton House 20-26</t>
  </si>
  <si>
    <t>Corporation Street</t>
  </si>
  <si>
    <t>Hallwood Road</t>
  </si>
  <si>
    <t>Lillyhall Business Park</t>
  </si>
  <si>
    <t>Clapham Common</t>
  </si>
  <si>
    <t>PO BOX 61</t>
  </si>
  <si>
    <t>Fulwood</t>
  </si>
  <si>
    <t>5 Penrod Way</t>
  </si>
  <si>
    <t>Heysham</t>
  </si>
  <si>
    <t>Morecambe</t>
  </si>
  <si>
    <t>1 Bird Road</t>
  </si>
  <si>
    <t>Heathcote</t>
  </si>
  <si>
    <t>Waterloo Walk 58-60</t>
  </si>
  <si>
    <t>Ashington</t>
  </si>
  <si>
    <t>5b Edward Vii Quay</t>
  </si>
  <si>
    <t>Navigation Way</t>
  </si>
  <si>
    <t>Ashton-on-Ribble</t>
  </si>
  <si>
    <t>Kent Enterprise House 1</t>
  </si>
  <si>
    <t>The Links</t>
  </si>
  <si>
    <t>Herne Bay</t>
  </si>
  <si>
    <t>Suite 2</t>
  </si>
  <si>
    <t>Sheers Barton Barns</t>
  </si>
  <si>
    <t>Lawhitton</t>
  </si>
  <si>
    <t>Merrion House</t>
  </si>
  <si>
    <t>110 Merrion Centre</t>
  </si>
  <si>
    <t>2 Wellington Street</t>
  </si>
  <si>
    <t>Room 500, County Hall</t>
  </si>
  <si>
    <t>Leicester Road</t>
  </si>
  <si>
    <t>Glenfield</t>
  </si>
  <si>
    <t>Potton House</t>
  </si>
  <si>
    <t>Wyboston Lakes</t>
  </si>
  <si>
    <t>Great North Road</t>
  </si>
  <si>
    <t>Wyboston</t>
  </si>
  <si>
    <t>58 Eldon Street</t>
  </si>
  <si>
    <t>Acorn House</t>
  </si>
  <si>
    <t>Great Oaks</t>
  </si>
  <si>
    <t>Ellesmere Port</t>
  </si>
  <si>
    <t>Edison House 2-3</t>
  </si>
  <si>
    <t>Paycocke Road</t>
  </si>
  <si>
    <t>Monks Road</t>
  </si>
  <si>
    <t>County Offices</t>
  </si>
  <si>
    <t>Newland</t>
  </si>
  <si>
    <t>23 Fletcher Street</t>
  </si>
  <si>
    <t>19 Fairway</t>
  </si>
  <si>
    <t>Petts Wood</t>
  </si>
  <si>
    <t>155 Park Road</t>
  </si>
  <si>
    <t>Toxteth</t>
  </si>
  <si>
    <t>The Old Bank</t>
  </si>
  <si>
    <t>40-42 High Street</t>
  </si>
  <si>
    <t>Fanshawe Crescent</t>
  </si>
  <si>
    <t>Sidcup Arts &amp; Adult Education Centre</t>
  </si>
  <si>
    <t>Alma Road</t>
  </si>
  <si>
    <t>9 Park Lane</t>
  </si>
  <si>
    <t>Bromley Civic Centre</t>
  </si>
  <si>
    <t>Stockwell Close</t>
  </si>
  <si>
    <t>Crowndale Centre</t>
  </si>
  <si>
    <t>218 Eversholt Street</t>
  </si>
  <si>
    <t>Children, Families and Learning Department</t>
  </si>
  <si>
    <t>4th  Floor,  Zone E</t>
  </si>
  <si>
    <t>Bernard Weatherill House</t>
  </si>
  <si>
    <t>8 Mint Walk</t>
  </si>
  <si>
    <t>Marsh House</t>
  </si>
  <si>
    <t>500 Montagu Road</t>
  </si>
  <si>
    <t>Macbeth Centre</t>
  </si>
  <si>
    <t>Macbeth Street</t>
  </si>
  <si>
    <t>Po Box 264</t>
  </si>
  <si>
    <t>4th Floor</t>
  </si>
  <si>
    <t>Brookfield Adult Learning Centre</t>
  </si>
  <si>
    <t>Uxbridge</t>
  </si>
  <si>
    <t>Lampton Road</t>
  </si>
  <si>
    <t>222 Upper Street</t>
  </si>
  <si>
    <t>Hambrook House</t>
  </si>
  <si>
    <t>Porden Road</t>
  </si>
  <si>
    <t>Lewisham Town Hall</t>
  </si>
  <si>
    <t>Rushey Green</t>
  </si>
  <si>
    <t>Merton Civic Centre</t>
  </si>
  <si>
    <t>Morden</t>
  </si>
  <si>
    <t>Newham Dockside</t>
  </si>
  <si>
    <t>1000 Dockside Road</t>
  </si>
  <si>
    <t>Gaysham Avenue</t>
  </si>
  <si>
    <t>Gants Hill</t>
  </si>
  <si>
    <t>Ilford</t>
  </si>
  <si>
    <t>6th Floor</t>
  </si>
  <si>
    <t>44 York Street</t>
  </si>
  <si>
    <t>Thomas Calton Community Education Centre</t>
  </si>
  <si>
    <t>Alpha Street</t>
  </si>
  <si>
    <t>Civic Offices</t>
  </si>
  <si>
    <t>St. Nicholas Way</t>
  </si>
  <si>
    <t>1 Gladstone Place</t>
  </si>
  <si>
    <t>97 Queens Road</t>
  </si>
  <si>
    <t>Professional Centre</t>
  </si>
  <si>
    <t>Franciscan Road</t>
  </si>
  <si>
    <t>Wandsworth High Street</t>
  </si>
  <si>
    <t>47 Great Marlborough Street</t>
  </si>
  <si>
    <t>20 Penywern Road</t>
  </si>
  <si>
    <t>Spalding</t>
  </si>
  <si>
    <t>Westwood Way</t>
  </si>
  <si>
    <t>Westwood Business Park</t>
  </si>
  <si>
    <t>George Street</t>
  </si>
  <si>
    <t>Bedfordshire</t>
  </si>
  <si>
    <t>Tonbridge</t>
  </si>
  <si>
    <t>PO Box 532</t>
  </si>
  <si>
    <t>Greengate</t>
  </si>
  <si>
    <t>Middleton</t>
  </si>
  <si>
    <t>304-308 Prince of Wales Road</t>
  </si>
  <si>
    <t>202 Lambeth Road</t>
  </si>
  <si>
    <t>Europa Boulevard</t>
  </si>
  <si>
    <t>Unit A1 Horton Park Industrial Estate</t>
  </si>
  <si>
    <t>7 Hortonwood</t>
  </si>
  <si>
    <t>Princess Street</t>
  </si>
  <si>
    <t>Old Custom House</t>
  </si>
  <si>
    <t>11-59 High Road</t>
  </si>
  <si>
    <t>East Finchley</t>
  </si>
  <si>
    <t>Prospect House</t>
  </si>
  <si>
    <t>Adult Education Centre &amp; Rochester Library</t>
  </si>
  <si>
    <t>10 Vicarage Place</t>
  </si>
  <si>
    <t>5-6 Meadow Court</t>
  </si>
  <si>
    <t>Amos Road</t>
  </si>
  <si>
    <t>Saunders House</t>
  </si>
  <si>
    <t>Longbridge</t>
  </si>
  <si>
    <t>Atlantic House</t>
  </si>
  <si>
    <t>77 Oldham Street</t>
  </si>
  <si>
    <t>Hartford Campus</t>
  </si>
  <si>
    <t>Chester Road</t>
  </si>
  <si>
    <t>Hartford</t>
  </si>
  <si>
    <t>Gulson Road</t>
  </si>
  <si>
    <t>Victoria House</t>
  </si>
  <si>
    <t>Toward Road</t>
  </si>
  <si>
    <t>The Square, Aylesbury Street</t>
  </si>
  <si>
    <t>Wolverton</t>
  </si>
  <si>
    <t>PO Box 8, Birmingham New Road</t>
  </si>
  <si>
    <t>Tipton</t>
  </si>
  <si>
    <t>Shields Road</t>
  </si>
  <si>
    <t>North Grove House</t>
  </si>
  <si>
    <t>South Grove</t>
  </si>
  <si>
    <t>Unit 12-13 Camphill Industrial Estate</t>
  </si>
  <si>
    <t>Camphill Road</t>
  </si>
  <si>
    <t>West Byfleet</t>
  </si>
  <si>
    <t>Leas Road</t>
  </si>
  <si>
    <t>1 Greenhead Road</t>
  </si>
  <si>
    <t>St Piers Lane</t>
  </si>
  <si>
    <t>Lingfield</t>
  </si>
  <si>
    <t>Eakring Training Centre</t>
  </si>
  <si>
    <t>Kirklington Road</t>
  </si>
  <si>
    <t>St Albans</t>
  </si>
  <si>
    <t>Heaton Lane</t>
  </si>
  <si>
    <t>HMS Sultan</t>
  </si>
  <si>
    <t>Military Road</t>
  </si>
  <si>
    <t>New College Drive</t>
  </si>
  <si>
    <t>King Street</t>
  </si>
  <si>
    <t>Wellington</t>
  </si>
  <si>
    <t>Westgate Community College</t>
  </si>
  <si>
    <t>West Road</t>
  </si>
  <si>
    <t>1 Mark Street</t>
  </si>
  <si>
    <t>Stratford</t>
  </si>
  <si>
    <t>Unit 2, Brisbane House</t>
  </si>
  <si>
    <t>Corby Gate Business Park</t>
  </si>
  <si>
    <t>Priors Haw Road</t>
  </si>
  <si>
    <t>Corby</t>
  </si>
  <si>
    <t>Devonshire House</t>
  </si>
  <si>
    <t>Brimington</t>
  </si>
  <si>
    <t>Wensum Lodge</t>
  </si>
  <si>
    <t>169 King Street</t>
  </si>
  <si>
    <t>Ipswich Road</t>
  </si>
  <si>
    <t>Harford Centre</t>
  </si>
  <si>
    <t>Hall Road</t>
  </si>
  <si>
    <t>Crawley</t>
  </si>
  <si>
    <t>Commercial House 11</t>
  </si>
  <si>
    <t>Barnstaple</t>
  </si>
  <si>
    <t>Aykley Heads Business Centre</t>
  </si>
  <si>
    <t>Aykley Heads</t>
  </si>
  <si>
    <t>Municipal Offices</t>
  </si>
  <si>
    <t>Town Hall Square</t>
  </si>
  <si>
    <t>Monkswood Way</t>
  </si>
  <si>
    <t>Bradshawgate House</t>
  </si>
  <si>
    <t>1 Oak Street</t>
  </si>
  <si>
    <t>Adult Education Centre</t>
  </si>
  <si>
    <t>The Link</t>
  </si>
  <si>
    <t>Quadrant</t>
  </si>
  <si>
    <t>16 The Silverlink North</t>
  </si>
  <si>
    <t>Cobalt Business Park</t>
  </si>
  <si>
    <t>Stopgate Centre</t>
  </si>
  <si>
    <t>Charnock Road</t>
  </si>
  <si>
    <t>Dunnings Bridge Road</t>
  </si>
  <si>
    <t>Wentworth Castle</t>
  </si>
  <si>
    <t>Stainborough</t>
  </si>
  <si>
    <t>Peterlee</t>
  </si>
  <si>
    <t>Hepscott Park</t>
  </si>
  <si>
    <t>Loxley House</t>
  </si>
  <si>
    <t>Station Street</t>
  </si>
  <si>
    <t>Stonebridge Road</t>
  </si>
  <si>
    <t>18 Pelham Road</t>
  </si>
  <si>
    <t>Sherwood Rise</t>
  </si>
  <si>
    <t>3th Floor, County Hall</t>
  </si>
  <si>
    <t>Loughborough Road</t>
  </si>
  <si>
    <t>West Bridgford</t>
  </si>
  <si>
    <t>3 Lower Lichfield Street</t>
  </si>
  <si>
    <t>Salford  House</t>
  </si>
  <si>
    <t>260-264 Castle Street</t>
  </si>
  <si>
    <t>Bartley Wood Business Park</t>
  </si>
  <si>
    <t>Bartley Way</t>
  </si>
  <si>
    <t>Hook</t>
  </si>
  <si>
    <t>Portland House</t>
  </si>
  <si>
    <t>16 Orchard Street</t>
  </si>
  <si>
    <t>Nuneaton</t>
  </si>
  <si>
    <t>Burton-on-Trent</t>
  </si>
  <si>
    <t>The Agora Building</t>
  </si>
  <si>
    <t>2nd Floor East</t>
  </si>
  <si>
    <t>Ellen Street</t>
  </si>
  <si>
    <t>Oakmere Training Centre, Oakmere House</t>
  </si>
  <si>
    <t>Cherry Lane</t>
  </si>
  <si>
    <t>Mount Pleasant Industrial Estate</t>
  </si>
  <si>
    <t>Lees Road</t>
  </si>
  <si>
    <t>Triplex House</t>
  </si>
  <si>
    <t>Eckersall Road</t>
  </si>
  <si>
    <t>Kings Norton</t>
  </si>
  <si>
    <t>11/13 Birley Moor Crecent</t>
  </si>
  <si>
    <t>02-05 Princes Street</t>
  </si>
  <si>
    <t>Carshalton</t>
  </si>
  <si>
    <t>Tyndale House</t>
  </si>
  <si>
    <t>134 Cowley Road</t>
  </si>
  <si>
    <t>Chadwell Road</t>
  </si>
  <si>
    <t>Station Approach</t>
  </si>
  <si>
    <t>Ashley Road</t>
  </si>
  <si>
    <t>2A Sherwood Rise</t>
  </si>
  <si>
    <t>1 Eastgate House</t>
  </si>
  <si>
    <t>5-7 East Street</t>
  </si>
  <si>
    <t>Westbourne Manor</t>
  </si>
  <si>
    <t>17 Westbourne Road</t>
  </si>
  <si>
    <t>1 Access Point</t>
  </si>
  <si>
    <t>Northarbour Road</t>
  </si>
  <si>
    <t>Peterborough College of Adult Education</t>
  </si>
  <si>
    <t>Brook street</t>
  </si>
  <si>
    <t>South Road</t>
  </si>
  <si>
    <t>Clyst Works</t>
  </si>
  <si>
    <t>Clyst Road</t>
  </si>
  <si>
    <t>Topsham</t>
  </si>
  <si>
    <t>7 Providence Street</t>
  </si>
  <si>
    <t>All Saints Building</t>
  </si>
  <si>
    <t>30 Floodgate Street</t>
  </si>
  <si>
    <t>Weymouth</t>
  </si>
  <si>
    <t>Armada Way</t>
  </si>
  <si>
    <t>Devonport</t>
  </si>
  <si>
    <t>Poole Adult Education</t>
  </si>
  <si>
    <t>Oakdale Centre</t>
  </si>
  <si>
    <t>Wimbourne Road</t>
  </si>
  <si>
    <t>Guildhall Square</t>
  </si>
  <si>
    <t>Maisies Way</t>
  </si>
  <si>
    <t>South Normanton</t>
  </si>
  <si>
    <t>Alfreton</t>
  </si>
  <si>
    <t>South Green Park Enterprise Centre</t>
  </si>
  <si>
    <t>48 South Green</t>
  </si>
  <si>
    <t>Mattishall</t>
  </si>
  <si>
    <t>Dereham</t>
  </si>
  <si>
    <t>104 Prescott St</t>
  </si>
  <si>
    <t>19 Blackfen Parade</t>
  </si>
  <si>
    <t>Blackfen Road</t>
  </si>
  <si>
    <t>Unit 3-5</t>
  </si>
  <si>
    <t>Cleveland Trading Estate</t>
  </si>
  <si>
    <t>Seabright House</t>
  </si>
  <si>
    <t>80 Goulton Street</t>
  </si>
  <si>
    <t>C4 Brunel Court</t>
  </si>
  <si>
    <t>Waterwells Business Park</t>
  </si>
  <si>
    <t>Quedgeley</t>
  </si>
  <si>
    <t>19 Elmfield Road</t>
  </si>
  <si>
    <t>Futures Community College Upper College Building</t>
  </si>
  <si>
    <t>Southchurch Boulevard</t>
  </si>
  <si>
    <t>Trent Valley Business Centre</t>
  </si>
  <si>
    <t>28 High Street</t>
  </si>
  <si>
    <t>The Old Guild House</t>
  </si>
  <si>
    <t>1 New Market Street</t>
  </si>
  <si>
    <t>Beach Road Business Park</t>
  </si>
  <si>
    <t>Cadleigh</t>
  </si>
  <si>
    <t>Ivybridge</t>
  </si>
  <si>
    <t>Sedgewick House</t>
  </si>
  <si>
    <t>55-65 Uxbridge Road</t>
  </si>
  <si>
    <t>Bldg 814 Rm 12</t>
  </si>
  <si>
    <t>MoD Boscombe Down</t>
  </si>
  <si>
    <t>Amesbury</t>
  </si>
  <si>
    <t>7 The Green</t>
  </si>
  <si>
    <t>Milton Park</t>
  </si>
  <si>
    <t>Milton</t>
  </si>
  <si>
    <t>Abingdon</t>
  </si>
  <si>
    <t>Newcastle College</t>
  </si>
  <si>
    <t>Scotswood Road</t>
  </si>
  <si>
    <t>330 Northumberland Avenue</t>
  </si>
  <si>
    <t>Redcar &amp; Cleveland House</t>
  </si>
  <si>
    <t>Kirkleatham Street</t>
  </si>
  <si>
    <t>31 Amelia Street</t>
  </si>
  <si>
    <t>26 Oakfield Road</t>
  </si>
  <si>
    <t>77 Shelton New Road</t>
  </si>
  <si>
    <t>Shelton</t>
  </si>
  <si>
    <t>North Shields</t>
  </si>
  <si>
    <t>Belgrave House</t>
  </si>
  <si>
    <t>Station Way</t>
  </si>
  <si>
    <t>4-6 St Martins Street</t>
  </si>
  <si>
    <t>Bedminster</t>
  </si>
  <si>
    <t>Fishwick Street</t>
  </si>
  <si>
    <t>302-304</t>
  </si>
  <si>
    <t>Kensington</t>
  </si>
  <si>
    <t>Wilmore Road</t>
  </si>
  <si>
    <t>Mountfield Road</t>
  </si>
  <si>
    <t>New Romney</t>
  </si>
  <si>
    <t>The Vauxhall Centre</t>
  </si>
  <si>
    <t>Walnut Tree Walk</t>
  </si>
  <si>
    <t>Kennington</t>
  </si>
  <si>
    <t>Eastwood Lane</t>
  </si>
  <si>
    <t>22(Trg) Gp Trg Plans</t>
  </si>
  <si>
    <t>Apprentice Management Team</t>
  </si>
  <si>
    <t>Kestrel Court, Waterwells Business Park</t>
  </si>
  <si>
    <t>Waterwells Drive</t>
  </si>
  <si>
    <t>Quedgeley, Gloucester</t>
  </si>
  <si>
    <t>Hornton Street</t>
  </si>
  <si>
    <t>North Kingston Centre</t>
  </si>
  <si>
    <t>Richmond Road</t>
  </si>
  <si>
    <t>Maidenhead</t>
  </si>
  <si>
    <t>Stanley Road</t>
  </si>
  <si>
    <t>Cheadle Hulme</t>
  </si>
  <si>
    <t>27 Pear Tree Street</t>
  </si>
  <si>
    <t>The Fisheries</t>
  </si>
  <si>
    <t>Horsley</t>
  </si>
  <si>
    <t>Catmose House</t>
  </si>
  <si>
    <t>Catmose Street</t>
  </si>
  <si>
    <t>Chertsey House</t>
  </si>
  <si>
    <t>Isambard Kingdom College</t>
  </si>
  <si>
    <t>South Church Enterprise Park</t>
  </si>
  <si>
    <t>Hampdon House</t>
  </si>
  <si>
    <t>Falcon Court</t>
  </si>
  <si>
    <t>66 Duke Street</t>
  </si>
  <si>
    <t>Trafford Plaza</t>
  </si>
  <si>
    <t>73 Seymour Grove</t>
  </si>
  <si>
    <t>Swinton</t>
  </si>
  <si>
    <t>West Bromwich</t>
  </si>
  <si>
    <t>Sandwell Adult Education Service</t>
  </si>
  <si>
    <t>PO Box 2374</t>
  </si>
  <si>
    <t>Grainger House</t>
  </si>
  <si>
    <t>Five Ways</t>
  </si>
  <si>
    <t>Cradley Heath</t>
  </si>
  <si>
    <t>LMH Business Park</t>
  </si>
  <si>
    <t>Harlescott Lane</t>
  </si>
  <si>
    <t>Scarborough</t>
  </si>
  <si>
    <t>South Sefton Adult Education Centre</t>
  </si>
  <si>
    <t>Seaforth</t>
  </si>
  <si>
    <t>Unit 1 Meadowcourt House</t>
  </si>
  <si>
    <t>Meadowcourt Road</t>
  </si>
  <si>
    <t>Blackheath</t>
  </si>
  <si>
    <t>3 Viney Court</t>
  </si>
  <si>
    <t>Viney Street</t>
  </si>
  <si>
    <t>Richard Crosthwaite Centre</t>
  </si>
  <si>
    <t>Sotherby Road</t>
  </si>
  <si>
    <t>1a Letitia Industrial Estate</t>
  </si>
  <si>
    <t>Lifelong Learning and Skills</t>
  </si>
  <si>
    <t>145 Crookesmoor Road</t>
  </si>
  <si>
    <t>Norton</t>
  </si>
  <si>
    <t>Heath Road</t>
  </si>
  <si>
    <t>2a Wilford Grove</t>
  </si>
  <si>
    <t>4 Woodshots Meadow</t>
  </si>
  <si>
    <t>9 Reading Road</t>
  </si>
  <si>
    <t>Pangbourne</t>
  </si>
  <si>
    <t>1 Harrow Road</t>
  </si>
  <si>
    <t>Wembley Point</t>
  </si>
  <si>
    <t>Broomhill Road</t>
  </si>
  <si>
    <t>Bath Road</t>
  </si>
  <si>
    <t>Smart House</t>
  </si>
  <si>
    <t>Castlehold Lane</t>
  </si>
  <si>
    <t>Street</t>
  </si>
  <si>
    <t>Emersons Green</t>
  </si>
  <si>
    <t>Westoe Road</t>
  </si>
  <si>
    <t>Merley House</t>
  </si>
  <si>
    <t>Merley House Lane</t>
  </si>
  <si>
    <t>Banners Buildings 620</t>
  </si>
  <si>
    <t>Attercliffe Road</t>
  </si>
  <si>
    <t>The Stables, Rossington Hall</t>
  </si>
  <si>
    <t>First Avenue</t>
  </si>
  <si>
    <t>Millbrook</t>
  </si>
  <si>
    <t>Southend Adult Community College</t>
  </si>
  <si>
    <t>Southchurch Centre</t>
  </si>
  <si>
    <t>Ambleside Drive</t>
  </si>
  <si>
    <t>Innovation House</t>
  </si>
  <si>
    <t>PO BOX 718</t>
  </si>
  <si>
    <t>Bld 611, Training Centre, Springfield Works</t>
  </si>
  <si>
    <t>Salwick</t>
  </si>
  <si>
    <t>Salisbury Street</t>
  </si>
  <si>
    <t>Off Chalon Way</t>
  </si>
  <si>
    <t>Park Road Centre</t>
  </si>
  <si>
    <t>Orrell</t>
  </si>
  <si>
    <t>Po Box 11</t>
  </si>
  <si>
    <t>Wellington Road South</t>
  </si>
  <si>
    <t>Hammond Avenue</t>
  </si>
  <si>
    <t>South Reddish</t>
  </si>
  <si>
    <t>Bird Hall Lane</t>
  </si>
  <si>
    <t>Billingham Community Centre</t>
  </si>
  <si>
    <t>The Causeway</t>
  </si>
  <si>
    <t>Thornaby</t>
  </si>
  <si>
    <t>Glebe Street</t>
  </si>
  <si>
    <t>The Courtyard</t>
  </si>
  <si>
    <t>17 West Street</t>
  </si>
  <si>
    <t>Farnham</t>
  </si>
  <si>
    <t>Sheffield Road</t>
  </si>
  <si>
    <t>8 Regent Street</t>
  </si>
  <si>
    <t>Ashgate Cottage</t>
  </si>
  <si>
    <t>Ashgate Road</t>
  </si>
  <si>
    <t>Ashgate</t>
  </si>
  <si>
    <t>Endeavour House</t>
  </si>
  <si>
    <t>Russell Road</t>
  </si>
  <si>
    <t>Out Risbygate</t>
  </si>
  <si>
    <t>Hardwicke</t>
  </si>
  <si>
    <t>PO Box 102</t>
  </si>
  <si>
    <t>16-17 Sedling Road Wear Industrial Estate</t>
  </si>
  <si>
    <t>The Quadrant</t>
  </si>
  <si>
    <t>35 Guildford Road</t>
  </si>
  <si>
    <t>10-12 Rosehill Court Parade</t>
  </si>
  <si>
    <t>St. Helier Avenue</t>
  </si>
  <si>
    <t>2-7 Woodhouse Square</t>
  </si>
  <si>
    <t>Directorate of Community</t>
  </si>
  <si>
    <t>Euclid Street</t>
  </si>
  <si>
    <t>Threfall Building</t>
  </si>
  <si>
    <t>Truman Street</t>
  </si>
  <si>
    <t>Carlisle Airport Business Park</t>
  </si>
  <si>
    <t>3 Hagley Court North</t>
  </si>
  <si>
    <t>The Waterfront Level Street</t>
  </si>
  <si>
    <t>Q1</t>
  </si>
  <si>
    <t>Quorum Business Park</t>
  </si>
  <si>
    <t>Benton Lane</t>
  </si>
  <si>
    <t>Team House</t>
  </si>
  <si>
    <t>30 Norfolk Street</t>
  </si>
  <si>
    <t>Floor 6A</t>
  </si>
  <si>
    <t>Darby House</t>
  </si>
  <si>
    <t>Lawn Central</t>
  </si>
  <si>
    <t>Town Centre</t>
  </si>
  <si>
    <t>Trojan House</t>
  </si>
  <si>
    <t>34 Arcadia Avenue</t>
  </si>
  <si>
    <t>Cirrus A</t>
  </si>
  <si>
    <t>Shire Park</t>
  </si>
  <si>
    <t>Welwyn Garden City</t>
  </si>
  <si>
    <t>23 Commercial Street</t>
  </si>
  <si>
    <t>Army Apprenticeship Scheme, HQ DETS(A)</t>
  </si>
  <si>
    <t>Ramillies Building, Floor 2</t>
  </si>
  <si>
    <t>Marlborough Lines, Monxton Road</t>
  </si>
  <si>
    <t>Hants</t>
  </si>
  <si>
    <t>Cheapside</t>
  </si>
  <si>
    <t>North Street</t>
  </si>
  <si>
    <t>Horsham</t>
  </si>
  <si>
    <t>St James' Building</t>
  </si>
  <si>
    <t>79 Oxford Street</t>
  </si>
  <si>
    <t>30 Gloucester Place</t>
  </si>
  <si>
    <t>55a Cholmeley Park</t>
  </si>
  <si>
    <t>Highgate</t>
  </si>
  <si>
    <t>Monks Ferry</t>
  </si>
  <si>
    <t>Challymead Business Park</t>
  </si>
  <si>
    <t>Melksham</t>
  </si>
  <si>
    <t>Colthrop Way</t>
  </si>
  <si>
    <t>Thatcham</t>
  </si>
  <si>
    <t>Ullenwood</t>
  </si>
  <si>
    <t>The Chapel</t>
  </si>
  <si>
    <t>Chapel Wallk</t>
  </si>
  <si>
    <t>Marsel House</t>
  </si>
  <si>
    <t>Stephensons Way</t>
  </si>
  <si>
    <t>ILKLEY</t>
  </si>
  <si>
    <t>1 Dacre Street</t>
  </si>
  <si>
    <t>Brislington</t>
  </si>
  <si>
    <t>LA Fitness</t>
  </si>
  <si>
    <t>Haworth Lane</t>
  </si>
  <si>
    <t>Grays Adult Education Centre</t>
  </si>
  <si>
    <t>Second Avenue</t>
  </si>
  <si>
    <t>Christchurch Road</t>
  </si>
  <si>
    <t>Bromsgrove</t>
  </si>
  <si>
    <t>Group House</t>
  </si>
  <si>
    <t>Bragborough Farm</t>
  </si>
  <si>
    <t>Welton Road</t>
  </si>
  <si>
    <t>Guisborough</t>
  </si>
  <si>
    <t>Harwood Street</t>
  </si>
  <si>
    <t>Axis 19</t>
  </si>
  <si>
    <t>Axis Court</t>
  </si>
  <si>
    <t>Riverside Business Park, Swansea Vale</t>
  </si>
  <si>
    <t>West Glamorgan</t>
  </si>
  <si>
    <t>Worsfold House</t>
  </si>
  <si>
    <t>Mitcham</t>
  </si>
  <si>
    <t>04-05 Merchant Court</t>
  </si>
  <si>
    <t>Monkton Business Park South</t>
  </si>
  <si>
    <t>St Peter's Street</t>
  </si>
  <si>
    <t>15-21 Royal Scot Road</t>
  </si>
  <si>
    <t>Commercial House</t>
  </si>
  <si>
    <t>406-410 Eastern Avenue</t>
  </si>
  <si>
    <t>Holybourne</t>
  </si>
  <si>
    <t>1 Old Hall Street</t>
  </si>
  <si>
    <t>Middlesbrough Road East</t>
  </si>
  <si>
    <t>South Bank</t>
  </si>
  <si>
    <t>New Horizons House</t>
  </si>
  <si>
    <t>New Bridge Road</t>
  </si>
  <si>
    <t>Old Hall Street</t>
  </si>
  <si>
    <t>Columbus House</t>
  </si>
  <si>
    <t>Embleton Avenue</t>
  </si>
  <si>
    <t>Westside</t>
  </si>
  <si>
    <t>Selly Oak</t>
  </si>
  <si>
    <t>Meeks Building</t>
  </si>
  <si>
    <t>Rowbottom Square</t>
  </si>
  <si>
    <t>64-68 Footscray Road</t>
  </si>
  <si>
    <t>Eltham</t>
  </si>
  <si>
    <t>Faraday House</t>
  </si>
  <si>
    <t>The Connection</t>
  </si>
  <si>
    <t>Building 2610</t>
  </si>
  <si>
    <t>Manygates Education Centre</t>
  </si>
  <si>
    <t>24-26 Manygates Lane</t>
  </si>
  <si>
    <t>Sandal</t>
  </si>
  <si>
    <t>Hawbush Centre</t>
  </si>
  <si>
    <t>Hawbush Road</t>
  </si>
  <si>
    <t>Boswell Avenue</t>
  </si>
  <si>
    <t>Leamington Spa</t>
  </si>
  <si>
    <t>Saltisford Office Park</t>
  </si>
  <si>
    <t>Ansell Way</t>
  </si>
  <si>
    <t>Alcester Road</t>
  </si>
  <si>
    <t>Stratford-upon-Avon</t>
  </si>
  <si>
    <t>The Pump House</t>
  </si>
  <si>
    <t>Kimbers Lane</t>
  </si>
  <si>
    <t>The Poplars</t>
  </si>
  <si>
    <t>Wollaton Road</t>
  </si>
  <si>
    <t>Beeston</t>
  </si>
  <si>
    <t>56 Brook House</t>
  </si>
  <si>
    <t>Guildford Street</t>
  </si>
  <si>
    <t>Chertsey</t>
  </si>
  <si>
    <t>Old Houghton Road</t>
  </si>
  <si>
    <t>West Street House</t>
  </si>
  <si>
    <t>Consortium House</t>
  </si>
  <si>
    <t>7 Cheap Street</t>
  </si>
  <si>
    <t>Countess Wear</t>
  </si>
  <si>
    <t>Worthing</t>
  </si>
  <si>
    <t>Po Box 240</t>
  </si>
  <si>
    <t>Whitbread Court</t>
  </si>
  <si>
    <t>Porz Avenue</t>
  </si>
  <si>
    <t>Houghton Hall Park</t>
  </si>
  <si>
    <t>PO Box 53</t>
  </si>
  <si>
    <t>PO BOX 100</t>
  </si>
  <si>
    <t>Hamilton Building</t>
  </si>
  <si>
    <t>Conway Street</t>
  </si>
  <si>
    <t>Blackburne House</t>
  </si>
  <si>
    <t>Blackburne Place</t>
  </si>
  <si>
    <t>Libraries &amp; Learning</t>
  </si>
  <si>
    <t>Worcestershire Adult &amp; Community Services</t>
  </si>
  <si>
    <t>Spetchley Road</t>
  </si>
  <si>
    <t>Oxford Road</t>
  </si>
  <si>
    <t>44 Crowndale Road</t>
  </si>
  <si>
    <t>Manor House</t>
  </si>
  <si>
    <t>Great Barton</t>
  </si>
  <si>
    <t>Bury St. Edmunds</t>
  </si>
  <si>
    <t>Hopton Industrial Estate, London Road</t>
  </si>
  <si>
    <t>11-12 Capricorn Centre</t>
  </si>
  <si>
    <t>Cranes Farm Road</t>
  </si>
  <si>
    <t>Hilton Street</t>
  </si>
  <si>
    <t>Ashton-in-Makerfield</t>
  </si>
  <si>
    <t>37-39 Falsgrave Road</t>
  </si>
  <si>
    <t>West Offices</t>
  </si>
  <si>
    <t>Station Rise</t>
  </si>
  <si>
    <t>The Learning Centre</t>
  </si>
  <si>
    <t>3 Kings Court</t>
  </si>
  <si>
    <t>Kingsway South</t>
  </si>
  <si>
    <t>NVQ Office</t>
  </si>
  <si>
    <t>Kings Lodge</t>
  </si>
  <si>
    <t>28 Church Street</t>
  </si>
  <si>
    <t>Bessemer House 59</t>
  </si>
  <si>
    <t>Carlisle Street East</t>
  </si>
  <si>
    <t>Wadhurst</t>
  </si>
  <si>
    <t>Melton Mowbray</t>
  </si>
  <si>
    <t>Nightingale Road</t>
  </si>
  <si>
    <t>Medina Way</t>
  </si>
  <si>
    <t>Walthamstow</t>
  </si>
  <si>
    <t>Lichfield Street</t>
  </si>
  <si>
    <t>Coalville</t>
  </si>
  <si>
    <t>Bilborough</t>
  </si>
  <si>
    <t>Brook Street</t>
  </si>
  <si>
    <t>Albany House</t>
  </si>
  <si>
    <t>31 Hurst Street</t>
  </si>
  <si>
    <t>Mullen Stoker House Unit 12</t>
  </si>
  <si>
    <t>Mandale Park</t>
  </si>
  <si>
    <t>Belmont Industrial Estate</t>
  </si>
  <si>
    <t>Surbiton</t>
  </si>
  <si>
    <t>Rochdale Road</t>
  </si>
  <si>
    <t>Wood Hill</t>
  </si>
  <si>
    <t>Sandy Lane</t>
  </si>
  <si>
    <t>Deanfield Avenue</t>
  </si>
  <si>
    <t>Talbot Road</t>
  </si>
  <si>
    <t>Stretford</t>
  </si>
  <si>
    <t>Barrack Road</t>
  </si>
  <si>
    <t>Haverhill</t>
  </si>
  <si>
    <t>Derby Road</t>
  </si>
  <si>
    <t>Warwick New Road</t>
  </si>
  <si>
    <t>Ninth Floor</t>
  </si>
  <si>
    <t>St. Christophers House</t>
  </si>
  <si>
    <t>217 Wellington Road South</t>
  </si>
  <si>
    <t>61 Westminster Bridge Road</t>
  </si>
  <si>
    <t>1018 Bristol Road</t>
  </si>
  <si>
    <t>Selby</t>
  </si>
  <si>
    <t>Aspiration House 1</t>
  </si>
  <si>
    <t>George Road</t>
  </si>
  <si>
    <t>Bromsgrove Technology Park</t>
  </si>
  <si>
    <t>BT</t>
  </si>
  <si>
    <t>2 Castle Wharf</t>
  </si>
  <si>
    <t>Chicksands</t>
  </si>
  <si>
    <t>Shefford</t>
  </si>
  <si>
    <t>Denham</t>
  </si>
  <si>
    <t>Gibson Lane</t>
  </si>
  <si>
    <t>Melton</t>
  </si>
  <si>
    <t>North Ferriby</t>
  </si>
  <si>
    <t>15 Gresse Street</t>
  </si>
  <si>
    <t>24 Shoreham Airport</t>
  </si>
  <si>
    <t>Shoreham-By-Sea</t>
  </si>
  <si>
    <t>Third Floor, Benton House</t>
  </si>
  <si>
    <t>136 Sandyford Road</t>
  </si>
  <si>
    <t>Unit 51-54</t>
  </si>
  <si>
    <t>9 Fern Court</t>
  </si>
  <si>
    <t>Bracken Hill Business Park</t>
  </si>
  <si>
    <t>Pearson Education</t>
  </si>
  <si>
    <t>Edinburgh Gate</t>
  </si>
  <si>
    <t>Sealand Road</t>
  </si>
  <si>
    <t>Jesmond</t>
  </si>
  <si>
    <t>Winwick Road</t>
  </si>
  <si>
    <t>5 Brown Street</t>
  </si>
  <si>
    <t>763 Henley Road</t>
  </si>
  <si>
    <t>Jesse Boot Avenue</t>
  </si>
  <si>
    <t>Nottingham Science Park</t>
  </si>
  <si>
    <t>The Offices</t>
  </si>
  <si>
    <t>Bradford Chamber Business Park New Lane</t>
  </si>
  <si>
    <t>Farfield Park</t>
  </si>
  <si>
    <t>Manvers</t>
  </si>
  <si>
    <t>1 Bartons Court</t>
  </si>
  <si>
    <t>Horsefair Way</t>
  </si>
  <si>
    <t>Saint John's Business Estate</t>
  </si>
  <si>
    <t>Downham Market</t>
  </si>
  <si>
    <t>Power Road Studios</t>
  </si>
  <si>
    <t>Mansfield Business Centre</t>
  </si>
  <si>
    <t>Ashfield Avenue</t>
  </si>
  <si>
    <t>111 Hagley Road</t>
  </si>
  <si>
    <t>Esther Court</t>
  </si>
  <si>
    <t>Elmbank Mill</t>
  </si>
  <si>
    <t>The Charrier</t>
  </si>
  <si>
    <t>Menstrie</t>
  </si>
  <si>
    <t>Braunston</t>
  </si>
  <si>
    <t>Swallow Bower Hotel</t>
  </si>
  <si>
    <t>Hollinwood Avenue</t>
  </si>
  <si>
    <t>Chadderton</t>
  </si>
  <si>
    <t>Milnthorpe Road</t>
  </si>
  <si>
    <t>Level 35</t>
  </si>
  <si>
    <t>8 Canada Square</t>
  </si>
  <si>
    <t>Capita Learning and Development</t>
  </si>
  <si>
    <t>Quadrant Court</t>
  </si>
  <si>
    <t>49 Calthorpe Road</t>
  </si>
  <si>
    <t>Lords Cricket Ground</t>
  </si>
  <si>
    <t>St Johns Wood Road</t>
  </si>
  <si>
    <t>Veolia Environmental Services</t>
  </si>
  <si>
    <t>210 Pentonville Road</t>
  </si>
  <si>
    <t>3 Oakwood Drive</t>
  </si>
  <si>
    <t>The National Tennis Centre</t>
  </si>
  <si>
    <t>100 Priory Lane</t>
  </si>
  <si>
    <t>Roehampton</t>
  </si>
  <si>
    <t>Unit 20, The Thomas Cook Business Park</t>
  </si>
  <si>
    <t>Coningsby Boad</t>
  </si>
  <si>
    <t>Bretton</t>
  </si>
  <si>
    <t>Peugeot Citreon Automobiles UK Ltd</t>
  </si>
  <si>
    <t>Pinley House</t>
  </si>
  <si>
    <t>2 Sunbeam Way</t>
  </si>
  <si>
    <t>Great George Street</t>
  </si>
  <si>
    <t>Wesley House</t>
  </si>
  <si>
    <t>Wesley Street</t>
  </si>
  <si>
    <t>Garrick House</t>
  </si>
  <si>
    <t>2 Queen Street</t>
  </si>
  <si>
    <t>North West House</t>
  </si>
  <si>
    <t>119-137 Marylebone Road</t>
  </si>
  <si>
    <t>Stadium Way</t>
  </si>
  <si>
    <t>South Elmsall</t>
  </si>
  <si>
    <t>Pontefract</t>
  </si>
  <si>
    <t>Lewisham Way</t>
  </si>
  <si>
    <t>Nantwich</t>
  </si>
  <si>
    <t>1 Lawson Street</t>
  </si>
  <si>
    <t>Baltic House</t>
  </si>
  <si>
    <t>Hilton Road</t>
  </si>
  <si>
    <t>770 London Road</t>
  </si>
  <si>
    <t>Alvaston</t>
  </si>
  <si>
    <t>Chain Lane Community Centre</t>
  </si>
  <si>
    <t>Chain Lane</t>
  </si>
  <si>
    <t>The Butts Arena</t>
  </si>
  <si>
    <t>Egerton House</t>
  </si>
  <si>
    <t>2 Tower Road</t>
  </si>
  <si>
    <t>Essex Terrace</t>
  </si>
  <si>
    <t>Intown</t>
  </si>
  <si>
    <t>6 Acorn Business Park</t>
  </si>
  <si>
    <t>Hempstead Road</t>
  </si>
  <si>
    <t>Welland House</t>
  </si>
  <si>
    <t>30 High Street</t>
  </si>
  <si>
    <t>Sunbeam Road</t>
  </si>
  <si>
    <t>Woburn Road Industrial Estate Kemps</t>
  </si>
  <si>
    <t>Chandler's Ford</t>
  </si>
  <si>
    <t>70 Kintyre House</t>
  </si>
  <si>
    <t>Exchange Plaza</t>
  </si>
  <si>
    <t>58 Uxbridge Road</t>
  </si>
  <si>
    <t>Mainstream House</t>
  </si>
  <si>
    <t>College Fields Business Park 20</t>
  </si>
  <si>
    <t>Unit 5 Prince Georges Road</t>
  </si>
  <si>
    <t>47 Bellefields Road</t>
  </si>
  <si>
    <t>7 Mansfield Road</t>
  </si>
  <si>
    <t>Belgrave Road</t>
  </si>
  <si>
    <t>9 Liverpool Terrace</t>
  </si>
  <si>
    <t>Osprey House, Ore Close</t>
  </si>
  <si>
    <t>Lymedale Business Park</t>
  </si>
  <si>
    <t>Wellington House 22-32</t>
  </si>
  <si>
    <t>Rose Place</t>
  </si>
  <si>
    <t>Fleet - NTE - Ext - so1</t>
  </si>
  <si>
    <t>MP 3-4, Fleet Headquarters</t>
  </si>
  <si>
    <t>Leach Building</t>
  </si>
  <si>
    <t>Whale Island</t>
  </si>
  <si>
    <t>Goldsmiths House</t>
  </si>
  <si>
    <t>Broad Plain</t>
  </si>
  <si>
    <t>8 Main Street</t>
  </si>
  <si>
    <t>Delaware Drive</t>
  </si>
  <si>
    <t>Tongwell</t>
  </si>
  <si>
    <t>Burton-On-Trent</t>
  </si>
  <si>
    <t>425 Wilmslow Road</t>
  </si>
  <si>
    <t>Chorley House</t>
  </si>
  <si>
    <t>Lancashire Enterprise Business Park</t>
  </si>
  <si>
    <t>4th Floor, Westminster House</t>
  </si>
  <si>
    <t>11, Portland Street</t>
  </si>
  <si>
    <t>Independence House</t>
  </si>
  <si>
    <t>Millfield Lane</t>
  </si>
  <si>
    <t>Nether Poppleton</t>
  </si>
  <si>
    <t>Luker Road</t>
  </si>
  <si>
    <t>Zenith Court 4</t>
  </si>
  <si>
    <t>Bishops Square Business Park</t>
  </si>
  <si>
    <t>United House</t>
  </si>
  <si>
    <t>38 Church Road</t>
  </si>
  <si>
    <t>Rainford</t>
  </si>
  <si>
    <t>Oakwood House</t>
  </si>
  <si>
    <t>82 Eastmount Road</t>
  </si>
  <si>
    <t>Halford House</t>
  </si>
  <si>
    <t>Coval Lane</t>
  </si>
  <si>
    <t>29a High Street</t>
  </si>
  <si>
    <t>Neston</t>
  </si>
  <si>
    <t>91 Railway Road</t>
  </si>
  <si>
    <t>Premier Gate</t>
  </si>
  <si>
    <t>Easthampstead Road</t>
  </si>
  <si>
    <t>Gillingham</t>
  </si>
  <si>
    <t>Lime Kiln House</t>
  </si>
  <si>
    <t>Royal Wootton Bassett</t>
  </si>
  <si>
    <t>Blois Meadow Business Centre</t>
  </si>
  <si>
    <t>Blois Road</t>
  </si>
  <si>
    <t>Steeple Bumpstead</t>
  </si>
  <si>
    <t>Waltham House</t>
  </si>
  <si>
    <t>Riverview Road</t>
  </si>
  <si>
    <t>The Hub Business Centre</t>
  </si>
  <si>
    <t>Bramford</t>
  </si>
  <si>
    <t>17 Moorgate Street</t>
  </si>
  <si>
    <t>22-24</t>
  </si>
  <si>
    <t>Worple Road</t>
  </si>
  <si>
    <t>Methuen Park</t>
  </si>
  <si>
    <t>Training &amp; Development</t>
  </si>
  <si>
    <t>5 Pipers Way</t>
  </si>
  <si>
    <t>Express Networks</t>
  </si>
  <si>
    <t>1 George Leigh Street</t>
  </si>
  <si>
    <t>Christopher Wren Yard</t>
  </si>
  <si>
    <t>119 High Street</t>
  </si>
  <si>
    <t>G7 Ash Tree Court</t>
  </si>
  <si>
    <t>Mellors Way</t>
  </si>
  <si>
    <t>63-71 Anlaby Road</t>
  </si>
  <si>
    <t>26 Victoria Road</t>
  </si>
  <si>
    <t>Syke Breck Farm</t>
  </si>
  <si>
    <t>Blidworth Lane</t>
  </si>
  <si>
    <t>Blidworth</t>
  </si>
  <si>
    <t>E.On Engineering Academy</t>
  </si>
  <si>
    <t>Ratcliffe-On-Soar</t>
  </si>
  <si>
    <t>CA Parsons Works</t>
  </si>
  <si>
    <t>The Green</t>
  </si>
  <si>
    <t>Velvet Mill</t>
  </si>
  <si>
    <t>Lilycroft Road</t>
  </si>
  <si>
    <t>1 Old Elstead Road</t>
  </si>
  <si>
    <t>Milford</t>
  </si>
  <si>
    <t>Craneshaw House 8</t>
  </si>
  <si>
    <t>Douglas Road</t>
  </si>
  <si>
    <t>Orbital Park</t>
  </si>
  <si>
    <t>178-188 Great South Road</t>
  </si>
  <si>
    <t>7 Monarch Court</t>
  </si>
  <si>
    <t>The Brooms</t>
  </si>
  <si>
    <t>5b</t>
  </si>
  <si>
    <t>Tower House</t>
  </si>
  <si>
    <t>St Catherines Court</t>
  </si>
  <si>
    <t>Unit 5, Canal Business Park</t>
  </si>
  <si>
    <t>Dumballs Road</t>
  </si>
  <si>
    <t>Commerce Way</t>
  </si>
  <si>
    <t>Melrose Hall</t>
  </si>
  <si>
    <t>Cypress Drive</t>
  </si>
  <si>
    <t>B &amp; Q House</t>
  </si>
  <si>
    <t>Chestnut Avenue</t>
  </si>
  <si>
    <t>Unit 15-16 Heron Quat</t>
  </si>
  <si>
    <t>Endurance House</t>
  </si>
  <si>
    <t>Colmet Court Queensway South</t>
  </si>
  <si>
    <t>Phoenix House</t>
  </si>
  <si>
    <t>3 Goddard Road</t>
  </si>
  <si>
    <t>Kingfisher</t>
  </si>
  <si>
    <t>Unit 2A/B, Wavertree</t>
  </si>
  <si>
    <t>Boulevard South</t>
  </si>
  <si>
    <t>Wavertree Technology Park</t>
  </si>
  <si>
    <t>Babcock Enterprise</t>
  </si>
  <si>
    <t>11A Picadilly</t>
  </si>
  <si>
    <t>1st Floor, Intersection House</t>
  </si>
  <si>
    <t>110 Birmingham Road</t>
  </si>
  <si>
    <t>ISS House</t>
  </si>
  <si>
    <t>Genesis Business Park</t>
  </si>
  <si>
    <t>Albert Drive</t>
  </si>
  <si>
    <t>Wetherspoon House</t>
  </si>
  <si>
    <t>Reeds Crescent</t>
  </si>
  <si>
    <t>Paper Mill Lane</t>
  </si>
  <si>
    <t>Floor 4, HQ</t>
  </si>
  <si>
    <t>58 Nicholas Street</t>
  </si>
  <si>
    <t>Hartford Manor</t>
  </si>
  <si>
    <t>National Training Centre</t>
  </si>
  <si>
    <t>Swallowdale Lane</t>
  </si>
  <si>
    <t>Sheffield Business Park</t>
  </si>
  <si>
    <t>Westfields</t>
  </si>
  <si>
    <t>Middlewich Road</t>
  </si>
  <si>
    <t>Sandbach</t>
  </si>
  <si>
    <t>15a Station Field Industrial Estate</t>
  </si>
  <si>
    <t>Sunrise House</t>
  </si>
  <si>
    <t>Priory House</t>
  </si>
  <si>
    <t>Monks Walk</t>
  </si>
  <si>
    <t>169 Euston Road</t>
  </si>
  <si>
    <t>Covent Garden</t>
  </si>
  <si>
    <t>32 Goldsworth Road</t>
  </si>
  <si>
    <t>9-10 Vine Place</t>
  </si>
  <si>
    <t>Chester Office Suite 1</t>
  </si>
  <si>
    <t>2nd Floor Maple House</t>
  </si>
  <si>
    <t>Park West Business Park</t>
  </si>
  <si>
    <t>CHESTER</t>
  </si>
  <si>
    <t>19-20 The Triangle</t>
  </si>
  <si>
    <t>1-4 Portland Square</t>
  </si>
  <si>
    <t>Suite 1, Windrush Court</t>
  </si>
  <si>
    <t>56a High Street</t>
  </si>
  <si>
    <t>22 Chapelgate</t>
  </si>
  <si>
    <t>Global Headquarters and Europe, Middle East and Africa</t>
  </si>
  <si>
    <t>Broadwater Park</t>
  </si>
  <si>
    <t>8 Grove Court</t>
  </si>
  <si>
    <t>Grove Park</t>
  </si>
  <si>
    <t>40 Derby Road</t>
  </si>
  <si>
    <t>Keeley Street</t>
  </si>
  <si>
    <t>38 Campshill Road</t>
  </si>
  <si>
    <t>Wendover Road</t>
  </si>
  <si>
    <t>Rackheath Industrial Estate Rackheath</t>
  </si>
  <si>
    <t>The Bridges</t>
  </si>
  <si>
    <t>Lead Road</t>
  </si>
  <si>
    <t>Stocksfield</t>
  </si>
  <si>
    <t>Hele Road</t>
  </si>
  <si>
    <t>Fulwood Campus</t>
  </si>
  <si>
    <t>Centec Business Centre Stopgate Centre</t>
  </si>
  <si>
    <t>Serco Global Services, UK &amp; Europe</t>
  </si>
  <si>
    <t>3rd Floor, Bede House</t>
  </si>
  <si>
    <t>Moorgate Road</t>
  </si>
  <si>
    <t>Threlfall Building</t>
  </si>
  <si>
    <t>Trueman Street</t>
  </si>
  <si>
    <t>Kings Road</t>
  </si>
  <si>
    <t>Mill Hill Road</t>
  </si>
  <si>
    <t>42 - 43 Queen Square</t>
  </si>
  <si>
    <t>95 Plumstead Road</t>
  </si>
  <si>
    <t>Plumstead</t>
  </si>
  <si>
    <t>Shoreditch Campus</t>
  </si>
  <si>
    <t>Falkirk Street</t>
  </si>
  <si>
    <t>383 Holloway Road</t>
  </si>
  <si>
    <t>Holloway</t>
  </si>
  <si>
    <t>74 St Charles Square</t>
  </si>
  <si>
    <t>North Kensington</t>
  </si>
  <si>
    <t>45 Clapham Common Southside</t>
  </si>
  <si>
    <t>Belmont Grove</t>
  </si>
  <si>
    <t>Poplar High Street</t>
  </si>
  <si>
    <t>Poplar</t>
  </si>
  <si>
    <t>4 Luke Street</t>
  </si>
  <si>
    <t>King's Cross Centre</t>
  </si>
  <si>
    <t>211 Grays Inn Road</t>
  </si>
  <si>
    <t>Malwood Road</t>
  </si>
  <si>
    <t>25 Paddington Green</t>
  </si>
  <si>
    <t>Dagenham Road</t>
  </si>
  <si>
    <t>Rush Green</t>
  </si>
  <si>
    <t>Wood Street</t>
  </si>
  <si>
    <t>Woodhouse Road</t>
  </si>
  <si>
    <t>Finchley</t>
  </si>
  <si>
    <t>Tower Road</t>
  </si>
  <si>
    <t>Belvedere</t>
  </si>
  <si>
    <t>Willesden Centre</t>
  </si>
  <si>
    <t>Dudden Hill Lane</t>
  </si>
  <si>
    <t>Rookery Lane</t>
  </si>
  <si>
    <t>Fairfield Campus</t>
  </si>
  <si>
    <t>Placehouse Lane</t>
  </si>
  <si>
    <t>Coulsdon</t>
  </si>
  <si>
    <t>Selsdon Park Road</t>
  </si>
  <si>
    <t>South Croydon</t>
  </si>
  <si>
    <t>Bullsmoor Lane</t>
  </si>
  <si>
    <t>Elm Park</t>
  </si>
  <si>
    <t>Stanmore</t>
  </si>
  <si>
    <t>Brookshill</t>
  </si>
  <si>
    <t>Harrow Weald</t>
  </si>
  <si>
    <t>Mount Park Avenue</t>
  </si>
  <si>
    <t>Harrow-on-the-Hill</t>
  </si>
  <si>
    <t>Ardleigh Green Road</t>
  </si>
  <si>
    <t>Wingletye Lane</t>
  </si>
  <si>
    <t>Isleworth</t>
  </si>
  <si>
    <t>Kingston Hall Road</t>
  </si>
  <si>
    <t>Kingston upon Thames</t>
  </si>
  <si>
    <t>East Ham Campus</t>
  </si>
  <si>
    <t>High Street South</t>
  </si>
  <si>
    <t>Prince Regent Lane</t>
  </si>
  <si>
    <t>Plaistow</t>
  </si>
  <si>
    <t>Little Heath</t>
  </si>
  <si>
    <t>Barley Lane</t>
  </si>
  <si>
    <t>Egerton Road</t>
  </si>
  <si>
    <t>Forest Road</t>
  </si>
  <si>
    <t>Essex Road</t>
  </si>
  <si>
    <t>Chingford Road</t>
  </si>
  <si>
    <t>1 Longbridge Lane</t>
  </si>
  <si>
    <t>129 Floodgate Street</t>
  </si>
  <si>
    <t>Summer Row</t>
  </si>
  <si>
    <t>Jennens Road</t>
  </si>
  <si>
    <t>Downland Close</t>
  </si>
  <si>
    <t>Redditch Road</t>
  </si>
  <si>
    <t>Henley Road</t>
  </si>
  <si>
    <t>Bell Green</t>
  </si>
  <si>
    <t>50 Swanswell Street</t>
  </si>
  <si>
    <t>Bramston Crescent</t>
  </si>
  <si>
    <t>Whittingham Road</t>
  </si>
  <si>
    <t>Halesowen</t>
  </si>
  <si>
    <t>Lower High Street</t>
  </si>
  <si>
    <t>1 Spon Lane</t>
  </si>
  <si>
    <t>Blossomfield Campus</t>
  </si>
  <si>
    <t>Blossomfield Road</t>
  </si>
  <si>
    <t>Widney Manor Road</t>
  </si>
  <si>
    <t>Wisemore Campus</t>
  </si>
  <si>
    <t>Littleton Street West</t>
  </si>
  <si>
    <t>Paget Road</t>
  </si>
  <si>
    <t>Rupert Road</t>
  </si>
  <si>
    <t>Roby</t>
  </si>
  <si>
    <t>Clarence Street</t>
  </si>
  <si>
    <t>Water Street</t>
  </si>
  <si>
    <t>Prescot Road</t>
  </si>
  <si>
    <t>Balliol Road</t>
  </si>
  <si>
    <t>Mornington Road</t>
  </si>
  <si>
    <t>Scarisbrick New Road</t>
  </si>
  <si>
    <t>Conway Park Campus</t>
  </si>
  <si>
    <t>Conway Park</t>
  </si>
  <si>
    <t>Park Road West</t>
  </si>
  <si>
    <t>Claughton</t>
  </si>
  <si>
    <t>Deane Road</t>
  </si>
  <si>
    <t>169 Manchester Road</t>
  </si>
  <si>
    <t>Openshaw Campus</t>
  </si>
  <si>
    <t>Openshaw</t>
  </si>
  <si>
    <t>Whitworth Street</t>
  </si>
  <si>
    <t>Chichester Road</t>
  </si>
  <si>
    <t>Hulme</t>
  </si>
  <si>
    <t>Lower Park Road</t>
  </si>
  <si>
    <t>Union Street West</t>
  </si>
  <si>
    <t>Middleton Campus</t>
  </si>
  <si>
    <t>Frontier House</t>
  </si>
  <si>
    <t>Merchants Quay</t>
  </si>
  <si>
    <t>Nangreave Road</t>
  </si>
  <si>
    <t>Cheadle Road</t>
  </si>
  <si>
    <t>Beaufort Road</t>
  </si>
  <si>
    <t>Darnton Road</t>
  </si>
  <si>
    <t>Parson's Walk</t>
  </si>
  <si>
    <t>Winstanley Road</t>
  </si>
  <si>
    <t>Billinge</t>
  </si>
  <si>
    <t>Gathurst Road</t>
  </si>
  <si>
    <t>PO Box 266</t>
  </si>
  <si>
    <t>The Hub, Chappell Drive</t>
  </si>
  <si>
    <t>Town Centre Campus</t>
  </si>
  <si>
    <t>Manvers Park</t>
  </si>
  <si>
    <t>Wath-upon-Dearne</t>
  </si>
  <si>
    <t>PO Box 345</t>
  </si>
  <si>
    <t>Granville Road</t>
  </si>
  <si>
    <t>Great Horton Road</t>
  </si>
  <si>
    <t>Exhibition Road</t>
  </si>
  <si>
    <t>Saltaire</t>
  </si>
  <si>
    <t>Francis Street</t>
  </si>
  <si>
    <t>Greenhead Road</t>
  </si>
  <si>
    <t>New Hey Road</t>
  </si>
  <si>
    <t>Cookridge Street</t>
  </si>
  <si>
    <t>Park Lane</t>
  </si>
  <si>
    <t>Blenheim Walk</t>
  </si>
  <si>
    <t>St Mark's Avenue</t>
  </si>
  <si>
    <t>Margaret Street</t>
  </si>
  <si>
    <t>Baltic Campus</t>
  </si>
  <si>
    <t>Quarryfield Road</t>
  </si>
  <si>
    <t>Rye Hill Campus</t>
  </si>
  <si>
    <t>St George's Avenue</t>
  </si>
  <si>
    <t>Avon Street</t>
  </si>
  <si>
    <t>South Hill Park</t>
  </si>
  <si>
    <t>Knightstone Road</t>
  </si>
  <si>
    <t>Stockton Street</t>
  </si>
  <si>
    <t>Brinkburn</t>
  </si>
  <si>
    <t>Blakelock Road</t>
  </si>
  <si>
    <t>Middlehaven</t>
  </si>
  <si>
    <t>Dock Street</t>
  </si>
  <si>
    <t>Linthorpe</t>
  </si>
  <si>
    <t>Corporation Road</t>
  </si>
  <si>
    <t>Church Walk</t>
  </si>
  <si>
    <t>Harvard Avenue</t>
  </si>
  <si>
    <t>Bishopton Road West</t>
  </si>
  <si>
    <t>Queen's Gardens</t>
  </si>
  <si>
    <t>Kingston-upon-Hull</t>
  </si>
  <si>
    <t>Saltshouse Road</t>
  </si>
  <si>
    <t>Bricknell Avenue</t>
  </si>
  <si>
    <t>Gallows Lane</t>
  </si>
  <si>
    <t>Bishop Burton</t>
  </si>
  <si>
    <t>Nuns Corner</t>
  </si>
  <si>
    <t>Chelmsford Avenue</t>
  </si>
  <si>
    <t>West Common Lane</t>
  </si>
  <si>
    <t>Gargrave Road</t>
  </si>
  <si>
    <t>Abbot's Road</t>
  </si>
  <si>
    <t>Sandybed Lane</t>
  </si>
  <si>
    <t>Sim Balk Lane</t>
  </si>
  <si>
    <t>Askham Bryan</t>
  </si>
  <si>
    <t>York Street</t>
  </si>
  <si>
    <t>Bradgers Hill Road</t>
  </si>
  <si>
    <t>Monks Lane</t>
  </si>
  <si>
    <t>Langley</t>
  </si>
  <si>
    <t>Hall Place</t>
  </si>
  <si>
    <t>Burchetts Green</t>
  </si>
  <si>
    <t>Stanley Hill</t>
  </si>
  <si>
    <t>Amersham</t>
  </si>
  <si>
    <t>Chaffron Way Centre</t>
  </si>
  <si>
    <t>Woughton Campus West</t>
  </si>
  <si>
    <t>Leadenhall</t>
  </si>
  <si>
    <t>Science Park Campus</t>
  </si>
  <si>
    <t>Kings Hedges Road</t>
  </si>
  <si>
    <t>California Road</t>
  </si>
  <si>
    <t>Park Crescent</t>
  </si>
  <si>
    <t>Hills Road</t>
  </si>
  <si>
    <t>Long Road</t>
  </si>
  <si>
    <t>Ellesmere Port Campus</t>
  </si>
  <si>
    <t>Off Sutton Way</t>
  </si>
  <si>
    <t>Dane Bank Avenue</t>
  </si>
  <si>
    <t>Reaseheath</t>
  </si>
  <si>
    <t>Loushers Lane</t>
  </si>
  <si>
    <t>Monarch Drive</t>
  </si>
  <si>
    <t>Corporate Headquarters</t>
  </si>
  <si>
    <t>Cornwall College St Austell</t>
  </si>
  <si>
    <t>Tregonissey Road</t>
  </si>
  <si>
    <t>Channelside</t>
  </si>
  <si>
    <t>Rating Lane</t>
  </si>
  <si>
    <t>Infirmary Road</t>
  </si>
  <si>
    <t>Old Sticklepath Hill</t>
  </si>
  <si>
    <t>Vantage Point</t>
  </si>
  <si>
    <t>Tavistock Place</t>
  </si>
  <si>
    <t>East Budleigh</t>
  </si>
  <si>
    <t>Budleigh Salterton</t>
  </si>
  <si>
    <t>Cranford Avenue</t>
  </si>
  <si>
    <t>Wallisdown Road</t>
  </si>
  <si>
    <t>Kingston Maurward</t>
  </si>
  <si>
    <t>Woodhouse Lane</t>
  </si>
  <si>
    <t>Front Street</t>
  </si>
  <si>
    <t>Framwellgate Moor Centre</t>
  </si>
  <si>
    <t>Framwellgate Moor</t>
  </si>
  <si>
    <t>Vane Terrace</t>
  </si>
  <si>
    <t>Pelham Street</t>
  </si>
  <si>
    <t>Station Plaza</t>
  </si>
  <si>
    <t>Cross Levels Way</t>
  </si>
  <si>
    <t>Ditchling Road</t>
  </si>
  <si>
    <t>Plumpton</t>
  </si>
  <si>
    <t>Surrenden Road</t>
  </si>
  <si>
    <t>205 Dyke Road</t>
  </si>
  <si>
    <t>Penland Road</t>
  </si>
  <si>
    <t>Bexhill-on-Sea</t>
  </si>
  <si>
    <t>Sheepen Road</t>
  </si>
  <si>
    <t>Velizy Avenue</t>
  </si>
  <si>
    <t>Borders Lane</t>
  </si>
  <si>
    <t>Loughton</t>
  </si>
  <si>
    <t>Moulsham Street</t>
  </si>
  <si>
    <t>North Hill</t>
  </si>
  <si>
    <t>Runnymede Chase</t>
  </si>
  <si>
    <t>Benfleet</t>
  </si>
  <si>
    <t>Cheltenham Campus</t>
  </si>
  <si>
    <t>Princess Elizabeth Way</t>
  </si>
  <si>
    <t>Hartpury House</t>
  </si>
  <si>
    <t>Hartpury</t>
  </si>
  <si>
    <t>Worting Road</t>
  </si>
  <si>
    <t>Boundary Road</t>
  </si>
  <si>
    <t>Lyndhurst Road</t>
  </si>
  <si>
    <t>Brockenhurst</t>
  </si>
  <si>
    <t>Old Odiham Road</t>
  </si>
  <si>
    <t>Bishopsfield Road</t>
  </si>
  <si>
    <t>St Mary Street</t>
  </si>
  <si>
    <t>Tudor Crescent</t>
  </si>
  <si>
    <t>Calmore Road</t>
  </si>
  <si>
    <t>Totton</t>
  </si>
  <si>
    <t>Cliddesden Road</t>
  </si>
  <si>
    <t>Prospect Avenue</t>
  </si>
  <si>
    <t>Middle Road</t>
  </si>
  <si>
    <t>Bitterne</t>
  </si>
  <si>
    <t>Tangier Road</t>
  </si>
  <si>
    <t>Hill Lane</t>
  </si>
  <si>
    <t>Owens Road</t>
  </si>
  <si>
    <t>Davies Road</t>
  </si>
  <si>
    <t>Folly Lane</t>
  </si>
  <si>
    <t>Peakman Street</t>
  </si>
  <si>
    <t>Watford Campus</t>
  </si>
  <si>
    <t>Stevenage Centre</t>
  </si>
  <si>
    <t>Scotts Road</t>
  </si>
  <si>
    <t>Smallford Campus</t>
  </si>
  <si>
    <t>Hatfield Road</t>
  </si>
  <si>
    <t>Oakfield Lane</t>
  </si>
  <si>
    <t>Medway Road</t>
  </si>
  <si>
    <t>Ramsgate Road</t>
  </si>
  <si>
    <t>Broadstairs</t>
  </si>
  <si>
    <t>New Dover Road</t>
  </si>
  <si>
    <t>Tonbridge Road</t>
  </si>
  <si>
    <t>Hadlow</t>
  </si>
  <si>
    <t>Feilden Street</t>
  </si>
  <si>
    <t>Morecambe Road</t>
  </si>
  <si>
    <t>Scotland Road</t>
  </si>
  <si>
    <t>Ashfield Road</t>
  </si>
  <si>
    <t>Bispham</t>
  </si>
  <si>
    <t>St Vincent's Road</t>
  </si>
  <si>
    <t>Langdale Road</t>
  </si>
  <si>
    <t>St Michael's Road</t>
  </si>
  <si>
    <t>Bilsborrow</t>
  </si>
  <si>
    <t>Highfurlong</t>
  </si>
  <si>
    <t>Lark Hill Road</t>
  </si>
  <si>
    <t>Avenham</t>
  </si>
  <si>
    <t>Shear Brow</t>
  </si>
  <si>
    <t>Thornborough Road</t>
  </si>
  <si>
    <t>South Wigston Campus</t>
  </si>
  <si>
    <t>Blaby Road</t>
  </si>
  <si>
    <t>South Wigston</t>
  </si>
  <si>
    <t>Aylestone Road</t>
  </si>
  <si>
    <t>Brooksby</t>
  </si>
  <si>
    <t>Colin Grundy Drive</t>
  </si>
  <si>
    <t>Regent Road</t>
  </si>
  <si>
    <t>Drift Road</t>
  </si>
  <si>
    <t>Stamford</t>
  </si>
  <si>
    <t>Rochford Campus</t>
  </si>
  <si>
    <t>Skirbeck Road</t>
  </si>
  <si>
    <t>Tennyson Avenue</t>
  </si>
  <si>
    <t>Suffolk Road</t>
  </si>
  <si>
    <t>Southtown</t>
  </si>
  <si>
    <t>Grammar School Road</t>
  </si>
  <si>
    <t>North Walsham</t>
  </si>
  <si>
    <t>Main Campus</t>
  </si>
  <si>
    <t>Booth Lane</t>
  </si>
  <si>
    <t>Windmill Avenue</t>
  </si>
  <si>
    <t>Moulton</t>
  </si>
  <si>
    <t>Adams Building, Stoney Street</t>
  </si>
  <si>
    <t>Greythorn Drive</t>
  </si>
  <si>
    <t>Bilborough Road</t>
  </si>
  <si>
    <t>Wootton Road</t>
  </si>
  <si>
    <t>Dunstan Road</t>
  </si>
  <si>
    <t>Old Headington</t>
  </si>
  <si>
    <t>Haybridge Road</t>
  </si>
  <si>
    <t>Shrewsbury Road</t>
  </si>
  <si>
    <t>Oswestry</t>
  </si>
  <si>
    <t>Mudford Road</t>
  </si>
  <si>
    <t>Knutton Lane</t>
  </si>
  <si>
    <t>Newcastle-under-Lyme</t>
  </si>
  <si>
    <t>Earl Street</t>
  </si>
  <si>
    <t>Cauldon Campus</t>
  </si>
  <si>
    <t>Leek Road</t>
  </si>
  <si>
    <t>Rope Walk</t>
  </si>
  <si>
    <t>Ewell</t>
  </si>
  <si>
    <t>Stoke Park</t>
  </si>
  <si>
    <t>Gatton Point</t>
  </si>
  <si>
    <t>Weybridge</t>
  </si>
  <si>
    <t>Tuesley Lane</t>
  </si>
  <si>
    <t>Castlefield Road</t>
  </si>
  <si>
    <t>Reigate</t>
  </si>
  <si>
    <t>Weston Green Road</t>
  </si>
  <si>
    <t>Rydens Way</t>
  </si>
  <si>
    <t>Hinckley Road</t>
  </si>
  <si>
    <t>The Willows North</t>
  </si>
  <si>
    <t>King Edward Road</t>
  </si>
  <si>
    <t>Littlehampton Road</t>
  </si>
  <si>
    <t>Westgate Fields</t>
  </si>
  <si>
    <t>Bolsover Road</t>
  </si>
  <si>
    <t>Hurst Road</t>
  </si>
  <si>
    <t>North Star Avenue</t>
  </si>
  <si>
    <t>Anchor Road</t>
  </si>
  <si>
    <t>Parkshot</t>
  </si>
  <si>
    <t>Bede Centre</t>
  </si>
  <si>
    <t>Durham Road</t>
  </si>
  <si>
    <t>Longbow House</t>
  </si>
  <si>
    <t>Willerby Grove</t>
  </si>
  <si>
    <t>Warford</t>
  </si>
  <si>
    <t>Alderley Edge</t>
  </si>
  <si>
    <t>Corbidge</t>
  </si>
  <si>
    <t>6-7 the Cloisters</t>
  </si>
  <si>
    <t>Ashbrooke</t>
  </si>
  <si>
    <t>Westbury</t>
  </si>
  <si>
    <t>North Parade</t>
  </si>
  <si>
    <t>Fairview House</t>
  </si>
  <si>
    <t>43 Bath Road</t>
  </si>
  <si>
    <t>Avon Tyrrell</t>
  </si>
  <si>
    <t>9 Leicester Avenue</t>
  </si>
  <si>
    <t>Bowness-on-Windermere</t>
  </si>
  <si>
    <t>Spilsby</t>
  </si>
  <si>
    <t>Tankerville Terrace</t>
  </si>
  <si>
    <t>7/9 Oak Park Villas</t>
  </si>
  <si>
    <t>Old Town Hall</t>
  </si>
  <si>
    <t>Woodcote Road</t>
  </si>
  <si>
    <t>Wood Lane</t>
  </si>
  <si>
    <t>50 Topsham Road</t>
  </si>
  <si>
    <t>Sterling Works</t>
  </si>
  <si>
    <t>88 Arundel Street</t>
  </si>
  <si>
    <t>50 Forder Way</t>
  </si>
  <si>
    <t>Cygnet Park</t>
  </si>
  <si>
    <t>Perry Green</t>
  </si>
  <si>
    <t>17 Walpole Road</t>
  </si>
  <si>
    <t>Unit 7, The Imex Technology Park</t>
  </si>
  <si>
    <t>Bellringer Road</t>
  </si>
  <si>
    <t>Trentham Lakes South</t>
  </si>
  <si>
    <t>Thornbeck College (Aycliffe Campus)</t>
  </si>
  <si>
    <t>Cedar Drive</t>
  </si>
  <si>
    <t>Nr Sevenoaks</t>
  </si>
  <si>
    <t>Whittington Road</t>
  </si>
  <si>
    <t>Gobowen</t>
  </si>
  <si>
    <t>Woodlane</t>
  </si>
  <si>
    <t>The Roundhouse</t>
  </si>
  <si>
    <t>Roundhouse Road</t>
  </si>
  <si>
    <t>Brooke House</t>
  </si>
  <si>
    <t>Kenninghall Road</t>
  </si>
  <si>
    <t>Franchise Street</t>
  </si>
  <si>
    <t>Perry Barr</t>
  </si>
  <si>
    <t>6 Penrose Way</t>
  </si>
  <si>
    <t>Lordship Road</t>
  </si>
  <si>
    <t>Priory Street</t>
  </si>
  <si>
    <t>Kedleston Road</t>
  </si>
  <si>
    <t>Falkner Road</t>
  </si>
  <si>
    <t>Queen Alexandra Road</t>
  </si>
  <si>
    <t>The Gateway</t>
  </si>
  <si>
    <t>Ashby Road</t>
  </si>
  <si>
    <t>Vice Chancellors Office</t>
  </si>
  <si>
    <t>Brayford Pool</t>
  </si>
  <si>
    <t>Burton Street</t>
  </si>
  <si>
    <t>Headington Campus</t>
  </si>
  <si>
    <t>Headington</t>
  </si>
  <si>
    <t>East Park Terrace</t>
  </si>
  <si>
    <t>4th Floor, Edinburgh Building</t>
  </si>
  <si>
    <t>City Campus, Chester Road</t>
  </si>
  <si>
    <t>272 High Holborn</t>
  </si>
  <si>
    <t>Room Tc 203</t>
  </si>
  <si>
    <t>St Mary's Road</t>
  </si>
  <si>
    <t>Horninglow Road</t>
  </si>
  <si>
    <t>Oxpen Road</t>
  </si>
  <si>
    <t>Battle Hill Drive</t>
  </si>
  <si>
    <t>Whitworth House</t>
  </si>
  <si>
    <t>Whitworth St</t>
  </si>
  <si>
    <t>Leeds City College Technology Campus</t>
  </si>
  <si>
    <t>Rotterdam Road</t>
  </si>
  <si>
    <t>Unit 32 Mastmaker Court</t>
  </si>
  <si>
    <t>Mastmaker Road</t>
  </si>
  <si>
    <t>Broadway House, 322 High Street</t>
  </si>
  <si>
    <t>Easton Campus</t>
  </si>
  <si>
    <t>Red Lion Lane</t>
  </si>
  <si>
    <t>Shooters Hill</t>
  </si>
  <si>
    <t>White Hart Lane</t>
  </si>
  <si>
    <t>FE &amp; Skills providers FOI dataset</t>
  </si>
  <si>
    <t>Priory College Swindon</t>
  </si>
  <si>
    <t>CT Skills Limited</t>
  </si>
  <si>
    <t>Notes</t>
  </si>
  <si>
    <t>Latest inspection outcomes of FE and Skills providers at 1 October 2014</t>
  </si>
  <si>
    <t>This dataset contains information on Further Education and Skills providers in England.</t>
  </si>
  <si>
    <t>Variables in dataset:</t>
  </si>
  <si>
    <t>Weblink to inspection report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</si>
</sst>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</numFmts>
  <fonts count="43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sz val="11"/>
      <color indexed="8"/>
      <name val="Calibri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6"/>
      <color indexed="8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sz val="11"/>
      <color theme="1"/>
      <name val="Calibri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6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3" fillId="0" borderId="0" xfId="53" applyBorder="1" applyAlignment="1">
      <alignment horizontal="left"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33" borderId="0" xfId="0" applyFont="1" applyFill="1" applyAlignment="1">
      <alignment wrapText="1"/>
    </xf>
    <xf numFmtId="14" fontId="40" fillId="33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4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32" sqref="A32:IV40"/>
    </sheetView>
  </sheetViews>
  <sheetFormatPr defaultColWidth="9.140625" defaultRowHeight="12.75"/>
  <cols>
    <col min="1" max="1" width="137.7109375" style="0" customWidth="1"/>
  </cols>
  <sheetData>
    <row r="1" ht="19.5">
      <c r="A1" s="11" t="s">
        <v>4409</v>
      </c>
    </row>
    <row r="3" ht="12.75">
      <c r="A3" s="7" t="s">
        <v>4410</v>
      </c>
    </row>
    <row r="5" ht="12.75">
      <c r="A5" t="s">
        <v>4411</v>
      </c>
    </row>
    <row r="7" ht="12.75">
      <c r="A7" s="3" t="s">
        <v>4412</v>
      </c>
    </row>
    <row r="8" ht="12.75">
      <c r="A8" t="s">
        <v>4413</v>
      </c>
    </row>
    <row r="9" ht="12.75">
      <c r="A9" t="s">
        <v>1</v>
      </c>
    </row>
    <row r="10" ht="12.75">
      <c r="A10" t="s">
        <v>2</v>
      </c>
    </row>
    <row r="11" ht="12.75">
      <c r="A11" t="s">
        <v>3</v>
      </c>
    </row>
    <row r="12" ht="12.75">
      <c r="A12" t="s">
        <v>4</v>
      </c>
    </row>
    <row r="13" ht="12.75">
      <c r="A13" t="s">
        <v>5</v>
      </c>
    </row>
    <row r="14" ht="12.75">
      <c r="A14" t="s">
        <v>1293</v>
      </c>
    </row>
    <row r="15" ht="12.75">
      <c r="A15" t="s">
        <v>6</v>
      </c>
    </row>
    <row r="16" ht="12.75">
      <c r="A16" t="s">
        <v>7</v>
      </c>
    </row>
    <row r="17" ht="12.75">
      <c r="A17" t="s">
        <v>8</v>
      </c>
    </row>
    <row r="18" ht="12.75">
      <c r="A18" t="s">
        <v>9</v>
      </c>
    </row>
    <row r="19" ht="12.75">
      <c r="A19" t="s">
        <v>10</v>
      </c>
    </row>
    <row r="20" ht="12.75">
      <c r="A20" t="s">
        <v>11</v>
      </c>
    </row>
    <row r="21" ht="12.75">
      <c r="A21" t="s">
        <v>12</v>
      </c>
    </row>
    <row r="22" ht="12.75">
      <c r="A22" t="s">
        <v>13</v>
      </c>
    </row>
    <row r="23" ht="12.75">
      <c r="A23" t="s">
        <v>1292</v>
      </c>
    </row>
    <row r="24" ht="12.75">
      <c r="A24" t="s">
        <v>1294</v>
      </c>
    </row>
    <row r="25" ht="12.75">
      <c r="A25" t="s">
        <v>2345</v>
      </c>
    </row>
    <row r="26" ht="12.75">
      <c r="A26" t="s">
        <v>2346</v>
      </c>
    </row>
    <row r="27" ht="12.75">
      <c r="A27" t="s">
        <v>2347</v>
      </c>
    </row>
    <row r="28" ht="12.75">
      <c r="A28" t="s">
        <v>2348</v>
      </c>
    </row>
    <row r="29" ht="12.75">
      <c r="A29" t="s">
        <v>2349</v>
      </c>
    </row>
    <row r="30" ht="12.75">
      <c r="A30" t="s">
        <v>2350</v>
      </c>
    </row>
    <row r="31" ht="12.75">
      <c r="A31" t="s">
        <v>2351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6"/>
  <sheetViews>
    <sheetView tabSelected="1" zoomScalePageLayoutView="0" workbookViewId="0" topLeftCell="J1">
      <selection activeCell="AF9" sqref="AF9"/>
    </sheetView>
  </sheetViews>
  <sheetFormatPr defaultColWidth="9.140625" defaultRowHeight="12.75"/>
  <cols>
    <col min="1" max="1" width="18.57421875" style="0" bestFit="1" customWidth="1"/>
    <col min="2" max="2" width="38.8515625" style="0" customWidth="1"/>
    <col min="5" max="5" width="21.00390625" style="0" customWidth="1"/>
    <col min="6" max="6" width="13.421875" style="0" customWidth="1"/>
    <col min="7" max="7" width="26.00390625" style="0" customWidth="1"/>
    <col min="8" max="8" width="12.57421875" style="2" customWidth="1"/>
    <col min="9" max="9" width="10.421875" style="2" bestFit="1" customWidth="1"/>
    <col min="10" max="10" width="11.28125" style="0" customWidth="1"/>
    <col min="11" max="11" width="11.8515625" style="2" customWidth="1"/>
    <col min="12" max="12" width="32.8515625" style="0" customWidth="1"/>
    <col min="13" max="13" width="11.421875" style="0" customWidth="1"/>
    <col min="14" max="14" width="14.00390625" style="0" customWidth="1"/>
    <col min="15" max="15" width="14.8515625" style="0" customWidth="1"/>
    <col min="16" max="16" width="11.7109375" style="0" customWidth="1"/>
    <col min="17" max="17" width="15.57421875" style="0" customWidth="1"/>
    <col min="19" max="19" width="11.421875" style="0" bestFit="1" customWidth="1"/>
  </cols>
  <sheetData>
    <row r="1" ht="12.75">
      <c r="A1" s="3" t="s">
        <v>4406</v>
      </c>
    </row>
    <row r="2" ht="12.75">
      <c r="A2" s="7" t="s">
        <v>4410</v>
      </c>
    </row>
    <row r="4" spans="1:24" s="4" customFormat="1" ht="37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1293</v>
      </c>
      <c r="H4" s="6" t="s">
        <v>6</v>
      </c>
      <c r="I4" s="6" t="s">
        <v>7</v>
      </c>
      <c r="J4" s="5" t="s">
        <v>8</v>
      </c>
      <c r="K4" s="6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1292</v>
      </c>
      <c r="Q4" s="5" t="s">
        <v>1294</v>
      </c>
      <c r="R4" s="5" t="s">
        <v>2345</v>
      </c>
      <c r="S4" s="5" t="s">
        <v>2346</v>
      </c>
      <c r="T4" s="5" t="s">
        <v>2347</v>
      </c>
      <c r="U4" s="5" t="s">
        <v>2348</v>
      </c>
      <c r="V4" s="5" t="s">
        <v>2349</v>
      </c>
      <c r="W4" s="5" t="s">
        <v>2350</v>
      </c>
      <c r="X4" s="5" t="s">
        <v>2351</v>
      </c>
    </row>
    <row r="5" spans="1:24" ht="12.75">
      <c r="A5" s="1" t="str">
        <f>HYPERLINK("http://www.ofsted.gov.uk/inspection-reports/find-inspection-report/provider/ELS/50080","Ofsted FES Webpage")</f>
        <v>Ofsted FES Webpage</v>
      </c>
      <c r="B5" t="s">
        <v>14</v>
      </c>
      <c r="C5">
        <v>50080</v>
      </c>
      <c r="D5">
        <v>117783</v>
      </c>
      <c r="E5" t="s">
        <v>15</v>
      </c>
      <c r="F5" t="s">
        <v>16</v>
      </c>
      <c r="G5" t="s">
        <v>17</v>
      </c>
      <c r="H5" s="2">
        <v>40322</v>
      </c>
      <c r="I5" s="2">
        <v>40326</v>
      </c>
      <c r="J5" t="s">
        <v>18</v>
      </c>
      <c r="K5" s="2">
        <v>40364.135526886574</v>
      </c>
      <c r="L5" t="s">
        <v>19</v>
      </c>
      <c r="M5">
        <v>346192</v>
      </c>
      <c r="N5">
        <v>2</v>
      </c>
      <c r="O5">
        <v>2</v>
      </c>
      <c r="P5">
        <v>3</v>
      </c>
      <c r="Q5">
        <v>3</v>
      </c>
      <c r="R5">
        <v>963</v>
      </c>
      <c r="S5" t="s">
        <v>2407</v>
      </c>
      <c r="V5" t="s">
        <v>15</v>
      </c>
      <c r="X5" t="s">
        <v>1320</v>
      </c>
    </row>
    <row r="6" spans="1:24" ht="12.75">
      <c r="A6" s="1" t="str">
        <f>HYPERLINK("http://www.ofsted.gov.uk/inspection-reports/find-inspection-report/provider/ELS/50082","Ofsted FES Webpage")</f>
        <v>Ofsted FES Webpage</v>
      </c>
      <c r="B6" t="s">
        <v>21</v>
      </c>
      <c r="C6">
        <v>50082</v>
      </c>
      <c r="D6">
        <v>105353</v>
      </c>
      <c r="E6" t="s">
        <v>22</v>
      </c>
      <c r="F6" t="s">
        <v>16</v>
      </c>
      <c r="G6" t="s">
        <v>17</v>
      </c>
      <c r="H6" s="2">
        <v>41114</v>
      </c>
      <c r="I6" s="2">
        <v>41117</v>
      </c>
      <c r="J6" t="s">
        <v>23</v>
      </c>
      <c r="K6" s="2">
        <v>41155.135478159726</v>
      </c>
      <c r="L6" t="s">
        <v>19</v>
      </c>
      <c r="M6">
        <v>388102</v>
      </c>
      <c r="N6">
        <v>2</v>
      </c>
      <c r="O6">
        <v>2</v>
      </c>
      <c r="P6">
        <v>2</v>
      </c>
      <c r="Q6">
        <v>2</v>
      </c>
      <c r="R6">
        <v>131</v>
      </c>
      <c r="S6" t="s">
        <v>2409</v>
      </c>
      <c r="T6" t="s">
        <v>2410</v>
      </c>
      <c r="W6" t="s">
        <v>2411</v>
      </c>
      <c r="X6" t="s">
        <v>1321</v>
      </c>
    </row>
    <row r="7" spans="1:24" ht="12.75">
      <c r="A7" s="1" t="str">
        <f>HYPERLINK("http://www.ofsted.gov.uk/inspection-reports/find-inspection-report/provider/ELS/50083","Ofsted FES Webpage")</f>
        <v>Ofsted FES Webpage</v>
      </c>
      <c r="B7" t="s">
        <v>24</v>
      </c>
      <c r="C7">
        <v>50083</v>
      </c>
      <c r="D7">
        <v>105987</v>
      </c>
      <c r="E7" t="s">
        <v>25</v>
      </c>
      <c r="F7" t="s">
        <v>26</v>
      </c>
      <c r="G7" t="s">
        <v>17</v>
      </c>
      <c r="H7" s="2">
        <v>41688</v>
      </c>
      <c r="I7" s="2">
        <v>41691</v>
      </c>
      <c r="J7" t="s">
        <v>27</v>
      </c>
      <c r="K7" s="2">
        <v>41724.13546258102</v>
      </c>
      <c r="L7" t="s">
        <v>28</v>
      </c>
      <c r="M7">
        <v>422197</v>
      </c>
      <c r="N7">
        <v>3</v>
      </c>
      <c r="O7">
        <v>3</v>
      </c>
      <c r="P7">
        <v>4</v>
      </c>
      <c r="Q7">
        <v>4</v>
      </c>
      <c r="R7">
        <v>27646</v>
      </c>
      <c r="S7" t="s">
        <v>2412</v>
      </c>
      <c r="W7" t="s">
        <v>25</v>
      </c>
      <c r="X7" t="s">
        <v>1322</v>
      </c>
    </row>
    <row r="8" spans="1:24" ht="12.75">
      <c r="A8" s="1" t="str">
        <f>HYPERLINK("http://www.ofsted.gov.uk/inspection-reports/find-inspection-report/provider/ELS/50084","Ofsted FES Webpage")</f>
        <v>Ofsted FES Webpage</v>
      </c>
      <c r="B8" t="s">
        <v>30</v>
      </c>
      <c r="C8">
        <v>50084</v>
      </c>
      <c r="D8">
        <v>119513</v>
      </c>
      <c r="E8" t="s">
        <v>31</v>
      </c>
      <c r="F8" t="s">
        <v>26</v>
      </c>
      <c r="G8" t="s">
        <v>17</v>
      </c>
      <c r="H8" s="2">
        <v>41295</v>
      </c>
      <c r="I8" s="2">
        <v>41299</v>
      </c>
      <c r="J8" t="s">
        <v>32</v>
      </c>
      <c r="K8" s="2">
        <v>41323.13544884259</v>
      </c>
      <c r="L8" t="s">
        <v>29</v>
      </c>
      <c r="M8">
        <v>408488</v>
      </c>
      <c r="N8">
        <v>2</v>
      </c>
      <c r="O8">
        <v>2</v>
      </c>
      <c r="P8">
        <v>2</v>
      </c>
      <c r="Q8">
        <v>2</v>
      </c>
      <c r="R8">
        <v>6854</v>
      </c>
      <c r="S8" t="s">
        <v>2413</v>
      </c>
      <c r="T8" t="s">
        <v>521</v>
      </c>
      <c r="X8" t="s">
        <v>1324</v>
      </c>
    </row>
    <row r="9" spans="1:24" ht="12.75">
      <c r="A9" s="1" t="str">
        <f>HYPERLINK("http://www.ofsted.gov.uk/inspection-reports/find-inspection-report/provider/ELS/50092","Ofsted FES Webpage")</f>
        <v>Ofsted FES Webpage</v>
      </c>
      <c r="B9" t="s">
        <v>33</v>
      </c>
      <c r="C9">
        <v>50092</v>
      </c>
      <c r="D9">
        <v>108680</v>
      </c>
      <c r="E9" t="s">
        <v>34</v>
      </c>
      <c r="F9" t="s">
        <v>35</v>
      </c>
      <c r="G9" t="s">
        <v>17</v>
      </c>
      <c r="H9" s="2">
        <v>41190</v>
      </c>
      <c r="I9" s="2">
        <v>41194</v>
      </c>
      <c r="J9" t="s">
        <v>32</v>
      </c>
      <c r="K9" s="2">
        <v>41229.13550813658</v>
      </c>
      <c r="L9" t="s">
        <v>36</v>
      </c>
      <c r="M9">
        <v>399122</v>
      </c>
      <c r="N9">
        <v>2</v>
      </c>
      <c r="O9">
        <v>2</v>
      </c>
      <c r="P9">
        <v>2</v>
      </c>
      <c r="Q9">
        <v>2</v>
      </c>
      <c r="R9">
        <v>889</v>
      </c>
      <c r="T9" t="s">
        <v>2420</v>
      </c>
      <c r="W9" t="s">
        <v>2421</v>
      </c>
      <c r="X9" t="s">
        <v>1325</v>
      </c>
    </row>
    <row r="10" spans="1:24" ht="12.75">
      <c r="A10" s="1" t="str">
        <f>HYPERLINK("http://www.ofsted.gov.uk/inspection-reports/find-inspection-report/provider/ELS/50098","Ofsted FES Webpage")</f>
        <v>Ofsted FES Webpage</v>
      </c>
      <c r="B10" t="s">
        <v>37</v>
      </c>
      <c r="C10">
        <v>50098</v>
      </c>
      <c r="D10">
        <v>106945</v>
      </c>
      <c r="E10" t="s">
        <v>38</v>
      </c>
      <c r="F10" t="s">
        <v>39</v>
      </c>
      <c r="G10" t="s">
        <v>40</v>
      </c>
      <c r="H10" s="2">
        <v>40841</v>
      </c>
      <c r="I10" s="2">
        <v>40844</v>
      </c>
      <c r="J10" t="s">
        <v>23</v>
      </c>
      <c r="K10" s="2">
        <v>40879.13545188658</v>
      </c>
      <c r="L10" t="s">
        <v>29</v>
      </c>
      <c r="M10">
        <v>375545</v>
      </c>
      <c r="N10">
        <v>2</v>
      </c>
      <c r="O10">
        <v>2</v>
      </c>
      <c r="P10">
        <v>2</v>
      </c>
      <c r="Q10">
        <v>2</v>
      </c>
      <c r="R10">
        <v>569</v>
      </c>
      <c r="S10" t="s">
        <v>2422</v>
      </c>
      <c r="T10" t="s">
        <v>2423</v>
      </c>
      <c r="V10" t="s">
        <v>2424</v>
      </c>
      <c r="W10" t="s">
        <v>38</v>
      </c>
      <c r="X10" t="s">
        <v>1326</v>
      </c>
    </row>
    <row r="11" spans="1:24" ht="12.75">
      <c r="A11" s="1" t="str">
        <f>HYPERLINK("http://www.ofsted.gov.uk/inspection-reports/find-inspection-report/provider/ELS/50099","Ofsted FES Webpage")</f>
        <v>Ofsted FES Webpage</v>
      </c>
      <c r="B11" t="s">
        <v>41</v>
      </c>
      <c r="C11">
        <v>50099</v>
      </c>
      <c r="D11">
        <v>108149</v>
      </c>
      <c r="E11" t="s">
        <v>42</v>
      </c>
      <c r="F11" t="s">
        <v>43</v>
      </c>
      <c r="G11" t="s">
        <v>40</v>
      </c>
      <c r="H11" s="2">
        <v>39734</v>
      </c>
      <c r="I11" s="2">
        <v>39738</v>
      </c>
      <c r="J11" t="s">
        <v>44</v>
      </c>
      <c r="K11" s="2">
        <v>39777.13558255787</v>
      </c>
      <c r="L11" t="s">
        <v>45</v>
      </c>
      <c r="M11">
        <v>321725</v>
      </c>
      <c r="N11">
        <v>2</v>
      </c>
      <c r="O11">
        <v>2</v>
      </c>
      <c r="P11" t="s">
        <v>20</v>
      </c>
      <c r="Q11" t="s">
        <v>20</v>
      </c>
      <c r="R11">
        <v>9844</v>
      </c>
      <c r="S11" t="s">
        <v>2425</v>
      </c>
      <c r="T11" t="s">
        <v>2426</v>
      </c>
      <c r="W11" t="s">
        <v>2427</v>
      </c>
      <c r="X11" t="s">
        <v>1327</v>
      </c>
    </row>
    <row r="12" spans="1:24" ht="12.75">
      <c r="A12" s="1" t="str">
        <f>HYPERLINK("http://www.ofsted.gov.uk/inspection-reports/find-inspection-report/provider/ELS/50100","Ofsted FES Webpage")</f>
        <v>Ofsted FES Webpage</v>
      </c>
      <c r="B12" t="s">
        <v>46</v>
      </c>
      <c r="C12">
        <v>50100</v>
      </c>
      <c r="D12">
        <v>105769</v>
      </c>
      <c r="E12" t="s">
        <v>42</v>
      </c>
      <c r="F12" t="s">
        <v>43</v>
      </c>
      <c r="G12" t="s">
        <v>17</v>
      </c>
      <c r="H12" s="2">
        <v>41708</v>
      </c>
      <c r="I12" s="2">
        <v>41712</v>
      </c>
      <c r="J12" t="s">
        <v>27</v>
      </c>
      <c r="K12" s="2">
        <v>41754.135492824076</v>
      </c>
      <c r="L12" t="s">
        <v>29</v>
      </c>
      <c r="M12">
        <v>429125</v>
      </c>
      <c r="N12">
        <v>3</v>
      </c>
      <c r="O12">
        <v>3</v>
      </c>
      <c r="P12">
        <v>3</v>
      </c>
      <c r="Q12">
        <v>3</v>
      </c>
      <c r="R12">
        <v>1132</v>
      </c>
      <c r="S12" t="s">
        <v>2428</v>
      </c>
      <c r="T12" t="s">
        <v>2429</v>
      </c>
      <c r="U12" t="s">
        <v>2430</v>
      </c>
      <c r="W12" t="s">
        <v>539</v>
      </c>
      <c r="X12" t="s">
        <v>1328</v>
      </c>
    </row>
    <row r="13" spans="1:24" ht="12.75">
      <c r="A13" s="1" t="str">
        <f>HYPERLINK("http://www.ofsted.gov.uk/inspection-reports/find-inspection-report/provider/ELS/50103","Ofsted FES Webpage")</f>
        <v>Ofsted FES Webpage</v>
      </c>
      <c r="B13" t="s">
        <v>47</v>
      </c>
      <c r="C13">
        <v>50103</v>
      </c>
      <c r="D13">
        <v>116968</v>
      </c>
      <c r="E13" t="s">
        <v>48</v>
      </c>
      <c r="F13" t="s">
        <v>49</v>
      </c>
      <c r="G13" t="s">
        <v>17</v>
      </c>
      <c r="H13" s="2">
        <v>41183</v>
      </c>
      <c r="I13" s="2">
        <v>41187</v>
      </c>
      <c r="J13" t="s">
        <v>32</v>
      </c>
      <c r="K13" s="2">
        <v>41222.13551292824</v>
      </c>
      <c r="L13" t="s">
        <v>29</v>
      </c>
      <c r="M13">
        <v>399073</v>
      </c>
      <c r="N13">
        <v>2</v>
      </c>
      <c r="O13">
        <v>2</v>
      </c>
      <c r="P13">
        <v>3</v>
      </c>
      <c r="Q13">
        <v>3</v>
      </c>
      <c r="R13">
        <v>701</v>
      </c>
      <c r="S13" t="s">
        <v>2431</v>
      </c>
      <c r="T13" t="s">
        <v>2432</v>
      </c>
      <c r="U13" t="s">
        <v>2433</v>
      </c>
      <c r="W13" t="s">
        <v>2434</v>
      </c>
      <c r="X13" t="s">
        <v>1329</v>
      </c>
    </row>
    <row r="14" spans="1:24" ht="12.75">
      <c r="A14" s="1" t="str">
        <f>HYPERLINK("http://www.ofsted.gov.uk/inspection-reports/find-inspection-report/provider/ELS/50110","Ofsted FES Webpage")</f>
        <v>Ofsted FES Webpage</v>
      </c>
      <c r="B14" t="s">
        <v>50</v>
      </c>
      <c r="C14">
        <v>50110</v>
      </c>
      <c r="D14">
        <v>107947</v>
      </c>
      <c r="E14" t="s">
        <v>51</v>
      </c>
      <c r="F14" t="s">
        <v>16</v>
      </c>
      <c r="G14" t="s">
        <v>17</v>
      </c>
      <c r="H14" s="2">
        <v>40812</v>
      </c>
      <c r="I14" s="2">
        <v>40816</v>
      </c>
      <c r="J14" t="s">
        <v>23</v>
      </c>
      <c r="K14" s="2">
        <v>40851.135883414354</v>
      </c>
      <c r="L14" t="s">
        <v>29</v>
      </c>
      <c r="M14">
        <v>385647</v>
      </c>
      <c r="N14">
        <v>2</v>
      </c>
      <c r="O14">
        <v>2</v>
      </c>
      <c r="P14">
        <v>2</v>
      </c>
      <c r="Q14">
        <v>2</v>
      </c>
      <c r="R14">
        <v>4495</v>
      </c>
      <c r="S14" t="s">
        <v>2436</v>
      </c>
      <c r="T14" t="s">
        <v>2437</v>
      </c>
      <c r="W14" t="s">
        <v>15</v>
      </c>
      <c r="X14" t="s">
        <v>1331</v>
      </c>
    </row>
    <row r="15" spans="1:24" ht="12.75">
      <c r="A15" s="1" t="str">
        <f>HYPERLINK("http://www.ofsted.gov.uk/inspection-reports/find-inspection-report/provider/ELS/50112","Ofsted FES Webpage")</f>
        <v>Ofsted FES Webpage</v>
      </c>
      <c r="B15" t="s">
        <v>52</v>
      </c>
      <c r="C15">
        <v>50112</v>
      </c>
      <c r="D15">
        <v>108109</v>
      </c>
      <c r="E15" t="s">
        <v>53</v>
      </c>
      <c r="F15" t="s">
        <v>43</v>
      </c>
      <c r="G15" t="s">
        <v>17</v>
      </c>
      <c r="H15" s="2">
        <v>41815</v>
      </c>
      <c r="I15" s="2">
        <v>41817</v>
      </c>
      <c r="J15" t="s">
        <v>27</v>
      </c>
      <c r="K15" s="2">
        <v>41852.135452395836</v>
      </c>
      <c r="L15" t="s">
        <v>54</v>
      </c>
      <c r="M15">
        <v>429296</v>
      </c>
      <c r="N15">
        <v>2</v>
      </c>
      <c r="O15">
        <v>2</v>
      </c>
      <c r="P15">
        <v>3</v>
      </c>
      <c r="Q15">
        <v>3</v>
      </c>
      <c r="R15">
        <v>99</v>
      </c>
      <c r="T15" t="s">
        <v>2438</v>
      </c>
      <c r="W15" t="s">
        <v>2439</v>
      </c>
      <c r="X15" t="s">
        <v>1332</v>
      </c>
    </row>
    <row r="16" spans="1:24" ht="12.75">
      <c r="A16" s="1" t="str">
        <f>HYPERLINK("http://www.ofsted.gov.uk/inspection-reports/find-inspection-report/provider/ELS/50116","Ofsted FES Webpage")</f>
        <v>Ofsted FES Webpage</v>
      </c>
      <c r="B16" t="s">
        <v>55</v>
      </c>
      <c r="C16">
        <v>50116</v>
      </c>
      <c r="D16">
        <v>116831</v>
      </c>
      <c r="E16" t="s">
        <v>22</v>
      </c>
      <c r="F16" t="s">
        <v>16</v>
      </c>
      <c r="G16" t="s">
        <v>17</v>
      </c>
      <c r="H16" s="8">
        <v>41869</v>
      </c>
      <c r="I16" s="9">
        <v>41873</v>
      </c>
      <c r="J16" s="8" t="s">
        <v>27</v>
      </c>
      <c r="K16" s="9">
        <v>41908.13549494213</v>
      </c>
      <c r="L16" s="10" t="s">
        <v>29</v>
      </c>
      <c r="M16" s="10">
        <v>434044</v>
      </c>
      <c r="N16">
        <v>2</v>
      </c>
      <c r="O16">
        <v>2</v>
      </c>
      <c r="P16">
        <v>2</v>
      </c>
      <c r="Q16">
        <v>2</v>
      </c>
      <c r="R16">
        <v>736</v>
      </c>
      <c r="S16" t="s">
        <v>2441</v>
      </c>
      <c r="T16" t="s">
        <v>2442</v>
      </c>
      <c r="W16" t="s">
        <v>2443</v>
      </c>
      <c r="X16" t="s">
        <v>1333</v>
      </c>
    </row>
    <row r="17" spans="1:24" ht="12.75">
      <c r="A17" s="1" t="str">
        <f>HYPERLINK("http://www.ofsted.gov.uk/inspection-reports/find-inspection-report/provider/ELS/50120","Ofsted FES Webpage")</f>
        <v>Ofsted FES Webpage</v>
      </c>
      <c r="B17" t="s">
        <v>57</v>
      </c>
      <c r="C17">
        <v>50120</v>
      </c>
      <c r="D17">
        <v>114813</v>
      </c>
      <c r="E17" t="s">
        <v>53</v>
      </c>
      <c r="F17" t="s">
        <v>43</v>
      </c>
      <c r="G17" t="s">
        <v>40</v>
      </c>
      <c r="H17" s="2">
        <v>40336</v>
      </c>
      <c r="I17" s="2">
        <v>40340</v>
      </c>
      <c r="J17" t="s">
        <v>18</v>
      </c>
      <c r="K17" s="2">
        <v>40375.13554047453</v>
      </c>
      <c r="L17" t="s">
        <v>45</v>
      </c>
      <c r="M17">
        <v>345782</v>
      </c>
      <c r="N17">
        <v>2</v>
      </c>
      <c r="O17">
        <v>2</v>
      </c>
      <c r="P17">
        <v>2</v>
      </c>
      <c r="Q17">
        <v>2</v>
      </c>
      <c r="R17">
        <v>764</v>
      </c>
      <c r="S17" t="s">
        <v>2425</v>
      </c>
      <c r="T17" t="s">
        <v>2445</v>
      </c>
      <c r="U17" t="s">
        <v>2446</v>
      </c>
      <c r="X17" t="s">
        <v>1334</v>
      </c>
    </row>
    <row r="18" spans="1:24" ht="12.75">
      <c r="A18" s="1" t="str">
        <f>HYPERLINK("http://www.ofsted.gov.uk/inspection-reports/find-inspection-report/provider/ELS/50124","Ofsted FES Webpage")</f>
        <v>Ofsted FES Webpage</v>
      </c>
      <c r="B18" t="s">
        <v>58</v>
      </c>
      <c r="C18">
        <v>50124</v>
      </c>
      <c r="D18">
        <v>117618</v>
      </c>
      <c r="E18" t="s">
        <v>59</v>
      </c>
      <c r="F18" t="s">
        <v>43</v>
      </c>
      <c r="G18" t="s">
        <v>40</v>
      </c>
      <c r="H18" s="2">
        <v>41828</v>
      </c>
      <c r="I18" s="2">
        <v>41831</v>
      </c>
      <c r="J18" t="s">
        <v>27</v>
      </c>
      <c r="K18" s="2">
        <v>41866.13547210648</v>
      </c>
      <c r="L18" t="s">
        <v>60</v>
      </c>
      <c r="M18">
        <v>429294</v>
      </c>
      <c r="N18">
        <v>2</v>
      </c>
      <c r="O18">
        <v>2</v>
      </c>
      <c r="P18">
        <v>3</v>
      </c>
      <c r="Q18">
        <v>3</v>
      </c>
      <c r="R18">
        <v>199</v>
      </c>
      <c r="S18" t="s">
        <v>2449</v>
      </c>
      <c r="T18" t="s">
        <v>2450</v>
      </c>
      <c r="U18" t="s">
        <v>2451</v>
      </c>
      <c r="V18" t="s">
        <v>59</v>
      </c>
      <c r="X18" t="s">
        <v>1336</v>
      </c>
    </row>
    <row r="19" spans="1:24" ht="12.75">
      <c r="A19" s="1" t="str">
        <f>HYPERLINK("http://www.ofsted.gov.uk/inspection-reports/find-inspection-report/provider/ELS/50126","Ofsted FES Webpage")</f>
        <v>Ofsted FES Webpage</v>
      </c>
      <c r="B19" t="s">
        <v>61</v>
      </c>
      <c r="C19">
        <v>50126</v>
      </c>
      <c r="D19">
        <v>118845</v>
      </c>
      <c r="E19" t="s">
        <v>62</v>
      </c>
      <c r="F19" t="s">
        <v>63</v>
      </c>
      <c r="G19" t="s">
        <v>17</v>
      </c>
      <c r="H19" s="2">
        <v>40812</v>
      </c>
      <c r="I19" s="2">
        <v>40816</v>
      </c>
      <c r="J19" t="s">
        <v>23</v>
      </c>
      <c r="K19" s="2">
        <v>40851.13558086805</v>
      </c>
      <c r="L19" t="s">
        <v>19</v>
      </c>
      <c r="M19">
        <v>376243</v>
      </c>
      <c r="N19">
        <v>2</v>
      </c>
      <c r="O19">
        <v>2</v>
      </c>
      <c r="P19">
        <v>3</v>
      </c>
      <c r="Q19">
        <v>3</v>
      </c>
      <c r="R19">
        <v>1202</v>
      </c>
      <c r="S19" t="s">
        <v>2452</v>
      </c>
      <c r="T19" t="s">
        <v>2453</v>
      </c>
      <c r="U19" t="s">
        <v>2454</v>
      </c>
      <c r="V19" t="s">
        <v>2455</v>
      </c>
      <c r="W19" t="s">
        <v>62</v>
      </c>
      <c r="X19" t="s">
        <v>1337</v>
      </c>
    </row>
    <row r="20" spans="1:24" ht="12.75">
      <c r="A20" s="1" t="str">
        <f>HYPERLINK("http://www.ofsted.gov.uk/inspection-reports/find-inspection-report/provider/ELS/50128","Ofsted FES Webpage")</f>
        <v>Ofsted FES Webpage</v>
      </c>
      <c r="B20" t="s">
        <v>64</v>
      </c>
      <c r="C20">
        <v>50128</v>
      </c>
      <c r="D20">
        <v>105505</v>
      </c>
      <c r="E20" t="s">
        <v>65</v>
      </c>
      <c r="F20" t="s">
        <v>63</v>
      </c>
      <c r="G20" t="s">
        <v>40</v>
      </c>
      <c r="H20" s="2">
        <v>41666</v>
      </c>
      <c r="I20" s="2">
        <v>41670</v>
      </c>
      <c r="J20" t="s">
        <v>27</v>
      </c>
      <c r="K20" s="2">
        <v>41705.135499571756</v>
      </c>
      <c r="L20" t="s">
        <v>45</v>
      </c>
      <c r="M20">
        <v>429144</v>
      </c>
      <c r="N20">
        <v>2</v>
      </c>
      <c r="O20">
        <v>2</v>
      </c>
      <c r="P20">
        <v>3</v>
      </c>
      <c r="Q20">
        <v>3</v>
      </c>
      <c r="R20">
        <v>6806</v>
      </c>
      <c r="S20" t="s">
        <v>2456</v>
      </c>
      <c r="T20" t="s">
        <v>2457</v>
      </c>
      <c r="W20" t="s">
        <v>2458</v>
      </c>
      <c r="X20" t="s">
        <v>1338</v>
      </c>
    </row>
    <row r="21" spans="1:24" ht="12.75">
      <c r="A21" s="1" t="str">
        <f>HYPERLINK("http://www.ofsted.gov.uk/inspection-reports/find-inspection-report/provider/ELS/50132","Ofsted FES Webpage")</f>
        <v>Ofsted FES Webpage</v>
      </c>
      <c r="B21" t="s">
        <v>66</v>
      </c>
      <c r="C21">
        <v>50132</v>
      </c>
      <c r="D21">
        <v>106898</v>
      </c>
      <c r="E21" t="s">
        <v>67</v>
      </c>
      <c r="F21" t="s">
        <v>68</v>
      </c>
      <c r="G21" t="s">
        <v>17</v>
      </c>
      <c r="H21" s="2">
        <v>41568</v>
      </c>
      <c r="I21" s="2">
        <v>41572</v>
      </c>
      <c r="J21" t="s">
        <v>27</v>
      </c>
      <c r="K21" s="2">
        <v>41607.13550902778</v>
      </c>
      <c r="L21" t="s">
        <v>36</v>
      </c>
      <c r="M21">
        <v>424335</v>
      </c>
      <c r="N21">
        <v>3</v>
      </c>
      <c r="O21">
        <v>4</v>
      </c>
      <c r="P21">
        <v>2</v>
      </c>
      <c r="Q21">
        <v>2</v>
      </c>
      <c r="R21">
        <v>378</v>
      </c>
      <c r="T21" t="s">
        <v>2461</v>
      </c>
      <c r="W21" t="s">
        <v>67</v>
      </c>
      <c r="X21" t="s">
        <v>1339</v>
      </c>
    </row>
    <row r="22" spans="1:24" ht="12.75">
      <c r="A22" s="1" t="str">
        <f>HYPERLINK("http://www.ofsted.gov.uk/inspection-reports/find-inspection-report/provider/ELS/50133","Ofsted FES Webpage")</f>
        <v>Ofsted FES Webpage</v>
      </c>
      <c r="B22" t="s">
        <v>69</v>
      </c>
      <c r="C22">
        <v>50133</v>
      </c>
      <c r="D22">
        <v>110147</v>
      </c>
      <c r="E22" t="s">
        <v>70</v>
      </c>
      <c r="F22" t="s">
        <v>39</v>
      </c>
      <c r="G22" t="s">
        <v>40</v>
      </c>
      <c r="H22" s="2">
        <v>41057</v>
      </c>
      <c r="I22" s="2">
        <v>41061</v>
      </c>
      <c r="J22" t="s">
        <v>23</v>
      </c>
      <c r="K22" s="2">
        <v>41100.13553761574</v>
      </c>
      <c r="L22" t="s">
        <v>45</v>
      </c>
      <c r="M22">
        <v>387973</v>
      </c>
      <c r="N22">
        <v>2</v>
      </c>
      <c r="O22">
        <v>2</v>
      </c>
      <c r="P22">
        <v>3</v>
      </c>
      <c r="Q22">
        <v>3</v>
      </c>
      <c r="R22">
        <v>14502</v>
      </c>
      <c r="S22" t="s">
        <v>2462</v>
      </c>
      <c r="T22" t="s">
        <v>2463</v>
      </c>
      <c r="U22" t="s">
        <v>2425</v>
      </c>
      <c r="V22" t="s">
        <v>2464</v>
      </c>
      <c r="W22" t="s">
        <v>2465</v>
      </c>
      <c r="X22" t="s">
        <v>1340</v>
      </c>
    </row>
    <row r="23" spans="1:24" ht="12.75">
      <c r="A23" s="1" t="str">
        <f>HYPERLINK("http://www.ofsted.gov.uk/inspection-reports/find-inspection-report/provider/ELS/50138","Ofsted FES Webpage")</f>
        <v>Ofsted FES Webpage</v>
      </c>
      <c r="B23" t="s">
        <v>71</v>
      </c>
      <c r="C23">
        <v>50138</v>
      </c>
      <c r="D23">
        <v>106992</v>
      </c>
      <c r="E23" t="s">
        <v>25</v>
      </c>
      <c r="F23" t="s">
        <v>26</v>
      </c>
      <c r="G23" t="s">
        <v>17</v>
      </c>
      <c r="H23" s="2">
        <v>41407</v>
      </c>
      <c r="I23" s="2">
        <v>41411</v>
      </c>
      <c r="J23" t="s">
        <v>32</v>
      </c>
      <c r="K23" s="2">
        <v>41446.135478854165</v>
      </c>
      <c r="L23" t="s">
        <v>29</v>
      </c>
      <c r="M23">
        <v>408498</v>
      </c>
      <c r="N23">
        <v>2</v>
      </c>
      <c r="O23">
        <v>2</v>
      </c>
      <c r="P23">
        <v>2</v>
      </c>
      <c r="Q23">
        <v>1</v>
      </c>
      <c r="R23">
        <v>1669</v>
      </c>
      <c r="S23" t="s">
        <v>2470</v>
      </c>
      <c r="T23" t="s">
        <v>2471</v>
      </c>
      <c r="U23" t="s">
        <v>2472</v>
      </c>
      <c r="V23" t="s">
        <v>2473</v>
      </c>
      <c r="W23" t="s">
        <v>25</v>
      </c>
      <c r="X23" t="s">
        <v>1341</v>
      </c>
    </row>
    <row r="24" spans="1:24" ht="12.75">
      <c r="A24" s="1" t="str">
        <f>HYPERLINK("http://www.ofsted.gov.uk/inspection-reports/find-inspection-report/provider/ELS/50139","Ofsted FES Webpage")</f>
        <v>Ofsted FES Webpage</v>
      </c>
      <c r="B24" t="s">
        <v>72</v>
      </c>
      <c r="C24">
        <v>50139</v>
      </c>
      <c r="D24">
        <v>105086</v>
      </c>
      <c r="E24" t="s">
        <v>73</v>
      </c>
      <c r="F24" t="s">
        <v>49</v>
      </c>
      <c r="G24" t="s">
        <v>17</v>
      </c>
      <c r="H24" s="2">
        <v>41205</v>
      </c>
      <c r="I24" s="2">
        <v>41208</v>
      </c>
      <c r="J24" t="s">
        <v>32</v>
      </c>
      <c r="K24" s="2">
        <v>41243.13576172454</v>
      </c>
      <c r="L24" t="s">
        <v>36</v>
      </c>
      <c r="M24">
        <v>406788</v>
      </c>
      <c r="N24">
        <v>2</v>
      </c>
      <c r="O24">
        <v>2</v>
      </c>
      <c r="P24">
        <v>3</v>
      </c>
      <c r="Q24">
        <v>3</v>
      </c>
      <c r="R24">
        <v>244</v>
      </c>
      <c r="S24" t="s">
        <v>2474</v>
      </c>
      <c r="T24" t="s">
        <v>2475</v>
      </c>
      <c r="U24" t="s">
        <v>2476</v>
      </c>
      <c r="V24" t="s">
        <v>2477</v>
      </c>
      <c r="W24" t="s">
        <v>73</v>
      </c>
      <c r="X24" t="s">
        <v>1342</v>
      </c>
    </row>
    <row r="25" spans="1:24" ht="12.75">
      <c r="A25" s="1" t="str">
        <f>HYPERLINK("http://www.ofsted.gov.uk/inspection-reports/find-inspection-report/provider/ELS/50152","Ofsted FES Webpage")</f>
        <v>Ofsted FES Webpage</v>
      </c>
      <c r="B25" t="s">
        <v>74</v>
      </c>
      <c r="C25">
        <v>50152</v>
      </c>
      <c r="D25">
        <v>115072</v>
      </c>
      <c r="E25" t="s">
        <v>75</v>
      </c>
      <c r="F25" t="s">
        <v>63</v>
      </c>
      <c r="G25" t="s">
        <v>17</v>
      </c>
      <c r="H25" s="2">
        <v>41303</v>
      </c>
      <c r="I25" s="2">
        <v>41306</v>
      </c>
      <c r="J25" t="s">
        <v>32</v>
      </c>
      <c r="K25" s="2">
        <v>41341.135824074074</v>
      </c>
      <c r="L25" t="s">
        <v>36</v>
      </c>
      <c r="M25">
        <v>408532</v>
      </c>
      <c r="N25">
        <v>2</v>
      </c>
      <c r="O25">
        <v>2</v>
      </c>
      <c r="P25">
        <v>2</v>
      </c>
      <c r="Q25">
        <v>2</v>
      </c>
      <c r="R25">
        <v>320</v>
      </c>
      <c r="S25" t="s">
        <v>2482</v>
      </c>
      <c r="T25" t="s">
        <v>2483</v>
      </c>
      <c r="W25" t="s">
        <v>2484</v>
      </c>
      <c r="X25" t="s">
        <v>1343</v>
      </c>
    </row>
    <row r="26" spans="1:24" ht="12.75">
      <c r="A26" s="1" t="str">
        <f>HYPERLINK("http://www.ofsted.gov.uk/inspection-reports/find-inspection-report/provider/ELS/50162","Ofsted FES Webpage")</f>
        <v>Ofsted FES Webpage</v>
      </c>
      <c r="B26" t="s">
        <v>76</v>
      </c>
      <c r="C26">
        <v>50162</v>
      </c>
      <c r="D26">
        <v>110138</v>
      </c>
      <c r="E26" t="s">
        <v>77</v>
      </c>
      <c r="F26" t="s">
        <v>35</v>
      </c>
      <c r="G26" t="s">
        <v>40</v>
      </c>
      <c r="H26" s="2">
        <v>40322</v>
      </c>
      <c r="I26" s="2">
        <v>40326</v>
      </c>
      <c r="J26" t="s">
        <v>18</v>
      </c>
      <c r="K26" s="2">
        <v>40365.13551241898</v>
      </c>
      <c r="L26" t="s">
        <v>45</v>
      </c>
      <c r="M26">
        <v>345785</v>
      </c>
      <c r="N26">
        <v>2</v>
      </c>
      <c r="O26">
        <v>2</v>
      </c>
      <c r="P26">
        <v>3</v>
      </c>
      <c r="Q26">
        <v>3</v>
      </c>
      <c r="R26">
        <v>1899</v>
      </c>
      <c r="S26" t="s">
        <v>2488</v>
      </c>
      <c r="T26" t="s">
        <v>2489</v>
      </c>
      <c r="W26" t="s">
        <v>77</v>
      </c>
      <c r="X26" t="s">
        <v>1344</v>
      </c>
    </row>
    <row r="27" spans="1:24" ht="12.75">
      <c r="A27" s="1" t="str">
        <f>HYPERLINK("http://www.ofsted.gov.uk/inspection-reports/find-inspection-report/provider/ELS/50166","Ofsted FES Webpage")</f>
        <v>Ofsted FES Webpage</v>
      </c>
      <c r="B27" t="s">
        <v>78</v>
      </c>
      <c r="C27">
        <v>50166</v>
      </c>
      <c r="D27">
        <v>105884</v>
      </c>
      <c r="E27" t="s">
        <v>67</v>
      </c>
      <c r="F27" t="s">
        <v>68</v>
      </c>
      <c r="G27" t="s">
        <v>17</v>
      </c>
      <c r="H27" s="2">
        <v>40994</v>
      </c>
      <c r="I27" s="2">
        <v>40997</v>
      </c>
      <c r="J27" t="s">
        <v>23</v>
      </c>
      <c r="K27" s="2">
        <v>41032.13549394676</v>
      </c>
      <c r="L27" t="s">
        <v>19</v>
      </c>
      <c r="M27">
        <v>385756</v>
      </c>
      <c r="N27">
        <v>2</v>
      </c>
      <c r="O27">
        <v>2</v>
      </c>
      <c r="P27">
        <v>2</v>
      </c>
      <c r="Q27">
        <v>2</v>
      </c>
      <c r="R27">
        <v>560</v>
      </c>
      <c r="S27" t="s">
        <v>2492</v>
      </c>
      <c r="T27" t="s">
        <v>2493</v>
      </c>
      <c r="W27" t="s">
        <v>67</v>
      </c>
      <c r="X27" t="s">
        <v>1345</v>
      </c>
    </row>
    <row r="28" spans="1:24" ht="12.75">
      <c r="A28" s="1" t="str">
        <f>HYPERLINK("http://www.ofsted.gov.uk/inspection-reports/find-inspection-report/provider/ELS/50168","Ofsted FES Webpage")</f>
        <v>Ofsted FES Webpage</v>
      </c>
      <c r="B28" t="s">
        <v>79</v>
      </c>
      <c r="C28">
        <v>50168</v>
      </c>
      <c r="D28">
        <v>107072</v>
      </c>
      <c r="E28" t="s">
        <v>80</v>
      </c>
      <c r="F28" t="s">
        <v>26</v>
      </c>
      <c r="G28" t="s">
        <v>40</v>
      </c>
      <c r="H28" s="2">
        <v>40574</v>
      </c>
      <c r="I28" s="2">
        <v>40578</v>
      </c>
      <c r="J28" t="s">
        <v>56</v>
      </c>
      <c r="K28" s="2">
        <v>40613.135501585646</v>
      </c>
      <c r="L28" t="s">
        <v>45</v>
      </c>
      <c r="M28">
        <v>363134</v>
      </c>
      <c r="N28">
        <v>2</v>
      </c>
      <c r="O28">
        <v>2</v>
      </c>
      <c r="P28">
        <v>2</v>
      </c>
      <c r="Q28">
        <v>2</v>
      </c>
      <c r="R28">
        <v>4380</v>
      </c>
      <c r="S28" t="s">
        <v>2496</v>
      </c>
      <c r="T28" t="s">
        <v>80</v>
      </c>
      <c r="X28" t="s">
        <v>1346</v>
      </c>
    </row>
    <row r="29" spans="1:24" ht="12.75">
      <c r="A29" s="1" t="str">
        <f>HYPERLINK("http://www.ofsted.gov.uk/inspection-reports/find-inspection-report/provider/ELS/50169","Ofsted FES Webpage")</f>
        <v>Ofsted FES Webpage</v>
      </c>
      <c r="B29" t="s">
        <v>81</v>
      </c>
      <c r="C29">
        <v>50169</v>
      </c>
      <c r="D29">
        <v>108148</v>
      </c>
      <c r="E29" t="s">
        <v>82</v>
      </c>
      <c r="F29" t="s">
        <v>43</v>
      </c>
      <c r="G29" t="s">
        <v>40</v>
      </c>
      <c r="H29" s="2">
        <v>41226</v>
      </c>
      <c r="I29" s="2">
        <v>41229</v>
      </c>
      <c r="J29" t="s">
        <v>32</v>
      </c>
      <c r="K29" s="2">
        <v>41264.1355090625</v>
      </c>
      <c r="L29" t="s">
        <v>83</v>
      </c>
      <c r="M29">
        <v>399143</v>
      </c>
      <c r="N29">
        <v>2</v>
      </c>
      <c r="O29">
        <v>2</v>
      </c>
      <c r="P29">
        <v>3</v>
      </c>
      <c r="Q29">
        <v>3</v>
      </c>
      <c r="R29">
        <v>3689</v>
      </c>
      <c r="S29" t="s">
        <v>2497</v>
      </c>
      <c r="T29" t="s">
        <v>2498</v>
      </c>
      <c r="U29" t="s">
        <v>2499</v>
      </c>
      <c r="V29" t="s">
        <v>82</v>
      </c>
      <c r="X29" t="s">
        <v>1347</v>
      </c>
    </row>
    <row r="30" spans="1:24" ht="12.75">
      <c r="A30" s="1" t="str">
        <f>HYPERLINK("http://www.ofsted.gov.uk/inspection-reports/find-inspection-report/provider/ELS/50170","Ofsted FES Webpage")</f>
        <v>Ofsted FES Webpage</v>
      </c>
      <c r="B30" t="s">
        <v>84</v>
      </c>
      <c r="C30">
        <v>50170</v>
      </c>
      <c r="D30">
        <v>105008</v>
      </c>
      <c r="E30" t="s">
        <v>85</v>
      </c>
      <c r="F30" t="s">
        <v>35</v>
      </c>
      <c r="G30" t="s">
        <v>40</v>
      </c>
      <c r="H30" s="2">
        <v>41757</v>
      </c>
      <c r="I30" s="2">
        <v>41761</v>
      </c>
      <c r="J30" t="s">
        <v>27</v>
      </c>
      <c r="K30" s="2">
        <v>41800.13544730324</v>
      </c>
      <c r="L30" t="s">
        <v>28</v>
      </c>
      <c r="M30">
        <v>422202</v>
      </c>
      <c r="N30">
        <v>2</v>
      </c>
      <c r="O30">
        <v>2</v>
      </c>
      <c r="P30">
        <v>4</v>
      </c>
      <c r="Q30">
        <v>4</v>
      </c>
      <c r="R30">
        <v>2757</v>
      </c>
      <c r="S30" t="s">
        <v>2500</v>
      </c>
      <c r="T30" t="s">
        <v>2501</v>
      </c>
      <c r="U30" t="s">
        <v>35</v>
      </c>
      <c r="X30" t="s">
        <v>1348</v>
      </c>
    </row>
    <row r="31" spans="1:24" ht="12.75">
      <c r="A31" s="1" t="str">
        <f>HYPERLINK("http://www.ofsted.gov.uk/inspection-reports/find-inspection-report/provider/ELS/50174","Ofsted FES Webpage")</f>
        <v>Ofsted FES Webpage</v>
      </c>
      <c r="B31" t="s">
        <v>86</v>
      </c>
      <c r="C31">
        <v>50174</v>
      </c>
      <c r="D31">
        <v>107074</v>
      </c>
      <c r="E31" t="s">
        <v>87</v>
      </c>
      <c r="F31" t="s">
        <v>26</v>
      </c>
      <c r="G31" t="s">
        <v>40</v>
      </c>
      <c r="H31" s="2">
        <v>41379</v>
      </c>
      <c r="I31" s="2">
        <v>41383</v>
      </c>
      <c r="J31" t="s">
        <v>32</v>
      </c>
      <c r="K31" s="2">
        <v>41417.13568614583</v>
      </c>
      <c r="L31" t="s">
        <v>29</v>
      </c>
      <c r="M31">
        <v>408505</v>
      </c>
      <c r="N31">
        <v>2</v>
      </c>
      <c r="O31">
        <v>2</v>
      </c>
      <c r="P31">
        <v>2</v>
      </c>
      <c r="Q31">
        <v>2</v>
      </c>
      <c r="R31">
        <v>1237</v>
      </c>
      <c r="T31" t="s">
        <v>2505</v>
      </c>
      <c r="U31" t="s">
        <v>2506</v>
      </c>
      <c r="W31" t="s">
        <v>2507</v>
      </c>
      <c r="X31" t="s">
        <v>1349</v>
      </c>
    </row>
    <row r="32" spans="1:24" ht="12.75">
      <c r="A32" s="1" t="str">
        <f>HYPERLINK("http://www.ofsted.gov.uk/inspection-reports/find-inspection-report/provider/ELS/50178","Ofsted FES Webpage")</f>
        <v>Ofsted FES Webpage</v>
      </c>
      <c r="B32" t="s">
        <v>88</v>
      </c>
      <c r="C32">
        <v>50178</v>
      </c>
      <c r="D32">
        <v>110164</v>
      </c>
      <c r="E32" t="s">
        <v>89</v>
      </c>
      <c r="F32" t="s">
        <v>16</v>
      </c>
      <c r="G32" t="s">
        <v>40</v>
      </c>
      <c r="H32" s="2">
        <v>40336</v>
      </c>
      <c r="I32" s="2">
        <v>40340</v>
      </c>
      <c r="J32" t="s">
        <v>18</v>
      </c>
      <c r="K32" s="2">
        <v>40375.135540625</v>
      </c>
      <c r="L32" t="s">
        <v>45</v>
      </c>
      <c r="M32">
        <v>345775</v>
      </c>
      <c r="N32">
        <v>2</v>
      </c>
      <c r="O32">
        <v>2</v>
      </c>
      <c r="P32">
        <v>3</v>
      </c>
      <c r="Q32">
        <v>3</v>
      </c>
      <c r="R32">
        <v>7777</v>
      </c>
      <c r="S32" t="s">
        <v>2509</v>
      </c>
      <c r="T32" t="s">
        <v>2510</v>
      </c>
      <c r="W32" t="s">
        <v>2511</v>
      </c>
      <c r="X32" t="s">
        <v>1350</v>
      </c>
    </row>
    <row r="33" spans="1:24" ht="12.75">
      <c r="A33" s="1" t="str">
        <f>HYPERLINK("http://www.ofsted.gov.uk/inspection-reports/find-inspection-report/provider/ELS/50182","Ofsted FES Webpage")</f>
        <v>Ofsted FES Webpage</v>
      </c>
      <c r="B33" t="s">
        <v>90</v>
      </c>
      <c r="C33">
        <v>50182</v>
      </c>
      <c r="D33">
        <v>115409</v>
      </c>
      <c r="E33" t="s">
        <v>91</v>
      </c>
      <c r="F33" t="s">
        <v>43</v>
      </c>
      <c r="G33" t="s">
        <v>40</v>
      </c>
      <c r="H33" s="2">
        <v>40938</v>
      </c>
      <c r="I33" s="2">
        <v>40942</v>
      </c>
      <c r="J33" t="s">
        <v>23</v>
      </c>
      <c r="K33" s="2">
        <v>40977.13554837963</v>
      </c>
      <c r="L33" t="s">
        <v>83</v>
      </c>
      <c r="M33">
        <v>385055</v>
      </c>
      <c r="N33">
        <v>2</v>
      </c>
      <c r="O33">
        <v>2</v>
      </c>
      <c r="P33">
        <v>3</v>
      </c>
      <c r="Q33">
        <v>3</v>
      </c>
      <c r="R33">
        <v>8142</v>
      </c>
      <c r="S33" t="s">
        <v>2513</v>
      </c>
      <c r="T33" t="s">
        <v>2514</v>
      </c>
      <c r="W33" t="s">
        <v>2515</v>
      </c>
      <c r="X33" t="s">
        <v>1352</v>
      </c>
    </row>
    <row r="34" spans="1:24" ht="12.75">
      <c r="A34" s="1" t="str">
        <f>HYPERLINK("http://www.ofsted.gov.uk/inspection-reports/find-inspection-report/provider/ELS/50192","Ofsted FES Webpage")</f>
        <v>Ofsted FES Webpage</v>
      </c>
      <c r="B34" t="s">
        <v>92</v>
      </c>
      <c r="C34">
        <v>50192</v>
      </c>
      <c r="D34">
        <v>118102</v>
      </c>
      <c r="E34" t="s">
        <v>93</v>
      </c>
      <c r="F34" t="s">
        <v>49</v>
      </c>
      <c r="G34" t="s">
        <v>17</v>
      </c>
      <c r="H34" s="2">
        <v>41449</v>
      </c>
      <c r="I34" s="2">
        <v>41453</v>
      </c>
      <c r="J34" t="s">
        <v>32</v>
      </c>
      <c r="K34" s="2">
        <v>41488.135473229166</v>
      </c>
      <c r="L34" t="s">
        <v>29</v>
      </c>
      <c r="M34">
        <v>410652</v>
      </c>
      <c r="N34">
        <v>3</v>
      </c>
      <c r="O34">
        <v>3</v>
      </c>
      <c r="P34">
        <v>3</v>
      </c>
      <c r="Q34">
        <v>3</v>
      </c>
      <c r="R34">
        <v>637</v>
      </c>
      <c r="S34" t="s">
        <v>2518</v>
      </c>
      <c r="T34" t="s">
        <v>2519</v>
      </c>
      <c r="W34" t="s">
        <v>2520</v>
      </c>
      <c r="X34" t="s">
        <v>1354</v>
      </c>
    </row>
    <row r="35" spans="1:24" ht="12.75">
      <c r="A35" s="1" t="str">
        <f>HYPERLINK("http://www.ofsted.gov.uk/inspection-reports/find-inspection-report/provider/ELS/50193","Ofsted FES Webpage")</f>
        <v>Ofsted FES Webpage</v>
      </c>
      <c r="B35" t="s">
        <v>94</v>
      </c>
      <c r="C35">
        <v>50193</v>
      </c>
      <c r="D35">
        <v>105498</v>
      </c>
      <c r="E35" t="s">
        <v>95</v>
      </c>
      <c r="F35" t="s">
        <v>39</v>
      </c>
      <c r="G35" t="s">
        <v>17</v>
      </c>
      <c r="H35" s="2">
        <v>41673</v>
      </c>
      <c r="I35" s="2">
        <v>41677</v>
      </c>
      <c r="J35" t="s">
        <v>27</v>
      </c>
      <c r="K35" s="2">
        <v>41709.135483680555</v>
      </c>
      <c r="L35" t="s">
        <v>29</v>
      </c>
      <c r="M35">
        <v>429135</v>
      </c>
      <c r="N35">
        <v>2</v>
      </c>
      <c r="O35">
        <v>2</v>
      </c>
      <c r="P35">
        <v>3</v>
      </c>
      <c r="Q35">
        <v>2</v>
      </c>
      <c r="R35">
        <v>3119</v>
      </c>
      <c r="T35" t="s">
        <v>2521</v>
      </c>
      <c r="W35" t="s">
        <v>2522</v>
      </c>
      <c r="X35" t="s">
        <v>1355</v>
      </c>
    </row>
    <row r="36" spans="1:24" ht="12.75">
      <c r="A36" s="1" t="str">
        <f>HYPERLINK("http://www.ofsted.gov.uk/inspection-reports/find-inspection-report/provider/ELS/50199","Ofsted FES Webpage")</f>
        <v>Ofsted FES Webpage</v>
      </c>
      <c r="B36" t="s">
        <v>96</v>
      </c>
      <c r="C36">
        <v>50199</v>
      </c>
      <c r="D36">
        <v>106195</v>
      </c>
      <c r="E36" t="s">
        <v>97</v>
      </c>
      <c r="F36" t="s">
        <v>26</v>
      </c>
      <c r="G36" t="s">
        <v>40</v>
      </c>
      <c r="H36" s="2">
        <v>40959</v>
      </c>
      <c r="I36" s="2">
        <v>40963</v>
      </c>
      <c r="J36" t="s">
        <v>23</v>
      </c>
      <c r="K36" s="2">
        <v>40998.13582202546</v>
      </c>
      <c r="L36" t="s">
        <v>19</v>
      </c>
      <c r="M36">
        <v>385748</v>
      </c>
      <c r="N36">
        <v>2</v>
      </c>
      <c r="O36">
        <v>2</v>
      </c>
      <c r="P36">
        <v>2</v>
      </c>
      <c r="Q36">
        <v>2</v>
      </c>
      <c r="R36">
        <v>4170</v>
      </c>
      <c r="S36" t="s">
        <v>2526</v>
      </c>
      <c r="T36" t="s">
        <v>2527</v>
      </c>
      <c r="U36" t="s">
        <v>97</v>
      </c>
      <c r="X36" t="s">
        <v>1356</v>
      </c>
    </row>
    <row r="37" spans="1:24" ht="12.75">
      <c r="A37" s="1" t="str">
        <f>HYPERLINK("http://www.ofsted.gov.uk/inspection-reports/find-inspection-report/provider/ELS/50200","Ofsted FES Webpage")</f>
        <v>Ofsted FES Webpage</v>
      </c>
      <c r="B37" t="s">
        <v>98</v>
      </c>
      <c r="C37">
        <v>50200</v>
      </c>
      <c r="D37">
        <v>121488</v>
      </c>
      <c r="E37" t="s">
        <v>99</v>
      </c>
      <c r="F37" t="s">
        <v>43</v>
      </c>
      <c r="G37" t="s">
        <v>17</v>
      </c>
      <c r="H37" s="2">
        <v>39239</v>
      </c>
      <c r="I37" s="2">
        <v>39241</v>
      </c>
      <c r="J37" t="s">
        <v>100</v>
      </c>
      <c r="K37" s="2">
        <v>39283.13553773148</v>
      </c>
      <c r="L37" t="s">
        <v>101</v>
      </c>
      <c r="M37">
        <v>301071</v>
      </c>
      <c r="N37">
        <v>3</v>
      </c>
      <c r="O37">
        <v>3</v>
      </c>
      <c r="P37">
        <v>4</v>
      </c>
      <c r="Q37">
        <v>4</v>
      </c>
      <c r="R37">
        <v>4</v>
      </c>
      <c r="S37" t="s">
        <v>2528</v>
      </c>
      <c r="T37" t="s">
        <v>2529</v>
      </c>
      <c r="U37" t="s">
        <v>2530</v>
      </c>
      <c r="X37" t="s">
        <v>1357</v>
      </c>
    </row>
    <row r="38" spans="1:24" ht="12.75">
      <c r="A38" s="1" t="str">
        <f>HYPERLINK("http://www.ofsted.gov.uk/inspection-reports/find-inspection-report/provider/ELS/50208","Ofsted FES Webpage")</f>
        <v>Ofsted FES Webpage</v>
      </c>
      <c r="B38" t="s">
        <v>103</v>
      </c>
      <c r="C38">
        <v>50208</v>
      </c>
      <c r="D38">
        <v>107962</v>
      </c>
      <c r="E38" t="s">
        <v>104</v>
      </c>
      <c r="F38" t="s">
        <v>43</v>
      </c>
      <c r="G38" t="s">
        <v>40</v>
      </c>
      <c r="H38" s="2">
        <v>40357</v>
      </c>
      <c r="I38" s="2">
        <v>40361</v>
      </c>
      <c r="J38" t="s">
        <v>18</v>
      </c>
      <c r="K38" s="2">
        <v>40396.13552792824</v>
      </c>
      <c r="L38" t="s">
        <v>45</v>
      </c>
      <c r="M38">
        <v>354471</v>
      </c>
      <c r="N38">
        <v>2</v>
      </c>
      <c r="O38">
        <v>2</v>
      </c>
      <c r="P38">
        <v>3</v>
      </c>
      <c r="Q38">
        <v>3</v>
      </c>
      <c r="R38">
        <v>12670</v>
      </c>
      <c r="S38" t="s">
        <v>2538</v>
      </c>
      <c r="T38" t="s">
        <v>2425</v>
      </c>
      <c r="U38" t="s">
        <v>2539</v>
      </c>
      <c r="W38" t="s">
        <v>2540</v>
      </c>
      <c r="X38" t="s">
        <v>1358</v>
      </c>
    </row>
    <row r="39" spans="1:24" ht="12.75">
      <c r="A39" s="1" t="str">
        <f>HYPERLINK("http://www.ofsted.gov.uk/inspection-reports/find-inspection-report/provider/ELS/50213","Ofsted FES Webpage")</f>
        <v>Ofsted FES Webpage</v>
      </c>
      <c r="B39" t="s">
        <v>105</v>
      </c>
      <c r="C39">
        <v>50213</v>
      </c>
      <c r="D39">
        <v>108141</v>
      </c>
      <c r="E39" t="s">
        <v>106</v>
      </c>
      <c r="F39" t="s">
        <v>49</v>
      </c>
      <c r="G39" t="s">
        <v>40</v>
      </c>
      <c r="H39" s="2">
        <v>41694</v>
      </c>
      <c r="I39" s="2">
        <v>41698</v>
      </c>
      <c r="J39" t="s">
        <v>27</v>
      </c>
      <c r="K39" s="2">
        <v>41732.13552241898</v>
      </c>
      <c r="L39" t="s">
        <v>45</v>
      </c>
      <c r="M39">
        <v>430076</v>
      </c>
      <c r="N39">
        <v>2</v>
      </c>
      <c r="O39">
        <v>2</v>
      </c>
      <c r="P39">
        <v>3</v>
      </c>
      <c r="Q39">
        <v>3</v>
      </c>
      <c r="R39">
        <v>16684</v>
      </c>
      <c r="S39" t="s">
        <v>2541</v>
      </c>
      <c r="T39" t="s">
        <v>2542</v>
      </c>
      <c r="U39" t="s">
        <v>2543</v>
      </c>
      <c r="V39" t="s">
        <v>2544</v>
      </c>
      <c r="W39" t="s">
        <v>106</v>
      </c>
      <c r="X39" t="s">
        <v>1359</v>
      </c>
    </row>
    <row r="40" spans="1:24" ht="12.75">
      <c r="A40" s="1" t="str">
        <f>HYPERLINK("http://www.ofsted.gov.uk/inspection-reports/find-inspection-report/provider/ELS/50215","Ofsted FES Webpage")</f>
        <v>Ofsted FES Webpage</v>
      </c>
      <c r="B40" t="s">
        <v>107</v>
      </c>
      <c r="C40">
        <v>50215</v>
      </c>
      <c r="D40">
        <v>107150</v>
      </c>
      <c r="E40" t="s">
        <v>31</v>
      </c>
      <c r="F40" t="s">
        <v>26</v>
      </c>
      <c r="G40" t="s">
        <v>40</v>
      </c>
      <c r="H40" s="2">
        <v>41674</v>
      </c>
      <c r="I40" s="2">
        <v>41677</v>
      </c>
      <c r="J40" t="s">
        <v>27</v>
      </c>
      <c r="K40" s="2">
        <v>41710.13547905093</v>
      </c>
      <c r="L40" t="s">
        <v>45</v>
      </c>
      <c r="M40">
        <v>429141</v>
      </c>
      <c r="N40">
        <v>2</v>
      </c>
      <c r="O40">
        <v>2</v>
      </c>
      <c r="P40">
        <v>3</v>
      </c>
      <c r="Q40">
        <v>3</v>
      </c>
      <c r="R40">
        <v>1133</v>
      </c>
      <c r="S40" t="s">
        <v>2545</v>
      </c>
      <c r="T40" t="s">
        <v>31</v>
      </c>
      <c r="U40" t="s">
        <v>2389</v>
      </c>
      <c r="X40" t="s">
        <v>1360</v>
      </c>
    </row>
    <row r="41" spans="1:24" ht="12.75">
      <c r="A41" s="1" t="str">
        <f>HYPERLINK("http://www.ofsted.gov.uk/inspection-reports/find-inspection-report/provider/ELS/50216","Ofsted FES Webpage")</f>
        <v>Ofsted FES Webpage</v>
      </c>
      <c r="B41" t="s">
        <v>108</v>
      </c>
      <c r="C41">
        <v>50216</v>
      </c>
      <c r="D41">
        <v>112617</v>
      </c>
      <c r="E41" t="s">
        <v>109</v>
      </c>
      <c r="F41" t="s">
        <v>16</v>
      </c>
      <c r="G41" t="s">
        <v>40</v>
      </c>
      <c r="H41" s="2">
        <v>40581</v>
      </c>
      <c r="I41" s="2">
        <v>40585</v>
      </c>
      <c r="J41" t="s">
        <v>56</v>
      </c>
      <c r="K41" s="2">
        <v>40620.135452002316</v>
      </c>
      <c r="L41" t="s">
        <v>45</v>
      </c>
      <c r="M41">
        <v>364617</v>
      </c>
      <c r="N41">
        <v>2</v>
      </c>
      <c r="O41">
        <v>2</v>
      </c>
      <c r="P41">
        <v>3</v>
      </c>
      <c r="Q41">
        <v>3</v>
      </c>
      <c r="R41">
        <v>4347</v>
      </c>
      <c r="S41" t="s">
        <v>2546</v>
      </c>
      <c r="T41" t="s">
        <v>2547</v>
      </c>
      <c r="U41" t="s">
        <v>2548</v>
      </c>
      <c r="V41" t="s">
        <v>109</v>
      </c>
      <c r="X41" t="s">
        <v>1361</v>
      </c>
    </row>
    <row r="42" spans="1:24" ht="12.75">
      <c r="A42" s="1" t="str">
        <f>HYPERLINK("http://www.ofsted.gov.uk/inspection-reports/find-inspection-report/provider/ELS/50217","Ofsted FES Webpage")</f>
        <v>Ofsted FES Webpage</v>
      </c>
      <c r="B42" t="s">
        <v>110</v>
      </c>
      <c r="C42">
        <v>50217</v>
      </c>
      <c r="D42">
        <v>112616</v>
      </c>
      <c r="E42" t="s">
        <v>22</v>
      </c>
      <c r="F42" t="s">
        <v>16</v>
      </c>
      <c r="G42" t="s">
        <v>40</v>
      </c>
      <c r="H42" s="2">
        <v>41050</v>
      </c>
      <c r="I42" s="2">
        <v>41054</v>
      </c>
      <c r="J42" t="s">
        <v>23</v>
      </c>
      <c r="K42" s="2">
        <v>41093.135534837966</v>
      </c>
      <c r="L42" t="s">
        <v>83</v>
      </c>
      <c r="M42">
        <v>387974</v>
      </c>
      <c r="N42">
        <v>2</v>
      </c>
      <c r="O42">
        <v>2</v>
      </c>
      <c r="P42">
        <v>2</v>
      </c>
      <c r="Q42">
        <v>2</v>
      </c>
      <c r="R42">
        <v>13446</v>
      </c>
      <c r="T42" t="s">
        <v>2462</v>
      </c>
      <c r="U42" t="s">
        <v>2549</v>
      </c>
      <c r="V42" t="s">
        <v>2550</v>
      </c>
      <c r="W42" t="s">
        <v>2551</v>
      </c>
      <c r="X42" t="s">
        <v>1362</v>
      </c>
    </row>
    <row r="43" spans="1:24" ht="12.75">
      <c r="A43" s="1" t="str">
        <f>HYPERLINK("http://www.ofsted.gov.uk/inspection-reports/find-inspection-report/provider/ELS/50218","Ofsted FES Webpage")</f>
        <v>Ofsted FES Webpage</v>
      </c>
      <c r="B43" t="s">
        <v>111</v>
      </c>
      <c r="C43">
        <v>50218</v>
      </c>
      <c r="D43">
        <v>111333</v>
      </c>
      <c r="E43" t="s">
        <v>112</v>
      </c>
      <c r="F43" t="s">
        <v>49</v>
      </c>
      <c r="G43" t="s">
        <v>40</v>
      </c>
      <c r="H43" s="2">
        <v>40973</v>
      </c>
      <c r="I43" s="2">
        <v>40977</v>
      </c>
      <c r="J43" t="s">
        <v>23</v>
      </c>
      <c r="K43" s="2">
        <v>41016.13569097222</v>
      </c>
      <c r="L43" t="s">
        <v>45</v>
      </c>
      <c r="M43">
        <v>385049</v>
      </c>
      <c r="N43">
        <v>2</v>
      </c>
      <c r="O43">
        <v>2</v>
      </c>
      <c r="P43">
        <v>3</v>
      </c>
      <c r="Q43">
        <v>3</v>
      </c>
      <c r="R43">
        <v>5301</v>
      </c>
      <c r="S43" t="s">
        <v>2552</v>
      </c>
      <c r="T43" t="s">
        <v>2553</v>
      </c>
      <c r="U43" t="s">
        <v>112</v>
      </c>
      <c r="X43" t="s">
        <v>1363</v>
      </c>
    </row>
    <row r="44" spans="1:24" ht="12.75">
      <c r="A44" s="1" t="str">
        <f>HYPERLINK("http://www.ofsted.gov.uk/inspection-reports/find-inspection-report/provider/ELS/50219","Ofsted FES Webpage")</f>
        <v>Ofsted FES Webpage</v>
      </c>
      <c r="B44" t="s">
        <v>113</v>
      </c>
      <c r="C44">
        <v>50219</v>
      </c>
      <c r="D44">
        <v>108668</v>
      </c>
      <c r="E44" t="s">
        <v>114</v>
      </c>
      <c r="F44" t="s">
        <v>26</v>
      </c>
      <c r="G44" t="s">
        <v>40</v>
      </c>
      <c r="H44" s="2">
        <v>41554</v>
      </c>
      <c r="I44" s="2">
        <v>41558</v>
      </c>
      <c r="J44" t="s">
        <v>27</v>
      </c>
      <c r="K44" s="2">
        <v>41593.13548417824</v>
      </c>
      <c r="L44" t="s">
        <v>45</v>
      </c>
      <c r="M44">
        <v>423431</v>
      </c>
      <c r="N44">
        <v>3</v>
      </c>
      <c r="O44">
        <v>3</v>
      </c>
      <c r="P44">
        <v>2</v>
      </c>
      <c r="Q44">
        <v>2</v>
      </c>
      <c r="R44">
        <v>5813</v>
      </c>
      <c r="S44" t="s">
        <v>2554</v>
      </c>
      <c r="T44" t="s">
        <v>2555</v>
      </c>
      <c r="U44" t="s">
        <v>2556</v>
      </c>
      <c r="V44" t="s">
        <v>2557</v>
      </c>
      <c r="W44" t="s">
        <v>114</v>
      </c>
      <c r="X44" t="s">
        <v>1364</v>
      </c>
    </row>
    <row r="45" spans="1:24" ht="12.75">
      <c r="A45" s="1" t="str">
        <f>HYPERLINK("http://www.ofsted.gov.uk/inspection-reports/find-inspection-report/provider/ELS/50221","Ofsted FES Webpage")</f>
        <v>Ofsted FES Webpage</v>
      </c>
      <c r="B45" t="s">
        <v>115</v>
      </c>
      <c r="C45">
        <v>50221</v>
      </c>
      <c r="D45">
        <v>110153</v>
      </c>
      <c r="E45" t="s">
        <v>116</v>
      </c>
      <c r="F45" t="s">
        <v>49</v>
      </c>
      <c r="G45" t="s">
        <v>40</v>
      </c>
      <c r="H45" s="2">
        <v>41071</v>
      </c>
      <c r="I45" s="2">
        <v>41075</v>
      </c>
      <c r="J45" t="s">
        <v>23</v>
      </c>
      <c r="K45" s="2">
        <v>41110.13573422454</v>
      </c>
      <c r="L45" t="s">
        <v>45</v>
      </c>
      <c r="M45">
        <v>399623</v>
      </c>
      <c r="N45">
        <v>2</v>
      </c>
      <c r="O45">
        <v>2</v>
      </c>
      <c r="P45">
        <v>2</v>
      </c>
      <c r="Q45">
        <v>2</v>
      </c>
      <c r="R45">
        <v>1194</v>
      </c>
      <c r="S45" t="s">
        <v>2558</v>
      </c>
      <c r="T45" t="s">
        <v>2480</v>
      </c>
      <c r="X45" t="s">
        <v>1365</v>
      </c>
    </row>
    <row r="46" spans="1:24" ht="12.75">
      <c r="A46" s="1" t="str">
        <f>HYPERLINK("http://www.ofsted.gov.uk/inspection-reports/find-inspection-report/provider/ELS/50227","Ofsted FES Webpage")</f>
        <v>Ofsted FES Webpage</v>
      </c>
      <c r="B46" t="s">
        <v>117</v>
      </c>
      <c r="C46">
        <v>50227</v>
      </c>
      <c r="D46">
        <v>115318</v>
      </c>
      <c r="E46" t="s">
        <v>118</v>
      </c>
      <c r="F46" t="s">
        <v>35</v>
      </c>
      <c r="G46" t="s">
        <v>40</v>
      </c>
      <c r="H46" s="2">
        <v>41562</v>
      </c>
      <c r="I46" s="2">
        <v>41565</v>
      </c>
      <c r="J46" t="s">
        <v>27</v>
      </c>
      <c r="K46" s="2">
        <v>41600.1354790162</v>
      </c>
      <c r="L46" t="s">
        <v>45</v>
      </c>
      <c r="M46">
        <v>423412</v>
      </c>
      <c r="N46">
        <v>2</v>
      </c>
      <c r="O46">
        <v>2</v>
      </c>
      <c r="P46">
        <v>2</v>
      </c>
      <c r="Q46">
        <v>2</v>
      </c>
      <c r="R46">
        <v>3640</v>
      </c>
      <c r="S46" t="s">
        <v>2559</v>
      </c>
      <c r="T46" t="s">
        <v>2490</v>
      </c>
      <c r="U46" t="s">
        <v>2560</v>
      </c>
      <c r="V46" t="s">
        <v>118</v>
      </c>
      <c r="X46" t="s">
        <v>1366</v>
      </c>
    </row>
    <row r="47" spans="1:24" ht="12.75">
      <c r="A47" s="1" t="str">
        <f>HYPERLINK("http://www.ofsted.gov.uk/inspection-reports/find-inspection-report/provider/ELS/50229","Ofsted FES Webpage")</f>
        <v>Ofsted FES Webpage</v>
      </c>
      <c r="B47" t="s">
        <v>119</v>
      </c>
      <c r="C47">
        <v>50229</v>
      </c>
      <c r="D47">
        <v>108029</v>
      </c>
      <c r="E47" t="s">
        <v>120</v>
      </c>
      <c r="F47" t="s">
        <v>26</v>
      </c>
      <c r="G47" t="s">
        <v>40</v>
      </c>
      <c r="H47" s="2">
        <v>41414</v>
      </c>
      <c r="I47" s="2">
        <v>41418</v>
      </c>
      <c r="J47" t="s">
        <v>32</v>
      </c>
      <c r="K47" s="2">
        <v>41446.13547314815</v>
      </c>
      <c r="L47" t="s">
        <v>45</v>
      </c>
      <c r="M47">
        <v>408465</v>
      </c>
      <c r="N47">
        <v>3</v>
      </c>
      <c r="O47">
        <v>3</v>
      </c>
      <c r="P47">
        <v>2</v>
      </c>
      <c r="Q47">
        <v>2</v>
      </c>
      <c r="R47">
        <v>5225</v>
      </c>
      <c r="S47" t="s">
        <v>2425</v>
      </c>
      <c r="W47" t="s">
        <v>2561</v>
      </c>
      <c r="X47" t="s">
        <v>1367</v>
      </c>
    </row>
    <row r="48" spans="1:24" ht="12.75">
      <c r="A48" s="1" t="str">
        <f>HYPERLINK("http://www.ofsted.gov.uk/inspection-reports/find-inspection-report/provider/ELS/50230","Ofsted FES Webpage")</f>
        <v>Ofsted FES Webpage</v>
      </c>
      <c r="B48" t="s">
        <v>121</v>
      </c>
      <c r="C48">
        <v>50230</v>
      </c>
      <c r="D48">
        <v>108012</v>
      </c>
      <c r="E48" t="s">
        <v>122</v>
      </c>
      <c r="F48" t="s">
        <v>35</v>
      </c>
      <c r="G48" t="s">
        <v>40</v>
      </c>
      <c r="H48" s="2">
        <v>41058</v>
      </c>
      <c r="I48" s="2">
        <v>41061</v>
      </c>
      <c r="J48" t="s">
        <v>23</v>
      </c>
      <c r="K48" s="2">
        <v>41100.13553237268</v>
      </c>
      <c r="L48" t="s">
        <v>83</v>
      </c>
      <c r="M48">
        <v>387971</v>
      </c>
      <c r="N48">
        <v>2</v>
      </c>
      <c r="O48">
        <v>2</v>
      </c>
      <c r="P48">
        <v>2</v>
      </c>
      <c r="Q48">
        <v>2</v>
      </c>
      <c r="R48">
        <v>1111</v>
      </c>
      <c r="S48" t="s">
        <v>2562</v>
      </c>
      <c r="T48" t="s">
        <v>2563</v>
      </c>
      <c r="W48" t="s">
        <v>35</v>
      </c>
      <c r="X48" t="s">
        <v>1368</v>
      </c>
    </row>
    <row r="49" spans="1:24" ht="12.75">
      <c r="A49" s="1" t="str">
        <f>HYPERLINK("http://www.ofsted.gov.uk/inspection-reports/find-inspection-report/provider/ELS/50234","Ofsted FES Webpage")</f>
        <v>Ofsted FES Webpage</v>
      </c>
      <c r="B49" t="s">
        <v>123</v>
      </c>
      <c r="C49">
        <v>50234</v>
      </c>
      <c r="D49">
        <v>106055</v>
      </c>
      <c r="E49" t="s">
        <v>124</v>
      </c>
      <c r="F49" t="s">
        <v>26</v>
      </c>
      <c r="G49" t="s">
        <v>40</v>
      </c>
      <c r="H49" s="2">
        <v>41793</v>
      </c>
      <c r="I49" s="2">
        <v>41796</v>
      </c>
      <c r="J49" t="s">
        <v>27</v>
      </c>
      <c r="K49" s="2">
        <v>41829.13548923611</v>
      </c>
      <c r="L49" t="s">
        <v>54</v>
      </c>
      <c r="M49">
        <v>429299</v>
      </c>
      <c r="N49">
        <v>2</v>
      </c>
      <c r="O49">
        <v>2</v>
      </c>
      <c r="P49">
        <v>3</v>
      </c>
      <c r="Q49">
        <v>3</v>
      </c>
      <c r="R49">
        <v>2286</v>
      </c>
      <c r="S49" t="s">
        <v>2565</v>
      </c>
      <c r="V49" t="s">
        <v>2566</v>
      </c>
      <c r="W49" t="s">
        <v>124</v>
      </c>
      <c r="X49" t="s">
        <v>1369</v>
      </c>
    </row>
    <row r="50" spans="1:24" ht="12.75">
      <c r="A50" s="1" t="str">
        <f>HYPERLINK("http://www.ofsted.gov.uk/inspection-reports/find-inspection-report/provider/ELS/50237","Ofsted FES Webpage")</f>
        <v>Ofsted FES Webpage</v>
      </c>
      <c r="B50" t="s">
        <v>125</v>
      </c>
      <c r="C50">
        <v>50237</v>
      </c>
      <c r="D50">
        <v>107988</v>
      </c>
      <c r="E50" t="s">
        <v>126</v>
      </c>
      <c r="F50" t="s">
        <v>68</v>
      </c>
      <c r="G50" t="s">
        <v>40</v>
      </c>
      <c r="H50" s="2">
        <v>40707</v>
      </c>
      <c r="I50" s="2">
        <v>40711</v>
      </c>
      <c r="J50" t="s">
        <v>56</v>
      </c>
      <c r="K50" s="2">
        <v>40745.13547045139</v>
      </c>
      <c r="L50" t="s">
        <v>45</v>
      </c>
      <c r="M50">
        <v>365877</v>
      </c>
      <c r="N50">
        <v>2</v>
      </c>
      <c r="O50">
        <v>2</v>
      </c>
      <c r="P50">
        <v>3</v>
      </c>
      <c r="Q50">
        <v>3</v>
      </c>
      <c r="R50">
        <v>3021</v>
      </c>
      <c r="S50" t="s">
        <v>2567</v>
      </c>
      <c r="T50" t="s">
        <v>2568</v>
      </c>
      <c r="U50" t="s">
        <v>2569</v>
      </c>
      <c r="W50" t="s">
        <v>126</v>
      </c>
      <c r="X50" t="s">
        <v>1370</v>
      </c>
    </row>
    <row r="51" spans="1:24" ht="12.75">
      <c r="A51" s="1" t="str">
        <f>HYPERLINK("http://www.ofsted.gov.uk/inspection-reports/find-inspection-report/provider/ELS/50243","Ofsted FES Webpage")</f>
        <v>Ofsted FES Webpage</v>
      </c>
      <c r="B51" t="s">
        <v>127</v>
      </c>
      <c r="C51">
        <v>50243</v>
      </c>
      <c r="D51">
        <v>105809</v>
      </c>
      <c r="E51" t="s">
        <v>128</v>
      </c>
      <c r="F51" t="s">
        <v>68</v>
      </c>
      <c r="G51" t="s">
        <v>17</v>
      </c>
      <c r="H51" s="2">
        <v>41771</v>
      </c>
      <c r="I51" s="2">
        <v>41775</v>
      </c>
      <c r="J51" t="s">
        <v>27</v>
      </c>
      <c r="K51" s="2">
        <v>41810.135453738425</v>
      </c>
      <c r="L51" t="s">
        <v>60</v>
      </c>
      <c r="M51">
        <v>429218</v>
      </c>
      <c r="N51">
        <v>2</v>
      </c>
      <c r="O51">
        <v>2</v>
      </c>
      <c r="P51">
        <v>3</v>
      </c>
      <c r="Q51">
        <v>3</v>
      </c>
      <c r="R51">
        <v>1301</v>
      </c>
      <c r="S51" t="s">
        <v>2571</v>
      </c>
      <c r="T51" t="s">
        <v>2572</v>
      </c>
      <c r="W51" t="s">
        <v>128</v>
      </c>
      <c r="X51" t="s">
        <v>1371</v>
      </c>
    </row>
    <row r="52" spans="1:24" ht="12.75">
      <c r="A52" s="1" t="str">
        <f>HYPERLINK("http://www.ofsted.gov.uk/inspection-reports/find-inspection-report/provider/ELS/50244","Ofsted FES Webpage")</f>
        <v>Ofsted FES Webpage</v>
      </c>
      <c r="B52" t="s">
        <v>129</v>
      </c>
      <c r="C52">
        <v>50244</v>
      </c>
      <c r="D52">
        <v>105913</v>
      </c>
      <c r="E52" t="s">
        <v>67</v>
      </c>
      <c r="F52" t="s">
        <v>68</v>
      </c>
      <c r="G52" t="s">
        <v>17</v>
      </c>
      <c r="H52" s="2">
        <v>40882</v>
      </c>
      <c r="I52" s="2">
        <v>40886</v>
      </c>
      <c r="J52" t="s">
        <v>23</v>
      </c>
      <c r="K52" s="2">
        <v>40929.1354434375</v>
      </c>
      <c r="L52" t="s">
        <v>19</v>
      </c>
      <c r="M52">
        <v>366030</v>
      </c>
      <c r="N52">
        <v>2</v>
      </c>
      <c r="O52">
        <v>2</v>
      </c>
      <c r="P52">
        <v>2</v>
      </c>
      <c r="Q52">
        <v>2</v>
      </c>
      <c r="R52">
        <v>608</v>
      </c>
      <c r="T52" t="s">
        <v>2573</v>
      </c>
      <c r="W52" t="s">
        <v>67</v>
      </c>
      <c r="X52" t="s">
        <v>1372</v>
      </c>
    </row>
    <row r="53" spans="1:24" ht="12.75">
      <c r="A53" s="1" t="str">
        <f>HYPERLINK("http://www.ofsted.gov.uk/inspection-reports/find-inspection-report/provider/ELS/50245","Ofsted FES Webpage")</f>
        <v>Ofsted FES Webpage</v>
      </c>
      <c r="B53" t="s">
        <v>130</v>
      </c>
      <c r="C53">
        <v>50245</v>
      </c>
      <c r="D53">
        <v>110145</v>
      </c>
      <c r="E53" t="s">
        <v>131</v>
      </c>
      <c r="F53" t="s">
        <v>63</v>
      </c>
      <c r="G53" t="s">
        <v>40</v>
      </c>
      <c r="H53" s="2">
        <v>40623</v>
      </c>
      <c r="I53" s="2">
        <v>40627</v>
      </c>
      <c r="J53" t="s">
        <v>56</v>
      </c>
      <c r="K53" s="2">
        <v>40662.13545115741</v>
      </c>
      <c r="L53" t="s">
        <v>45</v>
      </c>
      <c r="M53">
        <v>363514</v>
      </c>
      <c r="N53">
        <v>2</v>
      </c>
      <c r="O53">
        <v>2</v>
      </c>
      <c r="P53">
        <v>3</v>
      </c>
      <c r="Q53">
        <v>2</v>
      </c>
      <c r="R53">
        <v>1234</v>
      </c>
      <c r="S53" t="s">
        <v>2425</v>
      </c>
      <c r="T53" t="s">
        <v>2574</v>
      </c>
      <c r="W53" t="s">
        <v>2575</v>
      </c>
      <c r="X53" t="s">
        <v>1373</v>
      </c>
    </row>
    <row r="54" spans="1:24" ht="12.75">
      <c r="A54" s="1" t="str">
        <f>HYPERLINK("http://www.ofsted.gov.uk/inspection-reports/find-inspection-report/provider/ELS/50246","Ofsted FES Webpage")</f>
        <v>Ofsted FES Webpage</v>
      </c>
      <c r="B54" t="s">
        <v>132</v>
      </c>
      <c r="C54">
        <v>50246</v>
      </c>
      <c r="D54">
        <v>112016</v>
      </c>
      <c r="E54" t="s">
        <v>133</v>
      </c>
      <c r="F54" t="s">
        <v>43</v>
      </c>
      <c r="G54" t="s">
        <v>40</v>
      </c>
      <c r="H54" s="2">
        <v>40504</v>
      </c>
      <c r="I54" s="2">
        <v>40508</v>
      </c>
      <c r="J54" t="s">
        <v>56</v>
      </c>
      <c r="K54" s="2">
        <v>40534.13548402778</v>
      </c>
      <c r="L54" t="s">
        <v>45</v>
      </c>
      <c r="M54">
        <v>354479</v>
      </c>
      <c r="N54">
        <v>2</v>
      </c>
      <c r="O54">
        <v>2</v>
      </c>
      <c r="P54">
        <v>3</v>
      </c>
      <c r="Q54">
        <v>3</v>
      </c>
      <c r="R54">
        <v>840</v>
      </c>
      <c r="S54" t="s">
        <v>2462</v>
      </c>
      <c r="T54" t="s">
        <v>2576</v>
      </c>
      <c r="W54" t="s">
        <v>133</v>
      </c>
      <c r="X54" t="s">
        <v>1374</v>
      </c>
    </row>
    <row r="55" spans="1:24" ht="12.75">
      <c r="A55" s="1" t="str">
        <f>HYPERLINK("http://www.ofsted.gov.uk/inspection-reports/find-inspection-report/provider/ELS/50257","Ofsted FES Webpage")</f>
        <v>Ofsted FES Webpage</v>
      </c>
      <c r="B55" t="s">
        <v>134</v>
      </c>
      <c r="C55">
        <v>50257</v>
      </c>
      <c r="D55">
        <v>108801</v>
      </c>
      <c r="E55" t="s">
        <v>135</v>
      </c>
      <c r="F55" t="s">
        <v>35</v>
      </c>
      <c r="G55" t="s">
        <v>17</v>
      </c>
      <c r="H55" s="8">
        <v>41855</v>
      </c>
      <c r="I55" s="9">
        <v>41859</v>
      </c>
      <c r="J55" s="8" t="s">
        <v>27</v>
      </c>
      <c r="K55" s="9">
        <v>41911.13545810185</v>
      </c>
      <c r="L55" s="10" t="s">
        <v>29</v>
      </c>
      <c r="M55" s="10">
        <v>424453</v>
      </c>
      <c r="N55">
        <v>2</v>
      </c>
      <c r="O55">
        <v>2</v>
      </c>
      <c r="P55">
        <v>1</v>
      </c>
      <c r="Q55">
        <v>1</v>
      </c>
      <c r="R55">
        <v>1280</v>
      </c>
      <c r="S55" t="s">
        <v>2578</v>
      </c>
      <c r="T55" t="s">
        <v>2579</v>
      </c>
      <c r="U55" t="s">
        <v>2580</v>
      </c>
      <c r="W55" t="s">
        <v>35</v>
      </c>
      <c r="X55" t="s">
        <v>1375</v>
      </c>
    </row>
    <row r="56" spans="1:24" ht="12.75">
      <c r="A56" s="1" t="str">
        <f>HYPERLINK("http://www.ofsted.gov.uk/inspection-reports/find-inspection-report/provider/ELS/50262","Ofsted FES Webpage")</f>
        <v>Ofsted FES Webpage</v>
      </c>
      <c r="B56" t="s">
        <v>136</v>
      </c>
      <c r="C56">
        <v>50262</v>
      </c>
      <c r="D56">
        <v>108702</v>
      </c>
      <c r="E56" t="s">
        <v>137</v>
      </c>
      <c r="F56" t="s">
        <v>26</v>
      </c>
      <c r="G56" t="s">
        <v>17</v>
      </c>
      <c r="H56" s="2">
        <v>41414</v>
      </c>
      <c r="I56" s="2">
        <v>41418</v>
      </c>
      <c r="J56" t="s">
        <v>32</v>
      </c>
      <c r="K56" s="2">
        <v>41451.135561689814</v>
      </c>
      <c r="L56" t="s">
        <v>36</v>
      </c>
      <c r="M56">
        <v>410699</v>
      </c>
      <c r="N56">
        <v>3</v>
      </c>
      <c r="O56">
        <v>3</v>
      </c>
      <c r="P56">
        <v>3</v>
      </c>
      <c r="Q56">
        <v>3</v>
      </c>
      <c r="R56">
        <v>3093</v>
      </c>
      <c r="S56" t="s">
        <v>2583</v>
      </c>
      <c r="T56" t="s">
        <v>2584</v>
      </c>
      <c r="U56" t="s">
        <v>2495</v>
      </c>
      <c r="X56" t="s">
        <v>1376</v>
      </c>
    </row>
    <row r="57" spans="1:24" ht="12.75">
      <c r="A57" s="1" t="str">
        <f>HYPERLINK("http://www.ofsted.gov.uk/inspection-reports/find-inspection-report/provider/ELS/50303","Ofsted FES Webpage")</f>
        <v>Ofsted FES Webpage</v>
      </c>
      <c r="B57" t="s">
        <v>138</v>
      </c>
      <c r="C57">
        <v>50303</v>
      </c>
      <c r="D57">
        <v>106486</v>
      </c>
      <c r="E57" t="s">
        <v>62</v>
      </c>
      <c r="F57" t="s">
        <v>63</v>
      </c>
      <c r="G57" t="s">
        <v>17</v>
      </c>
      <c r="H57" s="2">
        <v>41813</v>
      </c>
      <c r="I57" s="2">
        <v>41817</v>
      </c>
      <c r="J57" t="s">
        <v>27</v>
      </c>
      <c r="K57" s="2">
        <v>41864.135471875</v>
      </c>
      <c r="L57" t="s">
        <v>36</v>
      </c>
      <c r="M57">
        <v>434034</v>
      </c>
      <c r="N57">
        <v>2</v>
      </c>
      <c r="O57">
        <v>2</v>
      </c>
      <c r="P57">
        <v>2</v>
      </c>
      <c r="Q57">
        <v>2</v>
      </c>
      <c r="R57">
        <v>4918</v>
      </c>
      <c r="S57" t="s">
        <v>2587</v>
      </c>
      <c r="T57" t="s">
        <v>2588</v>
      </c>
      <c r="U57" t="s">
        <v>2589</v>
      </c>
      <c r="W57" t="s">
        <v>62</v>
      </c>
      <c r="X57" t="s">
        <v>1377</v>
      </c>
    </row>
    <row r="58" spans="1:24" ht="12.75">
      <c r="A58" s="1" t="str">
        <f>HYPERLINK("http://www.ofsted.gov.uk/inspection-reports/find-inspection-report/provider/ELS/50304","Ofsted FES Webpage")</f>
        <v>Ofsted FES Webpage</v>
      </c>
      <c r="B58" t="s">
        <v>139</v>
      </c>
      <c r="C58">
        <v>50304</v>
      </c>
      <c r="D58">
        <v>115906</v>
      </c>
      <c r="E58" t="s">
        <v>140</v>
      </c>
      <c r="F58" t="s">
        <v>49</v>
      </c>
      <c r="G58" t="s">
        <v>17</v>
      </c>
      <c r="H58" s="2">
        <v>41379</v>
      </c>
      <c r="I58" s="2">
        <v>41383</v>
      </c>
      <c r="J58" t="s">
        <v>32</v>
      </c>
      <c r="K58" s="2">
        <v>41417.13573136574</v>
      </c>
      <c r="L58" t="s">
        <v>29</v>
      </c>
      <c r="M58">
        <v>410640</v>
      </c>
      <c r="N58">
        <v>3</v>
      </c>
      <c r="O58">
        <v>3</v>
      </c>
      <c r="P58">
        <v>3</v>
      </c>
      <c r="Q58">
        <v>3</v>
      </c>
      <c r="R58">
        <v>2307</v>
      </c>
      <c r="S58" t="s">
        <v>2590</v>
      </c>
      <c r="T58" t="s">
        <v>2591</v>
      </c>
      <c r="U58" t="s">
        <v>2592</v>
      </c>
      <c r="W58" t="s">
        <v>2593</v>
      </c>
      <c r="X58" t="s">
        <v>1378</v>
      </c>
    </row>
    <row r="59" spans="1:24" ht="12.75">
      <c r="A59" s="1" t="str">
        <f>HYPERLINK("http://www.ofsted.gov.uk/inspection-reports/find-inspection-report/provider/ELS/50305","Ofsted FES Webpage")</f>
        <v>Ofsted FES Webpage</v>
      </c>
      <c r="B59" t="s">
        <v>142</v>
      </c>
      <c r="C59">
        <v>50305</v>
      </c>
      <c r="D59">
        <v>109348</v>
      </c>
      <c r="E59" t="s">
        <v>143</v>
      </c>
      <c r="F59" t="s">
        <v>35</v>
      </c>
      <c r="G59" t="s">
        <v>17</v>
      </c>
      <c r="H59" s="8">
        <v>41849</v>
      </c>
      <c r="I59" s="9">
        <v>41852</v>
      </c>
      <c r="J59" s="8" t="s">
        <v>27</v>
      </c>
      <c r="K59" s="9">
        <v>41899.135478206015</v>
      </c>
      <c r="L59" s="10" t="s">
        <v>60</v>
      </c>
      <c r="M59" s="10">
        <v>429259</v>
      </c>
      <c r="N59">
        <v>2</v>
      </c>
      <c r="O59">
        <v>2</v>
      </c>
      <c r="P59">
        <v>3</v>
      </c>
      <c r="Q59">
        <v>3</v>
      </c>
      <c r="R59">
        <v>213</v>
      </c>
      <c r="S59" t="s">
        <v>2594</v>
      </c>
      <c r="T59" t="s">
        <v>35</v>
      </c>
      <c r="X59" t="s">
        <v>1379</v>
      </c>
    </row>
    <row r="60" spans="1:24" ht="12.75">
      <c r="A60" s="1" t="str">
        <f>HYPERLINK("http://www.ofsted.gov.uk/inspection-reports/find-inspection-report/provider/ELS/50313","Ofsted FES Webpage")</f>
        <v>Ofsted FES Webpage</v>
      </c>
      <c r="B60" t="s">
        <v>144</v>
      </c>
      <c r="C60">
        <v>50313</v>
      </c>
      <c r="D60">
        <v>113004</v>
      </c>
      <c r="E60" t="s">
        <v>106</v>
      </c>
      <c r="F60" t="s">
        <v>49</v>
      </c>
      <c r="G60" t="s">
        <v>17</v>
      </c>
      <c r="H60" s="2">
        <v>41337</v>
      </c>
      <c r="I60" s="2">
        <v>41341</v>
      </c>
      <c r="J60" t="s">
        <v>32</v>
      </c>
      <c r="K60" s="2">
        <v>41380.13562341435</v>
      </c>
      <c r="L60" t="s">
        <v>29</v>
      </c>
      <c r="M60">
        <v>411227</v>
      </c>
      <c r="N60">
        <v>2</v>
      </c>
      <c r="O60">
        <v>2</v>
      </c>
      <c r="P60">
        <v>3</v>
      </c>
      <c r="Q60">
        <v>3</v>
      </c>
      <c r="R60">
        <v>2286</v>
      </c>
      <c r="S60" t="s">
        <v>2596</v>
      </c>
      <c r="T60" t="s">
        <v>106</v>
      </c>
      <c r="X60" t="s">
        <v>1380</v>
      </c>
    </row>
    <row r="61" spans="1:24" ht="12.75">
      <c r="A61" s="1" t="str">
        <f>HYPERLINK("http://www.ofsted.gov.uk/inspection-reports/find-inspection-report/provider/ELS/50314","Ofsted FES Webpage")</f>
        <v>Ofsted FES Webpage</v>
      </c>
      <c r="B61" t="s">
        <v>145</v>
      </c>
      <c r="C61">
        <v>50314</v>
      </c>
      <c r="D61">
        <v>107088</v>
      </c>
      <c r="E61" t="s">
        <v>146</v>
      </c>
      <c r="F61" t="s">
        <v>26</v>
      </c>
      <c r="G61" t="s">
        <v>17</v>
      </c>
      <c r="H61" s="2">
        <v>40938</v>
      </c>
      <c r="I61" s="2">
        <v>40942</v>
      </c>
      <c r="J61" t="s">
        <v>23</v>
      </c>
      <c r="K61" s="2">
        <v>40970.135664849535</v>
      </c>
      <c r="L61" t="s">
        <v>19</v>
      </c>
      <c r="M61">
        <v>385750</v>
      </c>
      <c r="N61">
        <v>2</v>
      </c>
      <c r="O61">
        <v>2</v>
      </c>
      <c r="P61">
        <v>2</v>
      </c>
      <c r="Q61">
        <v>2</v>
      </c>
      <c r="R61">
        <v>1666</v>
      </c>
      <c r="S61" t="s">
        <v>2597</v>
      </c>
      <c r="T61" t="s">
        <v>2598</v>
      </c>
      <c r="W61" t="s">
        <v>146</v>
      </c>
      <c r="X61" t="s">
        <v>1381</v>
      </c>
    </row>
    <row r="62" spans="1:24" ht="12.75">
      <c r="A62" s="1" t="str">
        <f>HYPERLINK("http://www.ofsted.gov.uk/inspection-reports/find-inspection-report/provider/ELS/50315","Ofsted FES Webpage")</f>
        <v>Ofsted FES Webpage</v>
      </c>
      <c r="B62" t="s">
        <v>147</v>
      </c>
      <c r="C62">
        <v>50315</v>
      </c>
      <c r="D62">
        <v>115666</v>
      </c>
      <c r="E62" t="s">
        <v>146</v>
      </c>
      <c r="F62" t="s">
        <v>26</v>
      </c>
      <c r="G62" t="s">
        <v>17</v>
      </c>
      <c r="H62" s="2">
        <v>41407</v>
      </c>
      <c r="I62" s="2">
        <v>41411</v>
      </c>
      <c r="J62" t="s">
        <v>32</v>
      </c>
      <c r="K62" s="2">
        <v>41445.13546408565</v>
      </c>
      <c r="L62" t="s">
        <v>29</v>
      </c>
      <c r="M62">
        <v>410660</v>
      </c>
      <c r="N62">
        <v>2</v>
      </c>
      <c r="O62">
        <v>2</v>
      </c>
      <c r="P62">
        <v>2</v>
      </c>
      <c r="Q62">
        <v>2</v>
      </c>
      <c r="R62">
        <v>1647</v>
      </c>
      <c r="S62" t="s">
        <v>2599</v>
      </c>
      <c r="T62" t="s">
        <v>2600</v>
      </c>
      <c r="U62" t="s">
        <v>2601</v>
      </c>
      <c r="V62" t="s">
        <v>146</v>
      </c>
      <c r="X62" t="s">
        <v>1382</v>
      </c>
    </row>
    <row r="63" spans="1:24" ht="12.75">
      <c r="A63" s="1" t="str">
        <f>HYPERLINK("http://www.ofsted.gov.uk/inspection-reports/find-inspection-report/provider/ELS/50322","Ofsted FES Webpage")</f>
        <v>Ofsted FES Webpage</v>
      </c>
      <c r="B63" t="s">
        <v>148</v>
      </c>
      <c r="C63">
        <v>50322</v>
      </c>
      <c r="D63">
        <v>109848</v>
      </c>
      <c r="E63" t="s">
        <v>62</v>
      </c>
      <c r="F63" t="s">
        <v>63</v>
      </c>
      <c r="G63" t="s">
        <v>17</v>
      </c>
      <c r="H63" s="2">
        <v>40728</v>
      </c>
      <c r="I63" s="2">
        <v>40732</v>
      </c>
      <c r="J63" t="s">
        <v>56</v>
      </c>
      <c r="K63" s="2">
        <v>40765.13546373843</v>
      </c>
      <c r="L63" t="s">
        <v>19</v>
      </c>
      <c r="M63">
        <v>366061</v>
      </c>
      <c r="N63">
        <v>2</v>
      </c>
      <c r="O63">
        <v>2</v>
      </c>
      <c r="P63" t="s">
        <v>20</v>
      </c>
      <c r="Q63" t="s">
        <v>20</v>
      </c>
      <c r="R63">
        <v>2291</v>
      </c>
      <c r="T63" t="s">
        <v>2604</v>
      </c>
      <c r="U63" t="s">
        <v>2605</v>
      </c>
      <c r="W63" t="s">
        <v>62</v>
      </c>
      <c r="X63" t="s">
        <v>1383</v>
      </c>
    </row>
    <row r="64" spans="1:24" ht="12.75">
      <c r="A64" s="1" t="str">
        <f>HYPERLINK("http://www.ofsted.gov.uk/inspection-reports/find-inspection-report/provider/ELS/50349","Ofsted FES Webpage")</f>
        <v>Ofsted FES Webpage</v>
      </c>
      <c r="B64" t="s">
        <v>149</v>
      </c>
      <c r="C64">
        <v>50349</v>
      </c>
      <c r="D64">
        <v>107975</v>
      </c>
      <c r="E64" t="s">
        <v>53</v>
      </c>
      <c r="F64" t="s">
        <v>43</v>
      </c>
      <c r="G64" t="s">
        <v>17</v>
      </c>
      <c r="H64" s="2">
        <v>41772</v>
      </c>
      <c r="I64" s="2">
        <v>41774</v>
      </c>
      <c r="J64" t="s">
        <v>27</v>
      </c>
      <c r="K64" s="2">
        <v>41810.13546582176</v>
      </c>
      <c r="L64" t="s">
        <v>54</v>
      </c>
      <c r="M64">
        <v>429297</v>
      </c>
      <c r="N64">
        <v>2</v>
      </c>
      <c r="O64">
        <v>2</v>
      </c>
      <c r="P64">
        <v>3</v>
      </c>
      <c r="Q64">
        <v>3</v>
      </c>
      <c r="R64">
        <v>1310</v>
      </c>
      <c r="S64" t="s">
        <v>2606</v>
      </c>
      <c r="T64" t="s">
        <v>2607</v>
      </c>
      <c r="U64" t="s">
        <v>2608</v>
      </c>
      <c r="X64" t="s">
        <v>1384</v>
      </c>
    </row>
    <row r="65" spans="1:24" ht="12.75">
      <c r="A65" s="1" t="str">
        <f>HYPERLINK("http://www.ofsted.gov.uk/inspection-reports/find-inspection-report/provider/ELS/50376","Ofsted FES Webpage")</f>
        <v>Ofsted FES Webpage</v>
      </c>
      <c r="B65" t="s">
        <v>150</v>
      </c>
      <c r="C65">
        <v>50376</v>
      </c>
      <c r="D65">
        <v>106879</v>
      </c>
      <c r="E65" t="s">
        <v>67</v>
      </c>
      <c r="F65" t="s">
        <v>68</v>
      </c>
      <c r="G65" t="s">
        <v>17</v>
      </c>
      <c r="H65" s="2">
        <v>40518</v>
      </c>
      <c r="I65" s="2">
        <v>40522</v>
      </c>
      <c r="J65" t="s">
        <v>56</v>
      </c>
      <c r="K65" s="2">
        <v>40562.13544537037</v>
      </c>
      <c r="L65" t="s">
        <v>19</v>
      </c>
      <c r="M65">
        <v>354638</v>
      </c>
      <c r="N65">
        <v>2</v>
      </c>
      <c r="O65">
        <v>2</v>
      </c>
      <c r="P65" t="s">
        <v>20</v>
      </c>
      <c r="Q65" t="s">
        <v>20</v>
      </c>
      <c r="R65">
        <v>1426</v>
      </c>
      <c r="S65" t="s">
        <v>2610</v>
      </c>
      <c r="T65" t="s">
        <v>2611</v>
      </c>
      <c r="W65" t="s">
        <v>67</v>
      </c>
      <c r="X65" t="s">
        <v>1385</v>
      </c>
    </row>
    <row r="66" spans="1:24" ht="12.75">
      <c r="A66" s="1" t="str">
        <f>HYPERLINK("http://www.ofsted.gov.uk/inspection-reports/find-inspection-report/provider/ELS/50387","Ofsted FES Webpage")</f>
        <v>Ofsted FES Webpage</v>
      </c>
      <c r="B66" t="s">
        <v>151</v>
      </c>
      <c r="C66">
        <v>50387</v>
      </c>
      <c r="D66">
        <v>105765</v>
      </c>
      <c r="E66" t="s">
        <v>128</v>
      </c>
      <c r="F66" t="s">
        <v>68</v>
      </c>
      <c r="G66" t="s">
        <v>40</v>
      </c>
      <c r="H66" s="2">
        <v>41456</v>
      </c>
      <c r="I66" s="2">
        <v>41460</v>
      </c>
      <c r="J66" t="s">
        <v>32</v>
      </c>
      <c r="K66" s="2">
        <v>41495.13545061342</v>
      </c>
      <c r="L66" t="s">
        <v>29</v>
      </c>
      <c r="M66">
        <v>408489</v>
      </c>
      <c r="N66">
        <v>2</v>
      </c>
      <c r="O66">
        <v>2</v>
      </c>
      <c r="P66">
        <v>3</v>
      </c>
      <c r="Q66">
        <v>3</v>
      </c>
      <c r="R66">
        <v>776</v>
      </c>
      <c r="S66" t="s">
        <v>2613</v>
      </c>
      <c r="T66" t="s">
        <v>2614</v>
      </c>
      <c r="U66" t="s">
        <v>2615</v>
      </c>
      <c r="W66" t="s">
        <v>128</v>
      </c>
      <c r="X66" t="s">
        <v>1386</v>
      </c>
    </row>
    <row r="67" spans="1:24" ht="12.75">
      <c r="A67" s="1" t="str">
        <f>HYPERLINK("http://www.ofsted.gov.uk/inspection-reports/find-inspection-report/provider/ELS/50410","Ofsted FES Webpage")</f>
        <v>Ofsted FES Webpage</v>
      </c>
      <c r="B67" t="s">
        <v>152</v>
      </c>
      <c r="C67">
        <v>50410</v>
      </c>
      <c r="D67">
        <v>118821</v>
      </c>
      <c r="E67" t="s">
        <v>89</v>
      </c>
      <c r="F67" t="s">
        <v>16</v>
      </c>
      <c r="G67" t="s">
        <v>17</v>
      </c>
      <c r="H67" s="2">
        <v>39742</v>
      </c>
      <c r="I67" s="2">
        <v>39745</v>
      </c>
      <c r="J67" t="s">
        <v>44</v>
      </c>
      <c r="K67" s="2">
        <v>39780.13558260417</v>
      </c>
      <c r="L67" t="s">
        <v>141</v>
      </c>
      <c r="M67">
        <v>329928</v>
      </c>
      <c r="N67">
        <v>3</v>
      </c>
      <c r="O67">
        <v>3</v>
      </c>
      <c r="P67" t="s">
        <v>20</v>
      </c>
      <c r="Q67" t="s">
        <v>20</v>
      </c>
      <c r="R67">
        <v>29</v>
      </c>
      <c r="S67" t="s">
        <v>2416</v>
      </c>
      <c r="T67" t="s">
        <v>2618</v>
      </c>
      <c r="U67" t="s">
        <v>2619</v>
      </c>
      <c r="W67" t="s">
        <v>2511</v>
      </c>
      <c r="X67" t="s">
        <v>1387</v>
      </c>
    </row>
    <row r="68" spans="1:24" ht="12.75">
      <c r="A68" s="1" t="str">
        <f>HYPERLINK("http://www.ofsted.gov.uk/inspection-reports/find-inspection-report/provider/ELS/50411","Ofsted FES Webpage")</f>
        <v>Ofsted FES Webpage</v>
      </c>
      <c r="B68" t="s">
        <v>153</v>
      </c>
      <c r="C68">
        <v>50411</v>
      </c>
      <c r="D68">
        <v>105859</v>
      </c>
      <c r="E68" t="s">
        <v>67</v>
      </c>
      <c r="F68" t="s">
        <v>68</v>
      </c>
      <c r="G68" t="s">
        <v>17</v>
      </c>
      <c r="H68" s="2">
        <v>39336</v>
      </c>
      <c r="I68" s="2">
        <v>39339</v>
      </c>
      <c r="J68" t="s">
        <v>154</v>
      </c>
      <c r="K68" s="2">
        <v>39381.353159375</v>
      </c>
      <c r="L68" t="s">
        <v>19</v>
      </c>
      <c r="M68">
        <v>316806</v>
      </c>
      <c r="N68">
        <v>1</v>
      </c>
      <c r="O68">
        <v>2</v>
      </c>
      <c r="P68" t="s">
        <v>20</v>
      </c>
      <c r="Q68" t="s">
        <v>20</v>
      </c>
      <c r="R68">
        <v>240</v>
      </c>
      <c r="S68" t="s">
        <v>2620</v>
      </c>
      <c r="T68" t="s">
        <v>67</v>
      </c>
      <c r="X68" t="s">
        <v>1388</v>
      </c>
    </row>
    <row r="69" spans="1:24" ht="12.75">
      <c r="A69" s="1" t="str">
        <f>HYPERLINK("http://www.ofsted.gov.uk/inspection-reports/find-inspection-report/provider/ELS/50442","Ofsted FES Webpage")</f>
        <v>Ofsted FES Webpage</v>
      </c>
      <c r="B69" t="s">
        <v>155</v>
      </c>
      <c r="C69">
        <v>50442</v>
      </c>
      <c r="D69">
        <v>116562</v>
      </c>
      <c r="E69" t="s">
        <v>106</v>
      </c>
      <c r="F69" t="s">
        <v>49</v>
      </c>
      <c r="G69" t="s">
        <v>17</v>
      </c>
      <c r="H69" s="2">
        <v>41695</v>
      </c>
      <c r="I69" s="2">
        <v>41698</v>
      </c>
      <c r="J69" t="s">
        <v>27</v>
      </c>
      <c r="K69" s="2">
        <v>41730.1354803588</v>
      </c>
      <c r="L69" t="s">
        <v>36</v>
      </c>
      <c r="M69">
        <v>429100</v>
      </c>
      <c r="N69">
        <v>3</v>
      </c>
      <c r="O69">
        <v>3</v>
      </c>
      <c r="P69">
        <v>2</v>
      </c>
      <c r="Q69">
        <v>2</v>
      </c>
      <c r="R69">
        <v>237</v>
      </c>
      <c r="T69" t="s">
        <v>2621</v>
      </c>
      <c r="U69" t="s">
        <v>2622</v>
      </c>
      <c r="W69" t="s">
        <v>106</v>
      </c>
      <c r="X69" t="s">
        <v>1389</v>
      </c>
    </row>
    <row r="70" spans="1:24" ht="12.75">
      <c r="A70" s="1" t="str">
        <f>HYPERLINK("http://www.ofsted.gov.uk/inspection-reports/find-inspection-report/provider/ELS/50544","Ofsted FES Webpage")</f>
        <v>Ofsted FES Webpage</v>
      </c>
      <c r="B70" t="s">
        <v>156</v>
      </c>
      <c r="C70">
        <v>50544</v>
      </c>
      <c r="D70">
        <v>106881</v>
      </c>
      <c r="E70" t="s">
        <v>157</v>
      </c>
      <c r="F70" t="s">
        <v>68</v>
      </c>
      <c r="G70" t="s">
        <v>17</v>
      </c>
      <c r="H70" s="2">
        <v>40134</v>
      </c>
      <c r="I70" s="2">
        <v>40137</v>
      </c>
      <c r="J70" t="s">
        <v>18</v>
      </c>
      <c r="K70" s="2">
        <v>40183.135501585646</v>
      </c>
      <c r="L70" t="s">
        <v>19</v>
      </c>
      <c r="M70">
        <v>342648</v>
      </c>
      <c r="N70">
        <v>2</v>
      </c>
      <c r="O70">
        <v>2</v>
      </c>
      <c r="P70" t="s">
        <v>20</v>
      </c>
      <c r="Q70" t="s">
        <v>20</v>
      </c>
      <c r="R70">
        <v>3479</v>
      </c>
      <c r="S70" t="s">
        <v>2626</v>
      </c>
      <c r="T70" t="s">
        <v>2627</v>
      </c>
      <c r="U70" t="s">
        <v>2628</v>
      </c>
      <c r="V70" t="s">
        <v>67</v>
      </c>
      <c r="X70" t="s">
        <v>1390</v>
      </c>
    </row>
    <row r="71" spans="1:24" ht="12.75">
      <c r="A71" s="1" t="str">
        <f>HYPERLINK("http://www.ofsted.gov.uk/inspection-reports/find-inspection-report/provider/ELS/50578","Ofsted FES Webpage")</f>
        <v>Ofsted FES Webpage</v>
      </c>
      <c r="B71" t="s">
        <v>158</v>
      </c>
      <c r="C71">
        <v>50578</v>
      </c>
      <c r="D71">
        <v>106326</v>
      </c>
      <c r="E71" t="s">
        <v>159</v>
      </c>
      <c r="F71" t="s">
        <v>43</v>
      </c>
      <c r="G71" t="s">
        <v>160</v>
      </c>
      <c r="H71" s="2">
        <v>39532</v>
      </c>
      <c r="I71" s="2">
        <v>39535</v>
      </c>
      <c r="J71" t="s">
        <v>154</v>
      </c>
      <c r="K71" s="2">
        <v>39580.13558880787</v>
      </c>
      <c r="L71" t="s">
        <v>19</v>
      </c>
      <c r="M71">
        <v>320128</v>
      </c>
      <c r="N71">
        <v>1</v>
      </c>
      <c r="O71">
        <v>1</v>
      </c>
      <c r="P71" t="s">
        <v>20</v>
      </c>
      <c r="Q71" t="s">
        <v>20</v>
      </c>
      <c r="R71">
        <v>113</v>
      </c>
      <c r="S71" t="s">
        <v>2635</v>
      </c>
      <c r="U71" t="s">
        <v>2636</v>
      </c>
      <c r="W71" t="s">
        <v>190</v>
      </c>
      <c r="X71" t="s">
        <v>1391</v>
      </c>
    </row>
    <row r="72" spans="1:24" ht="12.75">
      <c r="A72" s="1" t="str">
        <f>HYPERLINK("http://www.ofsted.gov.uk/inspection-reports/find-inspection-report/provider/ELS/50579","Ofsted FES Webpage")</f>
        <v>Ofsted FES Webpage</v>
      </c>
      <c r="B72" t="s">
        <v>161</v>
      </c>
      <c r="C72">
        <v>50579</v>
      </c>
      <c r="D72">
        <v>107033</v>
      </c>
      <c r="E72" t="s">
        <v>140</v>
      </c>
      <c r="F72" t="s">
        <v>49</v>
      </c>
      <c r="G72" t="s">
        <v>17</v>
      </c>
      <c r="H72" s="2">
        <v>40883</v>
      </c>
      <c r="I72" s="2">
        <v>40886</v>
      </c>
      <c r="J72" t="s">
        <v>23</v>
      </c>
      <c r="K72" s="2">
        <v>40926.13545054398</v>
      </c>
      <c r="L72" t="s">
        <v>29</v>
      </c>
      <c r="M72">
        <v>375546</v>
      </c>
      <c r="N72">
        <v>1</v>
      </c>
      <c r="O72">
        <v>1</v>
      </c>
      <c r="P72">
        <v>2</v>
      </c>
      <c r="Q72">
        <v>2</v>
      </c>
      <c r="R72">
        <v>1168</v>
      </c>
      <c r="S72" t="s">
        <v>2637</v>
      </c>
      <c r="T72" t="s">
        <v>2638</v>
      </c>
      <c r="W72" t="s">
        <v>2399</v>
      </c>
      <c r="X72" t="s">
        <v>1392</v>
      </c>
    </row>
    <row r="73" spans="1:24" ht="12.75">
      <c r="A73" s="1" t="str">
        <f>HYPERLINK("http://www.ofsted.gov.uk/inspection-reports/find-inspection-report/provider/ELS/50580","Ofsted FES Webpage")</f>
        <v>Ofsted FES Webpage</v>
      </c>
      <c r="B73" t="s">
        <v>162</v>
      </c>
      <c r="C73">
        <v>50580</v>
      </c>
      <c r="D73">
        <v>107940</v>
      </c>
      <c r="E73" t="s">
        <v>42</v>
      </c>
      <c r="F73" t="s">
        <v>43</v>
      </c>
      <c r="G73" t="s">
        <v>40</v>
      </c>
      <c r="H73" s="2">
        <v>40378</v>
      </c>
      <c r="I73" s="2">
        <v>40382</v>
      </c>
      <c r="J73" t="s">
        <v>18</v>
      </c>
      <c r="K73" s="2">
        <v>40417.13555582176</v>
      </c>
      <c r="L73" t="s">
        <v>19</v>
      </c>
      <c r="M73">
        <v>345917</v>
      </c>
      <c r="N73">
        <v>2</v>
      </c>
      <c r="O73">
        <v>2</v>
      </c>
      <c r="P73">
        <v>3</v>
      </c>
      <c r="Q73">
        <v>2</v>
      </c>
      <c r="R73" t="s">
        <v>20</v>
      </c>
      <c r="S73" t="s">
        <v>2639</v>
      </c>
      <c r="T73" t="s">
        <v>2640</v>
      </c>
      <c r="U73" t="s">
        <v>2427</v>
      </c>
      <c r="V73" t="s">
        <v>42</v>
      </c>
      <c r="X73" t="s">
        <v>1393</v>
      </c>
    </row>
    <row r="74" spans="1:24" ht="12.75">
      <c r="A74" s="1" t="str">
        <f>HYPERLINK("http://www.ofsted.gov.uk/inspection-reports/find-inspection-report/provider/ELS/50582","Ofsted FES Webpage")</f>
        <v>Ofsted FES Webpage</v>
      </c>
      <c r="B74" t="s">
        <v>163</v>
      </c>
      <c r="C74">
        <v>50582</v>
      </c>
      <c r="D74">
        <v>115824</v>
      </c>
      <c r="E74" t="s">
        <v>164</v>
      </c>
      <c r="F74" t="s">
        <v>26</v>
      </c>
      <c r="G74" t="s">
        <v>40</v>
      </c>
      <c r="H74" s="2">
        <v>41800</v>
      </c>
      <c r="I74" s="2">
        <v>41802</v>
      </c>
      <c r="J74" t="s">
        <v>27</v>
      </c>
      <c r="K74" s="2">
        <v>41835.13547515046</v>
      </c>
      <c r="L74" t="s">
        <v>60</v>
      </c>
      <c r="M74">
        <v>429276</v>
      </c>
      <c r="N74">
        <v>2</v>
      </c>
      <c r="O74">
        <v>2</v>
      </c>
      <c r="P74">
        <v>3</v>
      </c>
      <c r="Q74">
        <v>3</v>
      </c>
      <c r="R74">
        <v>16</v>
      </c>
      <c r="T74" t="s">
        <v>2641</v>
      </c>
      <c r="U74" t="s">
        <v>2642</v>
      </c>
      <c r="W74" t="s">
        <v>2643</v>
      </c>
      <c r="X74" t="s">
        <v>1394</v>
      </c>
    </row>
    <row r="75" spans="1:24" ht="12.75">
      <c r="A75" s="1" t="str">
        <f>HYPERLINK("http://www.ofsted.gov.uk/inspection-reports/find-inspection-report/provider/ELS/50584","Ofsted FES Webpage")</f>
        <v>Ofsted FES Webpage</v>
      </c>
      <c r="B75" t="s">
        <v>165</v>
      </c>
      <c r="C75">
        <v>50584</v>
      </c>
      <c r="D75">
        <v>105975</v>
      </c>
      <c r="E75" t="s">
        <v>166</v>
      </c>
      <c r="F75" t="s">
        <v>26</v>
      </c>
      <c r="G75" t="s">
        <v>17</v>
      </c>
      <c r="H75" s="2">
        <v>40945</v>
      </c>
      <c r="I75" s="2">
        <v>40949</v>
      </c>
      <c r="J75" t="s">
        <v>23</v>
      </c>
      <c r="K75" s="2">
        <v>40984.135872418985</v>
      </c>
      <c r="L75" t="s">
        <v>19</v>
      </c>
      <c r="M75">
        <v>385757</v>
      </c>
      <c r="N75">
        <v>2</v>
      </c>
      <c r="O75">
        <v>2</v>
      </c>
      <c r="P75">
        <v>2</v>
      </c>
      <c r="Q75">
        <v>2</v>
      </c>
      <c r="R75">
        <v>862</v>
      </c>
      <c r="S75" t="s">
        <v>2644</v>
      </c>
      <c r="T75" t="s">
        <v>166</v>
      </c>
      <c r="X75" t="s">
        <v>1395</v>
      </c>
    </row>
    <row r="76" spans="1:24" ht="12.75">
      <c r="A76" s="1" t="str">
        <f>HYPERLINK("http://www.ofsted.gov.uk/inspection-reports/find-inspection-report/provider/ELS/50585","Ofsted FES Webpage")</f>
        <v>Ofsted FES Webpage</v>
      </c>
      <c r="B76" t="s">
        <v>167</v>
      </c>
      <c r="C76">
        <v>50585</v>
      </c>
      <c r="D76">
        <v>107093</v>
      </c>
      <c r="E76" t="s">
        <v>166</v>
      </c>
      <c r="F76" t="s">
        <v>26</v>
      </c>
      <c r="G76" t="s">
        <v>17</v>
      </c>
      <c r="H76" s="2">
        <v>41834</v>
      </c>
      <c r="I76" s="2">
        <v>41838</v>
      </c>
      <c r="J76" t="s">
        <v>27</v>
      </c>
      <c r="K76" s="2">
        <v>41871.13546967592</v>
      </c>
      <c r="L76" t="s">
        <v>60</v>
      </c>
      <c r="M76">
        <v>429260</v>
      </c>
      <c r="N76">
        <v>3</v>
      </c>
      <c r="O76">
        <v>3</v>
      </c>
      <c r="P76">
        <v>3</v>
      </c>
      <c r="Q76">
        <v>3</v>
      </c>
      <c r="R76">
        <v>1444</v>
      </c>
      <c r="S76" t="s">
        <v>2645</v>
      </c>
      <c r="T76" t="s">
        <v>2646</v>
      </c>
      <c r="U76" t="s">
        <v>2647</v>
      </c>
      <c r="W76" t="s">
        <v>2648</v>
      </c>
      <c r="X76" t="s">
        <v>1396</v>
      </c>
    </row>
    <row r="77" spans="1:24" ht="12.75">
      <c r="A77" s="1" t="str">
        <f>HYPERLINK("http://www.ofsted.gov.uk/inspection-reports/find-inspection-report/provider/ELS/50586","Ofsted FES Webpage")</f>
        <v>Ofsted FES Webpage</v>
      </c>
      <c r="B77" t="s">
        <v>168</v>
      </c>
      <c r="C77">
        <v>50586</v>
      </c>
      <c r="D77">
        <v>105360</v>
      </c>
      <c r="E77" t="s">
        <v>109</v>
      </c>
      <c r="F77" t="s">
        <v>16</v>
      </c>
      <c r="G77" t="s">
        <v>17</v>
      </c>
      <c r="H77" s="2">
        <v>40861</v>
      </c>
      <c r="I77" s="2">
        <v>40865</v>
      </c>
      <c r="J77" t="s">
        <v>23</v>
      </c>
      <c r="K77" s="2">
        <v>40900.13545667824</v>
      </c>
      <c r="L77" t="s">
        <v>29</v>
      </c>
      <c r="M77">
        <v>375547</v>
      </c>
      <c r="N77">
        <v>2</v>
      </c>
      <c r="O77">
        <v>2</v>
      </c>
      <c r="P77">
        <v>2</v>
      </c>
      <c r="Q77">
        <v>2</v>
      </c>
      <c r="R77">
        <v>3465</v>
      </c>
      <c r="S77" t="s">
        <v>2649</v>
      </c>
      <c r="T77" t="s">
        <v>2650</v>
      </c>
      <c r="W77" t="s">
        <v>109</v>
      </c>
      <c r="X77" t="s">
        <v>1397</v>
      </c>
    </row>
    <row r="78" spans="1:24" ht="12.75">
      <c r="A78" s="1" t="str">
        <f>HYPERLINK("http://www.ofsted.gov.uk/inspection-reports/find-inspection-report/provider/ELS/50592","Ofsted FES Webpage")</f>
        <v>Ofsted FES Webpage</v>
      </c>
      <c r="B78" t="s">
        <v>169</v>
      </c>
      <c r="C78">
        <v>50592</v>
      </c>
      <c r="D78">
        <v>108629</v>
      </c>
      <c r="E78" t="s">
        <v>170</v>
      </c>
      <c r="F78" t="s">
        <v>68</v>
      </c>
      <c r="G78" t="s">
        <v>160</v>
      </c>
      <c r="H78" s="2">
        <v>40343</v>
      </c>
      <c r="I78" s="2">
        <v>40347</v>
      </c>
      <c r="J78" t="s">
        <v>18</v>
      </c>
      <c r="K78" s="2">
        <v>40374.13553521991</v>
      </c>
      <c r="L78" t="s">
        <v>29</v>
      </c>
      <c r="M78">
        <v>345916</v>
      </c>
      <c r="N78">
        <v>1</v>
      </c>
      <c r="O78">
        <v>2</v>
      </c>
      <c r="P78">
        <v>2</v>
      </c>
      <c r="Q78">
        <v>2</v>
      </c>
      <c r="R78">
        <v>683</v>
      </c>
      <c r="S78" t="s">
        <v>2652</v>
      </c>
      <c r="T78" t="s">
        <v>2653</v>
      </c>
      <c r="U78" t="s">
        <v>2654</v>
      </c>
      <c r="W78" t="s">
        <v>2655</v>
      </c>
      <c r="X78" t="s">
        <v>1398</v>
      </c>
    </row>
    <row r="79" spans="1:24" ht="12.75">
      <c r="A79" s="1" t="str">
        <f>HYPERLINK("http://www.ofsted.gov.uk/inspection-reports/find-inspection-report/provider/ELS/50604","Ofsted FES Webpage")</f>
        <v>Ofsted FES Webpage</v>
      </c>
      <c r="B79" t="s">
        <v>171</v>
      </c>
      <c r="C79">
        <v>50604</v>
      </c>
      <c r="D79">
        <v>106160</v>
      </c>
      <c r="E79" t="s">
        <v>172</v>
      </c>
      <c r="F79" t="s">
        <v>26</v>
      </c>
      <c r="G79" t="s">
        <v>40</v>
      </c>
      <c r="H79" s="2">
        <v>41834</v>
      </c>
      <c r="I79" s="2">
        <v>41838</v>
      </c>
      <c r="J79" t="s">
        <v>27</v>
      </c>
      <c r="K79" s="2">
        <v>41871.13547916667</v>
      </c>
      <c r="L79" t="s">
        <v>36</v>
      </c>
      <c r="M79">
        <v>434035</v>
      </c>
      <c r="N79">
        <v>3</v>
      </c>
      <c r="O79">
        <v>3</v>
      </c>
      <c r="P79">
        <v>3</v>
      </c>
      <c r="Q79">
        <v>3</v>
      </c>
      <c r="R79">
        <v>751</v>
      </c>
      <c r="S79">
        <v>2</v>
      </c>
      <c r="T79" t="s">
        <v>2656</v>
      </c>
      <c r="U79" t="s">
        <v>35</v>
      </c>
      <c r="X79" t="s">
        <v>1399</v>
      </c>
    </row>
    <row r="80" spans="1:24" ht="12.75">
      <c r="A80" s="1" t="str">
        <f>HYPERLINK("http://www.ofsted.gov.uk/inspection-reports/find-inspection-report/provider/ELS/50609","Ofsted FES Webpage")</f>
        <v>Ofsted FES Webpage</v>
      </c>
      <c r="B80" t="s">
        <v>173</v>
      </c>
      <c r="C80">
        <v>50609</v>
      </c>
      <c r="D80">
        <v>107015</v>
      </c>
      <c r="E80" t="s">
        <v>174</v>
      </c>
      <c r="F80" t="s">
        <v>26</v>
      </c>
      <c r="G80" t="s">
        <v>40</v>
      </c>
      <c r="H80" s="2">
        <v>41247</v>
      </c>
      <c r="I80" s="2">
        <v>41250</v>
      </c>
      <c r="J80" t="s">
        <v>32</v>
      </c>
      <c r="K80" s="2">
        <v>41290.135471215275</v>
      </c>
      <c r="L80" t="s">
        <v>45</v>
      </c>
      <c r="M80">
        <v>399156</v>
      </c>
      <c r="N80">
        <v>2</v>
      </c>
      <c r="O80">
        <v>2</v>
      </c>
      <c r="P80">
        <v>2</v>
      </c>
      <c r="Q80">
        <v>2</v>
      </c>
      <c r="R80">
        <v>4101</v>
      </c>
      <c r="S80" t="s">
        <v>2657</v>
      </c>
      <c r="T80" t="s">
        <v>2658</v>
      </c>
      <c r="U80" t="s">
        <v>174</v>
      </c>
      <c r="V80" t="s">
        <v>2586</v>
      </c>
      <c r="X80" t="s">
        <v>1400</v>
      </c>
    </row>
    <row r="81" spans="1:24" ht="12.75">
      <c r="A81" s="1" t="str">
        <f>HYPERLINK("http://www.ofsted.gov.uk/inspection-reports/find-inspection-report/provider/ELS/50621","Ofsted FES Webpage")</f>
        <v>Ofsted FES Webpage</v>
      </c>
      <c r="B81" t="s">
        <v>175</v>
      </c>
      <c r="C81">
        <v>50621</v>
      </c>
      <c r="D81">
        <v>107690</v>
      </c>
      <c r="E81" t="s">
        <v>59</v>
      </c>
      <c r="F81" t="s">
        <v>43</v>
      </c>
      <c r="G81" t="s">
        <v>40</v>
      </c>
      <c r="H81" s="2">
        <v>41226</v>
      </c>
      <c r="I81" s="2">
        <v>41229</v>
      </c>
      <c r="J81" t="s">
        <v>32</v>
      </c>
      <c r="K81" s="2">
        <v>41264.13573229167</v>
      </c>
      <c r="L81" t="s">
        <v>36</v>
      </c>
      <c r="M81">
        <v>404581</v>
      </c>
      <c r="N81">
        <v>2</v>
      </c>
      <c r="O81">
        <v>2</v>
      </c>
      <c r="P81">
        <v>2</v>
      </c>
      <c r="Q81">
        <v>2</v>
      </c>
      <c r="R81">
        <v>261</v>
      </c>
      <c r="S81" t="s">
        <v>2660</v>
      </c>
      <c r="T81" t="s">
        <v>2661</v>
      </c>
      <c r="V81" t="s">
        <v>2633</v>
      </c>
      <c r="W81" t="s">
        <v>59</v>
      </c>
      <c r="X81" t="s">
        <v>1401</v>
      </c>
    </row>
    <row r="82" spans="1:24" ht="12.75">
      <c r="A82" s="1" t="str">
        <f>HYPERLINK("http://www.ofsted.gov.uk/inspection-reports/find-inspection-report/provider/ELS/50656","Ofsted FES Webpage")</f>
        <v>Ofsted FES Webpage</v>
      </c>
      <c r="B82" t="s">
        <v>176</v>
      </c>
      <c r="C82">
        <v>50656</v>
      </c>
      <c r="D82">
        <v>106343</v>
      </c>
      <c r="E82" t="s">
        <v>106</v>
      </c>
      <c r="F82" t="s">
        <v>49</v>
      </c>
      <c r="G82" t="s">
        <v>17</v>
      </c>
      <c r="H82" s="2">
        <v>41568</v>
      </c>
      <c r="I82" s="2">
        <v>41571</v>
      </c>
      <c r="J82" t="s">
        <v>27</v>
      </c>
      <c r="K82" s="2">
        <v>41597.13575810185</v>
      </c>
      <c r="L82" t="s">
        <v>36</v>
      </c>
      <c r="M82">
        <v>429000</v>
      </c>
      <c r="N82">
        <v>2</v>
      </c>
      <c r="O82">
        <v>2</v>
      </c>
      <c r="P82">
        <v>2</v>
      </c>
      <c r="Q82">
        <v>2</v>
      </c>
      <c r="R82">
        <v>81</v>
      </c>
      <c r="S82" t="s">
        <v>2670</v>
      </c>
      <c r="T82" t="s">
        <v>2671</v>
      </c>
      <c r="U82" t="s">
        <v>2672</v>
      </c>
      <c r="V82" t="s">
        <v>106</v>
      </c>
      <c r="X82" t="s">
        <v>1402</v>
      </c>
    </row>
    <row r="83" spans="1:24" ht="12.75">
      <c r="A83" s="1" t="str">
        <f>HYPERLINK("http://www.ofsted.gov.uk/inspection-reports/find-inspection-report/provider/ELS/50713","Ofsted FES Webpage")</f>
        <v>Ofsted FES Webpage</v>
      </c>
      <c r="B83" t="s">
        <v>177</v>
      </c>
      <c r="C83">
        <v>50713</v>
      </c>
      <c r="D83">
        <v>107658</v>
      </c>
      <c r="E83" t="s">
        <v>106</v>
      </c>
      <c r="F83" t="s">
        <v>49</v>
      </c>
      <c r="G83" t="s">
        <v>17</v>
      </c>
      <c r="H83" s="2">
        <v>41688</v>
      </c>
      <c r="I83" s="2">
        <v>41691</v>
      </c>
      <c r="J83" t="s">
        <v>27</v>
      </c>
      <c r="K83" s="2">
        <v>41726.135489849534</v>
      </c>
      <c r="L83" t="s">
        <v>60</v>
      </c>
      <c r="M83">
        <v>429219</v>
      </c>
      <c r="N83">
        <v>3</v>
      </c>
      <c r="O83">
        <v>3</v>
      </c>
      <c r="P83">
        <v>3</v>
      </c>
      <c r="Q83">
        <v>3</v>
      </c>
      <c r="R83">
        <v>211</v>
      </c>
      <c r="T83" t="s">
        <v>2676</v>
      </c>
      <c r="U83" t="s">
        <v>2522</v>
      </c>
      <c r="W83" t="s">
        <v>106</v>
      </c>
      <c r="X83" t="s">
        <v>1403</v>
      </c>
    </row>
    <row r="84" spans="1:24" ht="12.75">
      <c r="A84" s="1" t="str">
        <f>HYPERLINK("http://www.ofsted.gov.uk/inspection-reports/find-inspection-report/provider/ELS/50729","Ofsted FES Webpage")</f>
        <v>Ofsted FES Webpage</v>
      </c>
      <c r="B84" t="s">
        <v>178</v>
      </c>
      <c r="C84">
        <v>50729</v>
      </c>
      <c r="D84">
        <v>111994</v>
      </c>
      <c r="E84" t="s">
        <v>179</v>
      </c>
      <c r="F84" t="s">
        <v>49</v>
      </c>
      <c r="G84" t="s">
        <v>17</v>
      </c>
      <c r="H84" s="2">
        <v>41029</v>
      </c>
      <c r="I84" s="2">
        <v>41033</v>
      </c>
      <c r="J84" t="s">
        <v>23</v>
      </c>
      <c r="K84" s="2">
        <v>41073.135617280095</v>
      </c>
      <c r="L84" t="s">
        <v>29</v>
      </c>
      <c r="M84">
        <v>388125</v>
      </c>
      <c r="N84">
        <v>2</v>
      </c>
      <c r="O84">
        <v>2</v>
      </c>
      <c r="P84">
        <v>3</v>
      </c>
      <c r="Q84">
        <v>3</v>
      </c>
      <c r="R84">
        <v>7691</v>
      </c>
      <c r="S84" t="s">
        <v>2678</v>
      </c>
      <c r="T84" t="s">
        <v>2679</v>
      </c>
      <c r="W84" t="s">
        <v>2396</v>
      </c>
      <c r="X84" t="s">
        <v>1404</v>
      </c>
    </row>
    <row r="85" spans="1:24" ht="12.75">
      <c r="A85" s="1" t="str">
        <f>HYPERLINK("http://www.ofsted.gov.uk/inspection-reports/find-inspection-report/provider/ELS/50732","Ofsted FES Webpage")</f>
        <v>Ofsted FES Webpage</v>
      </c>
      <c r="B85" t="s">
        <v>180</v>
      </c>
      <c r="C85">
        <v>50732</v>
      </c>
      <c r="D85">
        <v>115093</v>
      </c>
      <c r="E85" t="s">
        <v>181</v>
      </c>
      <c r="F85" t="s">
        <v>68</v>
      </c>
      <c r="G85" t="s">
        <v>40</v>
      </c>
      <c r="H85" s="2">
        <v>40210</v>
      </c>
      <c r="I85" s="2">
        <v>40214</v>
      </c>
      <c r="J85" t="s">
        <v>18</v>
      </c>
      <c r="K85" s="2">
        <v>40249.13553599537</v>
      </c>
      <c r="L85" t="s">
        <v>45</v>
      </c>
      <c r="M85">
        <v>343845</v>
      </c>
      <c r="N85">
        <v>2</v>
      </c>
      <c r="O85">
        <v>2</v>
      </c>
      <c r="P85">
        <v>2</v>
      </c>
      <c r="Q85">
        <v>2</v>
      </c>
      <c r="R85">
        <v>2947</v>
      </c>
      <c r="T85" t="s">
        <v>2462</v>
      </c>
      <c r="U85" t="s">
        <v>2569</v>
      </c>
      <c r="V85" t="s">
        <v>2680</v>
      </c>
      <c r="W85" t="s">
        <v>2681</v>
      </c>
      <c r="X85" t="s">
        <v>1405</v>
      </c>
    </row>
    <row r="86" spans="1:24" ht="12.75">
      <c r="A86" s="1" t="str">
        <f>HYPERLINK("http://www.ofsted.gov.uk/inspection-reports/find-inspection-report/provider/ELS/50737","Ofsted FES Webpage")</f>
        <v>Ofsted FES Webpage</v>
      </c>
      <c r="B86" t="s">
        <v>182</v>
      </c>
      <c r="C86">
        <v>50737</v>
      </c>
      <c r="D86">
        <v>115094</v>
      </c>
      <c r="E86" t="s">
        <v>183</v>
      </c>
      <c r="F86" t="s">
        <v>68</v>
      </c>
      <c r="G86" t="s">
        <v>40</v>
      </c>
      <c r="H86" s="2">
        <v>41310</v>
      </c>
      <c r="I86" s="2">
        <v>41313</v>
      </c>
      <c r="J86" t="s">
        <v>32</v>
      </c>
      <c r="K86" s="2">
        <v>41346.13565887731</v>
      </c>
      <c r="L86" t="s">
        <v>45</v>
      </c>
      <c r="M86">
        <v>404218</v>
      </c>
      <c r="N86">
        <v>2</v>
      </c>
      <c r="O86">
        <v>2</v>
      </c>
      <c r="P86">
        <v>3</v>
      </c>
      <c r="Q86">
        <v>3</v>
      </c>
      <c r="R86">
        <v>3553</v>
      </c>
      <c r="S86" t="s">
        <v>2682</v>
      </c>
      <c r="W86" t="s">
        <v>183</v>
      </c>
      <c r="X86" t="s">
        <v>1406</v>
      </c>
    </row>
    <row r="87" spans="1:24" ht="12.75">
      <c r="A87" s="1" t="str">
        <f>HYPERLINK("http://www.ofsted.gov.uk/inspection-reports/find-inspection-report/provider/ELS/50743","Ofsted FES Webpage")</f>
        <v>Ofsted FES Webpage</v>
      </c>
      <c r="B87" t="s">
        <v>184</v>
      </c>
      <c r="C87">
        <v>50743</v>
      </c>
      <c r="D87">
        <v>119224</v>
      </c>
      <c r="E87" t="s">
        <v>185</v>
      </c>
      <c r="F87" t="s">
        <v>35</v>
      </c>
      <c r="G87" t="s">
        <v>17</v>
      </c>
      <c r="H87" s="2">
        <v>41304</v>
      </c>
      <c r="I87" s="2">
        <v>41306</v>
      </c>
      <c r="J87" t="s">
        <v>32</v>
      </c>
      <c r="K87" s="2">
        <v>41341.13566446759</v>
      </c>
      <c r="L87" t="s">
        <v>45</v>
      </c>
      <c r="M87">
        <v>404216</v>
      </c>
      <c r="N87">
        <v>2</v>
      </c>
      <c r="O87">
        <v>3</v>
      </c>
      <c r="P87">
        <v>3</v>
      </c>
      <c r="Q87">
        <v>3</v>
      </c>
      <c r="R87">
        <v>11</v>
      </c>
      <c r="S87" t="s">
        <v>2683</v>
      </c>
      <c r="W87" t="s">
        <v>35</v>
      </c>
      <c r="X87" t="s">
        <v>1407</v>
      </c>
    </row>
    <row r="88" spans="1:24" ht="12.75">
      <c r="A88" s="1" t="str">
        <f>HYPERLINK("http://www.ofsted.gov.uk/inspection-reports/find-inspection-report/provider/ELS/50766","Ofsted FES Webpage")</f>
        <v>Ofsted FES Webpage</v>
      </c>
      <c r="B88" t="s">
        <v>186</v>
      </c>
      <c r="C88">
        <v>50766</v>
      </c>
      <c r="D88">
        <v>116165</v>
      </c>
      <c r="E88" t="s">
        <v>128</v>
      </c>
      <c r="F88" t="s">
        <v>68</v>
      </c>
      <c r="G88" t="s">
        <v>40</v>
      </c>
      <c r="H88" s="2">
        <v>40308</v>
      </c>
      <c r="I88" s="2">
        <v>40312</v>
      </c>
      <c r="J88" t="s">
        <v>18</v>
      </c>
      <c r="K88" s="2">
        <v>40347.13552384259</v>
      </c>
      <c r="L88" t="s">
        <v>45</v>
      </c>
      <c r="M88">
        <v>342352</v>
      </c>
      <c r="N88">
        <v>2</v>
      </c>
      <c r="O88">
        <v>2</v>
      </c>
      <c r="P88">
        <v>2</v>
      </c>
      <c r="Q88">
        <v>2</v>
      </c>
      <c r="R88">
        <v>6276</v>
      </c>
      <c r="S88" t="s">
        <v>2569</v>
      </c>
      <c r="T88" t="s">
        <v>2688</v>
      </c>
      <c r="U88" t="s">
        <v>128</v>
      </c>
      <c r="X88" t="s">
        <v>1408</v>
      </c>
    </row>
    <row r="89" spans="1:24" ht="12.75">
      <c r="A89" s="1" t="str">
        <f>HYPERLINK("http://www.ofsted.gov.uk/inspection-reports/find-inspection-report/provider/ELS/50782","Ofsted FES Webpage")</f>
        <v>Ofsted FES Webpage</v>
      </c>
      <c r="B89" t="s">
        <v>187</v>
      </c>
      <c r="C89">
        <v>50782</v>
      </c>
      <c r="D89">
        <v>106778</v>
      </c>
      <c r="E89" t="s">
        <v>188</v>
      </c>
      <c r="F89" t="s">
        <v>35</v>
      </c>
      <c r="G89" t="s">
        <v>17</v>
      </c>
      <c r="H89" s="2">
        <v>41695</v>
      </c>
      <c r="I89" s="2">
        <v>41698</v>
      </c>
      <c r="J89" t="s">
        <v>27</v>
      </c>
      <c r="K89" s="2">
        <v>41731.13546226852</v>
      </c>
      <c r="L89" t="s">
        <v>36</v>
      </c>
      <c r="M89">
        <v>423756</v>
      </c>
      <c r="N89">
        <v>3</v>
      </c>
      <c r="O89">
        <v>3</v>
      </c>
      <c r="P89">
        <v>2</v>
      </c>
      <c r="Q89">
        <v>2</v>
      </c>
      <c r="R89">
        <v>101</v>
      </c>
      <c r="T89" t="s">
        <v>2690</v>
      </c>
      <c r="U89" t="s">
        <v>2691</v>
      </c>
      <c r="W89" t="s">
        <v>35</v>
      </c>
      <c r="X89" t="s">
        <v>1409</v>
      </c>
    </row>
    <row r="90" spans="1:24" ht="12.75">
      <c r="A90" s="1" t="str">
        <f>HYPERLINK("http://www.ofsted.gov.uk/inspection-reports/find-inspection-report/provider/ELS/50795","Ofsted FES Webpage")</f>
        <v>Ofsted FES Webpage</v>
      </c>
      <c r="B90" t="s">
        <v>189</v>
      </c>
      <c r="C90">
        <v>50795</v>
      </c>
      <c r="D90">
        <v>109371</v>
      </c>
      <c r="E90" t="s">
        <v>190</v>
      </c>
      <c r="F90" t="s">
        <v>43</v>
      </c>
      <c r="G90" t="s">
        <v>17</v>
      </c>
      <c r="H90" s="2">
        <v>40442</v>
      </c>
      <c r="I90" s="2">
        <v>40445</v>
      </c>
      <c r="J90" t="s">
        <v>56</v>
      </c>
      <c r="K90" s="2">
        <v>40476.1056471412</v>
      </c>
      <c r="L90" t="s">
        <v>19</v>
      </c>
      <c r="M90">
        <v>363609</v>
      </c>
      <c r="N90">
        <v>2</v>
      </c>
      <c r="O90">
        <v>2</v>
      </c>
      <c r="P90" t="s">
        <v>20</v>
      </c>
      <c r="Q90" t="s">
        <v>20</v>
      </c>
      <c r="R90">
        <v>800</v>
      </c>
      <c r="S90" t="s">
        <v>2694</v>
      </c>
      <c r="T90" t="s">
        <v>2695</v>
      </c>
      <c r="U90" t="s">
        <v>190</v>
      </c>
      <c r="X90" t="s">
        <v>1410</v>
      </c>
    </row>
    <row r="91" spans="1:24" ht="12.75">
      <c r="A91" s="1" t="str">
        <f>HYPERLINK("http://www.ofsted.gov.uk/inspection-reports/find-inspection-report/provider/ELS/50798","Ofsted FES Webpage")</f>
        <v>Ofsted FES Webpage</v>
      </c>
      <c r="B91" t="s">
        <v>191</v>
      </c>
      <c r="C91">
        <v>50798</v>
      </c>
      <c r="D91">
        <v>112020</v>
      </c>
      <c r="E91" t="s">
        <v>192</v>
      </c>
      <c r="F91" t="s">
        <v>43</v>
      </c>
      <c r="G91" t="s">
        <v>40</v>
      </c>
      <c r="H91" s="2">
        <v>41234</v>
      </c>
      <c r="I91" s="2">
        <v>41236</v>
      </c>
      <c r="J91" t="s">
        <v>32</v>
      </c>
      <c r="K91" s="2">
        <v>41275.13547017361</v>
      </c>
      <c r="L91" t="s">
        <v>45</v>
      </c>
      <c r="M91">
        <v>408817</v>
      </c>
      <c r="N91">
        <v>2</v>
      </c>
      <c r="O91">
        <v>2</v>
      </c>
      <c r="P91">
        <v>3</v>
      </c>
      <c r="Q91">
        <v>3</v>
      </c>
      <c r="R91">
        <v>1768</v>
      </c>
      <c r="T91" t="s">
        <v>2696</v>
      </c>
      <c r="U91" t="s">
        <v>2697</v>
      </c>
      <c r="V91" t="s">
        <v>2698</v>
      </c>
      <c r="W91" t="s">
        <v>2686</v>
      </c>
      <c r="X91" t="s">
        <v>1411</v>
      </c>
    </row>
    <row r="92" spans="1:24" ht="12.75">
      <c r="A92" s="1" t="str">
        <f>HYPERLINK("http://www.ofsted.gov.uk/inspection-reports/find-inspection-report/provider/ELS/50806","Ofsted FES Webpage")</f>
        <v>Ofsted FES Webpage</v>
      </c>
      <c r="B92" t="s">
        <v>193</v>
      </c>
      <c r="C92">
        <v>50806</v>
      </c>
      <c r="D92">
        <v>108791</v>
      </c>
      <c r="E92" t="s">
        <v>31</v>
      </c>
      <c r="F92" t="s">
        <v>26</v>
      </c>
      <c r="G92" t="s">
        <v>40</v>
      </c>
      <c r="H92" s="2">
        <v>41723</v>
      </c>
      <c r="I92" s="2">
        <v>41725</v>
      </c>
      <c r="J92" t="s">
        <v>27</v>
      </c>
      <c r="K92" s="2">
        <v>41757.13547353009</v>
      </c>
      <c r="L92" t="s">
        <v>45</v>
      </c>
      <c r="M92">
        <v>429146</v>
      </c>
      <c r="N92">
        <v>2</v>
      </c>
      <c r="O92">
        <v>2</v>
      </c>
      <c r="P92">
        <v>3</v>
      </c>
      <c r="Q92">
        <v>2</v>
      </c>
      <c r="R92">
        <v>725</v>
      </c>
      <c r="S92" t="s">
        <v>2700</v>
      </c>
      <c r="T92" t="s">
        <v>31</v>
      </c>
      <c r="U92" t="s">
        <v>2389</v>
      </c>
      <c r="X92" t="s">
        <v>1412</v>
      </c>
    </row>
    <row r="93" spans="1:24" ht="12.75">
      <c r="A93" s="1" t="str">
        <f>HYPERLINK("http://www.ofsted.gov.uk/inspection-reports/find-inspection-report/provider/ELS/50809","Ofsted FES Webpage")</f>
        <v>Ofsted FES Webpage</v>
      </c>
      <c r="B93" t="s">
        <v>194</v>
      </c>
      <c r="C93">
        <v>50809</v>
      </c>
      <c r="D93">
        <v>107148</v>
      </c>
      <c r="E93" t="s">
        <v>31</v>
      </c>
      <c r="F93" t="s">
        <v>26</v>
      </c>
      <c r="G93" t="s">
        <v>40</v>
      </c>
      <c r="H93" s="2">
        <v>40414</v>
      </c>
      <c r="I93" s="2">
        <v>40417</v>
      </c>
      <c r="J93" t="s">
        <v>18</v>
      </c>
      <c r="K93" s="2">
        <v>40452.135555787034</v>
      </c>
      <c r="L93" t="s">
        <v>19</v>
      </c>
      <c r="M93">
        <v>363056</v>
      </c>
      <c r="N93">
        <v>2</v>
      </c>
      <c r="O93">
        <v>2</v>
      </c>
      <c r="P93">
        <v>3</v>
      </c>
      <c r="Q93">
        <v>3</v>
      </c>
      <c r="R93">
        <v>437</v>
      </c>
      <c r="S93" t="s">
        <v>2702</v>
      </c>
      <c r="T93" t="s">
        <v>2703</v>
      </c>
      <c r="U93" t="s">
        <v>31</v>
      </c>
      <c r="V93" t="s">
        <v>2389</v>
      </c>
      <c r="X93" t="s">
        <v>1413</v>
      </c>
    </row>
    <row r="94" spans="1:24" ht="12.75">
      <c r="A94" s="1" t="str">
        <f>HYPERLINK("http://www.ofsted.gov.uk/inspection-reports/find-inspection-report/provider/ELS/50827","Ofsted FES Webpage")</f>
        <v>Ofsted FES Webpage</v>
      </c>
      <c r="B94" t="s">
        <v>195</v>
      </c>
      <c r="C94">
        <v>50827</v>
      </c>
      <c r="D94">
        <v>106578</v>
      </c>
      <c r="E94" t="s">
        <v>65</v>
      </c>
      <c r="F94" t="s">
        <v>63</v>
      </c>
      <c r="G94" t="s">
        <v>17</v>
      </c>
      <c r="H94" s="2">
        <v>41653</v>
      </c>
      <c r="I94" s="2">
        <v>41656</v>
      </c>
      <c r="J94" t="s">
        <v>27</v>
      </c>
      <c r="K94" s="2">
        <v>41691.13545396991</v>
      </c>
      <c r="L94" t="s">
        <v>36</v>
      </c>
      <c r="M94">
        <v>429103</v>
      </c>
      <c r="N94">
        <v>3</v>
      </c>
      <c r="O94">
        <v>3</v>
      </c>
      <c r="P94">
        <v>2</v>
      </c>
      <c r="Q94">
        <v>2</v>
      </c>
      <c r="R94">
        <v>359</v>
      </c>
      <c r="S94" t="s">
        <v>2526</v>
      </c>
      <c r="T94" t="s">
        <v>2705</v>
      </c>
      <c r="U94" t="s">
        <v>2706</v>
      </c>
      <c r="W94" t="s">
        <v>2458</v>
      </c>
      <c r="X94" t="s">
        <v>1414</v>
      </c>
    </row>
    <row r="95" spans="1:24" ht="12.75">
      <c r="A95" s="1" t="str">
        <f>HYPERLINK("http://www.ofsted.gov.uk/inspection-reports/find-inspection-report/provider/ELS/50835","Ofsted FES Webpage")</f>
        <v>Ofsted FES Webpage</v>
      </c>
      <c r="B95" t="s">
        <v>196</v>
      </c>
      <c r="C95">
        <v>50835</v>
      </c>
      <c r="D95">
        <v>110173</v>
      </c>
      <c r="E95" t="s">
        <v>197</v>
      </c>
      <c r="F95" t="s">
        <v>43</v>
      </c>
      <c r="G95" t="s">
        <v>40</v>
      </c>
      <c r="H95" s="2">
        <v>40217</v>
      </c>
      <c r="I95" s="2">
        <v>40221</v>
      </c>
      <c r="J95" t="s">
        <v>18</v>
      </c>
      <c r="K95" s="2">
        <v>40252.135530011576</v>
      </c>
      <c r="L95" t="s">
        <v>45</v>
      </c>
      <c r="M95">
        <v>333091</v>
      </c>
      <c r="N95">
        <v>2</v>
      </c>
      <c r="O95">
        <v>3</v>
      </c>
      <c r="P95">
        <v>2</v>
      </c>
      <c r="Q95">
        <v>2</v>
      </c>
      <c r="R95">
        <v>588</v>
      </c>
      <c r="S95" t="s">
        <v>2707</v>
      </c>
      <c r="T95" t="s">
        <v>2708</v>
      </c>
      <c r="U95" t="s">
        <v>2459</v>
      </c>
      <c r="X95" t="s">
        <v>1415</v>
      </c>
    </row>
    <row r="96" spans="1:24" ht="12.75">
      <c r="A96" s="1" t="str">
        <f>HYPERLINK("http://www.ofsted.gov.uk/inspection-reports/find-inspection-report/provider/ELS/50846","Ofsted FES Webpage")</f>
        <v>Ofsted FES Webpage</v>
      </c>
      <c r="B96" t="s">
        <v>198</v>
      </c>
      <c r="C96">
        <v>50846</v>
      </c>
      <c r="D96">
        <v>108133</v>
      </c>
      <c r="E96" t="s">
        <v>199</v>
      </c>
      <c r="F96" t="s">
        <v>63</v>
      </c>
      <c r="G96" t="s">
        <v>40</v>
      </c>
      <c r="H96" s="2">
        <v>41022</v>
      </c>
      <c r="I96" s="2">
        <v>41026</v>
      </c>
      <c r="J96" t="s">
        <v>23</v>
      </c>
      <c r="K96" s="2">
        <v>41075.13561258102</v>
      </c>
      <c r="L96" t="s">
        <v>45</v>
      </c>
      <c r="M96">
        <v>387988</v>
      </c>
      <c r="N96">
        <v>2</v>
      </c>
      <c r="O96">
        <v>2</v>
      </c>
      <c r="P96">
        <v>2</v>
      </c>
      <c r="Q96">
        <v>2</v>
      </c>
      <c r="R96">
        <v>4942</v>
      </c>
      <c r="S96" t="s">
        <v>2710</v>
      </c>
      <c r="T96" t="s">
        <v>2711</v>
      </c>
      <c r="W96" t="s">
        <v>2484</v>
      </c>
      <c r="X96" t="s">
        <v>1416</v>
      </c>
    </row>
    <row r="97" spans="1:24" ht="12.75">
      <c r="A97" s="1" t="str">
        <f>HYPERLINK("http://www.ofsted.gov.uk/inspection-reports/find-inspection-report/provider/ELS/50855","Ofsted FES Webpage")</f>
        <v>Ofsted FES Webpage</v>
      </c>
      <c r="B97" t="s">
        <v>200</v>
      </c>
      <c r="C97">
        <v>50855</v>
      </c>
      <c r="D97">
        <v>109374</v>
      </c>
      <c r="E97" t="s">
        <v>201</v>
      </c>
      <c r="F97" t="s">
        <v>26</v>
      </c>
      <c r="G97" t="s">
        <v>160</v>
      </c>
      <c r="H97" s="2">
        <v>39272</v>
      </c>
      <c r="I97" s="2">
        <v>39275</v>
      </c>
      <c r="J97" t="s">
        <v>100</v>
      </c>
      <c r="K97" s="2">
        <v>39308.33848668981</v>
      </c>
      <c r="L97" t="s">
        <v>19</v>
      </c>
      <c r="M97">
        <v>317802</v>
      </c>
      <c r="N97">
        <v>1</v>
      </c>
      <c r="O97">
        <v>1</v>
      </c>
      <c r="P97" t="s">
        <v>20</v>
      </c>
      <c r="Q97" t="s">
        <v>20</v>
      </c>
      <c r="R97">
        <v>463</v>
      </c>
      <c r="S97" t="s">
        <v>2712</v>
      </c>
      <c r="T97" t="s">
        <v>2713</v>
      </c>
      <c r="U97" t="s">
        <v>2714</v>
      </c>
      <c r="W97" t="s">
        <v>201</v>
      </c>
      <c r="X97" t="s">
        <v>1417</v>
      </c>
    </row>
    <row r="98" spans="1:24" ht="12.75">
      <c r="A98" s="1" t="str">
        <f>HYPERLINK("http://www.ofsted.gov.uk/inspection-reports/find-inspection-report/provider/ELS/50857","Ofsted FES Webpage")</f>
        <v>Ofsted FES Webpage</v>
      </c>
      <c r="B98" t="s">
        <v>202</v>
      </c>
      <c r="C98">
        <v>50857</v>
      </c>
      <c r="D98">
        <v>105458</v>
      </c>
      <c r="E98" t="s">
        <v>203</v>
      </c>
      <c r="F98" t="s">
        <v>49</v>
      </c>
      <c r="G98" t="s">
        <v>17</v>
      </c>
      <c r="H98" s="2">
        <v>41317</v>
      </c>
      <c r="I98" s="2">
        <v>41320</v>
      </c>
      <c r="J98" t="s">
        <v>32</v>
      </c>
      <c r="K98" s="2">
        <v>41361.13594259259</v>
      </c>
      <c r="L98" t="s">
        <v>29</v>
      </c>
      <c r="M98">
        <v>408526</v>
      </c>
      <c r="N98">
        <v>2</v>
      </c>
      <c r="O98">
        <v>2</v>
      </c>
      <c r="P98">
        <v>3</v>
      </c>
      <c r="Q98">
        <v>3</v>
      </c>
      <c r="R98">
        <v>813</v>
      </c>
      <c r="S98" t="s">
        <v>2715</v>
      </c>
      <c r="T98" t="s">
        <v>2716</v>
      </c>
      <c r="U98" t="s">
        <v>2717</v>
      </c>
      <c r="W98" t="s">
        <v>203</v>
      </c>
      <c r="X98" t="s">
        <v>1418</v>
      </c>
    </row>
    <row r="99" spans="1:24" ht="12.75">
      <c r="A99" s="1" t="str">
        <f>HYPERLINK("http://www.ofsted.gov.uk/inspection-reports/find-inspection-report/provider/ELS/50858","Ofsted FES Webpage")</f>
        <v>Ofsted FES Webpage</v>
      </c>
      <c r="B99" t="s">
        <v>204</v>
      </c>
      <c r="C99">
        <v>50858</v>
      </c>
      <c r="D99">
        <v>107049</v>
      </c>
      <c r="E99" t="s">
        <v>205</v>
      </c>
      <c r="F99" t="s">
        <v>39</v>
      </c>
      <c r="G99" t="s">
        <v>40</v>
      </c>
      <c r="H99" s="2">
        <v>40393</v>
      </c>
      <c r="I99" s="2">
        <v>40396</v>
      </c>
      <c r="J99" t="s">
        <v>18</v>
      </c>
      <c r="K99" s="2">
        <v>40434.13553252315</v>
      </c>
      <c r="L99" t="s">
        <v>19</v>
      </c>
      <c r="M99">
        <v>345865</v>
      </c>
      <c r="N99">
        <v>2</v>
      </c>
      <c r="O99">
        <v>2</v>
      </c>
      <c r="P99">
        <v>1</v>
      </c>
      <c r="Q99">
        <v>1</v>
      </c>
      <c r="R99">
        <v>455</v>
      </c>
      <c r="T99" t="s">
        <v>2718</v>
      </c>
      <c r="W99" t="s">
        <v>2719</v>
      </c>
      <c r="X99" t="s">
        <v>1419</v>
      </c>
    </row>
    <row r="100" spans="1:24" ht="12.75">
      <c r="A100" s="1" t="str">
        <f>HYPERLINK("http://www.ofsted.gov.uk/inspection-reports/find-inspection-report/provider/ELS/50888","Ofsted FES Webpage")</f>
        <v>Ofsted FES Webpage</v>
      </c>
      <c r="B100" t="s">
        <v>206</v>
      </c>
      <c r="C100">
        <v>50888</v>
      </c>
      <c r="D100">
        <v>108146</v>
      </c>
      <c r="E100" t="s">
        <v>207</v>
      </c>
      <c r="F100" t="s">
        <v>35</v>
      </c>
      <c r="G100" t="s">
        <v>40</v>
      </c>
      <c r="H100" s="2">
        <v>41673</v>
      </c>
      <c r="I100" s="2">
        <v>41675</v>
      </c>
      <c r="J100" t="s">
        <v>27</v>
      </c>
      <c r="K100" s="2">
        <v>41710.13547295139</v>
      </c>
      <c r="L100" t="s">
        <v>45</v>
      </c>
      <c r="M100">
        <v>429140</v>
      </c>
      <c r="N100">
        <v>2</v>
      </c>
      <c r="O100">
        <v>2</v>
      </c>
      <c r="P100">
        <v>2</v>
      </c>
      <c r="Q100">
        <v>2</v>
      </c>
      <c r="R100">
        <v>280</v>
      </c>
      <c r="T100" t="s">
        <v>2721</v>
      </c>
      <c r="W100" t="s">
        <v>35</v>
      </c>
      <c r="X100" t="s">
        <v>1420</v>
      </c>
    </row>
    <row r="101" spans="1:24" ht="12.75">
      <c r="A101" s="1" t="str">
        <f>HYPERLINK("http://www.ofsted.gov.uk/inspection-reports/find-inspection-report/provider/ELS/50893","Ofsted FES Webpage")</f>
        <v>Ofsted FES Webpage</v>
      </c>
      <c r="B101" t="s">
        <v>208</v>
      </c>
      <c r="C101">
        <v>50893</v>
      </c>
      <c r="D101">
        <v>106807</v>
      </c>
      <c r="E101" t="s">
        <v>209</v>
      </c>
      <c r="F101" t="s">
        <v>35</v>
      </c>
      <c r="G101" t="s">
        <v>17</v>
      </c>
      <c r="H101" s="2">
        <v>39671</v>
      </c>
      <c r="I101" s="2">
        <v>39673</v>
      </c>
      <c r="J101" t="s">
        <v>154</v>
      </c>
      <c r="K101" s="2">
        <v>39716.13599741898</v>
      </c>
      <c r="L101" t="s">
        <v>19</v>
      </c>
      <c r="M101">
        <v>321465</v>
      </c>
      <c r="N101">
        <v>3</v>
      </c>
      <c r="O101">
        <v>3</v>
      </c>
      <c r="P101" t="s">
        <v>20</v>
      </c>
      <c r="Q101" t="s">
        <v>20</v>
      </c>
      <c r="R101" t="s">
        <v>20</v>
      </c>
      <c r="S101" t="s">
        <v>2722</v>
      </c>
      <c r="T101" t="s">
        <v>2723</v>
      </c>
      <c r="W101" t="s">
        <v>35</v>
      </c>
      <c r="X101" t="s">
        <v>1421</v>
      </c>
    </row>
    <row r="102" spans="1:24" ht="12.75">
      <c r="A102" s="1" t="str">
        <f>HYPERLINK("http://www.ofsted.gov.uk/inspection-reports/find-inspection-report/provider/ELS/50898","Ofsted FES Webpage")</f>
        <v>Ofsted FES Webpage</v>
      </c>
      <c r="B102" t="s">
        <v>210</v>
      </c>
      <c r="C102">
        <v>50898</v>
      </c>
      <c r="D102">
        <v>108127</v>
      </c>
      <c r="E102" t="s">
        <v>211</v>
      </c>
      <c r="F102" t="s">
        <v>68</v>
      </c>
      <c r="G102" t="s">
        <v>40</v>
      </c>
      <c r="H102" s="2">
        <v>40252</v>
      </c>
      <c r="I102" s="2">
        <v>40256</v>
      </c>
      <c r="J102" t="s">
        <v>18</v>
      </c>
      <c r="K102" s="2">
        <v>40319.13552144676</v>
      </c>
      <c r="L102" t="s">
        <v>45</v>
      </c>
      <c r="M102">
        <v>342353</v>
      </c>
      <c r="N102">
        <v>2</v>
      </c>
      <c r="O102">
        <v>2</v>
      </c>
      <c r="P102">
        <v>2</v>
      </c>
      <c r="Q102">
        <v>2</v>
      </c>
      <c r="R102">
        <v>3907</v>
      </c>
      <c r="S102" t="s">
        <v>2726</v>
      </c>
      <c r="T102" t="s">
        <v>211</v>
      </c>
      <c r="W102" t="s">
        <v>170</v>
      </c>
      <c r="X102" t="s">
        <v>1422</v>
      </c>
    </row>
    <row r="103" spans="1:24" ht="12.75">
      <c r="A103" s="1" t="str">
        <f>HYPERLINK("http://www.ofsted.gov.uk/inspection-reports/find-inspection-report/provider/ELS/50936","Ofsted FES Webpage")</f>
        <v>Ofsted FES Webpage</v>
      </c>
      <c r="B103" t="s">
        <v>212</v>
      </c>
      <c r="C103">
        <v>50936</v>
      </c>
      <c r="D103">
        <v>119214</v>
      </c>
      <c r="E103" t="s">
        <v>213</v>
      </c>
      <c r="F103" t="s">
        <v>49</v>
      </c>
      <c r="G103" t="s">
        <v>160</v>
      </c>
      <c r="H103" s="2">
        <v>41198</v>
      </c>
      <c r="I103" s="2">
        <v>41201</v>
      </c>
      <c r="J103" t="s">
        <v>32</v>
      </c>
      <c r="K103" s="2">
        <v>41236.13573005787</v>
      </c>
      <c r="L103" t="s">
        <v>29</v>
      </c>
      <c r="M103">
        <v>404570</v>
      </c>
      <c r="N103">
        <v>2</v>
      </c>
      <c r="O103">
        <v>2</v>
      </c>
      <c r="P103">
        <v>3</v>
      </c>
      <c r="Q103">
        <v>3</v>
      </c>
      <c r="R103">
        <v>469</v>
      </c>
      <c r="T103" t="s">
        <v>2730</v>
      </c>
      <c r="W103" t="s">
        <v>2731</v>
      </c>
      <c r="X103" t="s">
        <v>1423</v>
      </c>
    </row>
    <row r="104" spans="1:24" ht="12.75">
      <c r="A104" s="1" t="str">
        <f>HYPERLINK("http://www.ofsted.gov.uk/inspection-reports/find-inspection-report/provider/ELS/50949","Ofsted FES Webpage")</f>
        <v>Ofsted FES Webpage</v>
      </c>
      <c r="B104" t="s">
        <v>214</v>
      </c>
      <c r="C104">
        <v>50949</v>
      </c>
      <c r="D104">
        <v>112646</v>
      </c>
      <c r="E104" t="s">
        <v>87</v>
      </c>
      <c r="F104" t="s">
        <v>26</v>
      </c>
      <c r="G104" t="s">
        <v>17</v>
      </c>
      <c r="H104" s="2">
        <v>40750</v>
      </c>
      <c r="I104" s="2">
        <v>40753</v>
      </c>
      <c r="J104" t="s">
        <v>56</v>
      </c>
      <c r="K104" s="2">
        <v>40779.13544730324</v>
      </c>
      <c r="L104" t="s">
        <v>29</v>
      </c>
      <c r="M104">
        <v>364467</v>
      </c>
      <c r="N104">
        <v>2</v>
      </c>
      <c r="O104">
        <v>2</v>
      </c>
      <c r="P104">
        <v>2</v>
      </c>
      <c r="Q104">
        <v>2</v>
      </c>
      <c r="R104">
        <v>1156</v>
      </c>
      <c r="S104" t="s">
        <v>2732</v>
      </c>
      <c r="T104" t="s">
        <v>2733</v>
      </c>
      <c r="U104" t="s">
        <v>2734</v>
      </c>
      <c r="W104" t="s">
        <v>2735</v>
      </c>
      <c r="X104" t="s">
        <v>1424</v>
      </c>
    </row>
    <row r="105" spans="1:24" ht="12.75">
      <c r="A105" s="1" t="str">
        <f>HYPERLINK("http://www.ofsted.gov.uk/inspection-reports/find-inspection-report/provider/ELS/50958","Ofsted FES Webpage")</f>
        <v>Ofsted FES Webpage</v>
      </c>
      <c r="B105" t="s">
        <v>215</v>
      </c>
      <c r="C105">
        <v>50958</v>
      </c>
      <c r="D105">
        <v>114810</v>
      </c>
      <c r="E105" t="s">
        <v>216</v>
      </c>
      <c r="F105" t="s">
        <v>26</v>
      </c>
      <c r="G105" t="s">
        <v>40</v>
      </c>
      <c r="H105" s="2">
        <v>40637</v>
      </c>
      <c r="I105" s="2">
        <v>40641</v>
      </c>
      <c r="J105" t="s">
        <v>56</v>
      </c>
      <c r="K105" s="2">
        <v>40688.1355003125</v>
      </c>
      <c r="L105" t="s">
        <v>45</v>
      </c>
      <c r="M105">
        <v>365879</v>
      </c>
      <c r="N105">
        <v>2</v>
      </c>
      <c r="O105">
        <v>2</v>
      </c>
      <c r="P105">
        <v>3</v>
      </c>
      <c r="Q105">
        <v>3</v>
      </c>
      <c r="R105">
        <v>3347</v>
      </c>
      <c r="S105" t="s">
        <v>2569</v>
      </c>
      <c r="W105" t="s">
        <v>2736</v>
      </c>
      <c r="X105" t="s">
        <v>1425</v>
      </c>
    </row>
    <row r="106" spans="1:24" ht="12.75">
      <c r="A106" s="1" t="str">
        <f>HYPERLINK("http://www.ofsted.gov.uk/inspection-reports/find-inspection-report/provider/ELS/50971","Ofsted FES Webpage")</f>
        <v>Ofsted FES Webpage</v>
      </c>
      <c r="B106" t="s">
        <v>217</v>
      </c>
      <c r="C106">
        <v>50971</v>
      </c>
      <c r="D106">
        <v>107891</v>
      </c>
      <c r="E106" t="s">
        <v>205</v>
      </c>
      <c r="F106" t="s">
        <v>39</v>
      </c>
      <c r="G106" t="s">
        <v>40</v>
      </c>
      <c r="H106" s="2">
        <v>40609</v>
      </c>
      <c r="I106" s="2">
        <v>40613</v>
      </c>
      <c r="J106" t="s">
        <v>56</v>
      </c>
      <c r="K106" s="2">
        <v>40648.135441782404</v>
      </c>
      <c r="L106" t="s">
        <v>45</v>
      </c>
      <c r="M106">
        <v>363131</v>
      </c>
      <c r="N106">
        <v>2</v>
      </c>
      <c r="O106">
        <v>2</v>
      </c>
      <c r="P106">
        <v>3</v>
      </c>
      <c r="Q106">
        <v>3</v>
      </c>
      <c r="R106">
        <v>10234</v>
      </c>
      <c r="S106" t="s">
        <v>2737</v>
      </c>
      <c r="T106" t="s">
        <v>2738</v>
      </c>
      <c r="U106" t="s">
        <v>2362</v>
      </c>
      <c r="X106" t="s">
        <v>1426</v>
      </c>
    </row>
    <row r="107" spans="1:24" ht="12.75">
      <c r="A107" s="1" t="str">
        <f>HYPERLINK("http://www.ofsted.gov.uk/inspection-reports/find-inspection-report/provider/ELS/50992","Ofsted FES Webpage")</f>
        <v>Ofsted FES Webpage</v>
      </c>
      <c r="B107" t="s">
        <v>218</v>
      </c>
      <c r="C107">
        <v>50992</v>
      </c>
      <c r="D107">
        <v>108825</v>
      </c>
      <c r="E107" t="s">
        <v>89</v>
      </c>
      <c r="F107" t="s">
        <v>16</v>
      </c>
      <c r="G107" t="s">
        <v>17</v>
      </c>
      <c r="H107" s="2">
        <v>41828</v>
      </c>
      <c r="I107" s="2">
        <v>41830</v>
      </c>
      <c r="J107" t="s">
        <v>27</v>
      </c>
      <c r="K107" s="2">
        <v>41865.13545332176</v>
      </c>
      <c r="L107" t="s">
        <v>60</v>
      </c>
      <c r="M107">
        <v>429270</v>
      </c>
      <c r="N107">
        <v>2</v>
      </c>
      <c r="O107">
        <v>2</v>
      </c>
      <c r="P107">
        <v>3</v>
      </c>
      <c r="Q107">
        <v>3</v>
      </c>
      <c r="R107">
        <v>58</v>
      </c>
      <c r="S107" t="s">
        <v>2741</v>
      </c>
      <c r="T107" t="s">
        <v>2742</v>
      </c>
      <c r="U107" t="s">
        <v>2743</v>
      </c>
      <c r="V107" t="s">
        <v>2744</v>
      </c>
      <c r="W107" t="s">
        <v>2511</v>
      </c>
      <c r="X107" t="s">
        <v>1427</v>
      </c>
    </row>
    <row r="108" spans="1:24" ht="12.75">
      <c r="A108" s="1" t="str">
        <f>HYPERLINK("http://www.ofsted.gov.uk/inspection-reports/find-inspection-report/provider/ELS/51002","Ofsted FES Webpage")</f>
        <v>Ofsted FES Webpage</v>
      </c>
      <c r="B108" t="s">
        <v>219</v>
      </c>
      <c r="C108">
        <v>51002</v>
      </c>
      <c r="D108">
        <v>108548</v>
      </c>
      <c r="E108" t="s">
        <v>220</v>
      </c>
      <c r="F108" t="s">
        <v>43</v>
      </c>
      <c r="G108" t="s">
        <v>17</v>
      </c>
      <c r="H108" s="2">
        <v>40204</v>
      </c>
      <c r="I108" s="2">
        <v>40207</v>
      </c>
      <c r="J108" t="s">
        <v>18</v>
      </c>
      <c r="K108" s="2">
        <v>40241.135529548614</v>
      </c>
      <c r="L108" t="s">
        <v>19</v>
      </c>
      <c r="M108">
        <v>343657</v>
      </c>
      <c r="N108">
        <v>2</v>
      </c>
      <c r="O108">
        <v>2</v>
      </c>
      <c r="P108">
        <v>3</v>
      </c>
      <c r="Q108">
        <v>3</v>
      </c>
      <c r="R108">
        <v>1720</v>
      </c>
      <c r="S108" t="s">
        <v>2745</v>
      </c>
      <c r="T108" t="s">
        <v>2746</v>
      </c>
      <c r="W108" t="s">
        <v>2408</v>
      </c>
      <c r="X108" t="s">
        <v>1428</v>
      </c>
    </row>
    <row r="109" spans="1:24" ht="12.75">
      <c r="A109" s="1" t="str">
        <f>HYPERLINK("http://www.ofsted.gov.uk/inspection-reports/find-inspection-report/provider/ELS/51005","Ofsted FES Webpage")</f>
        <v>Ofsted FES Webpage</v>
      </c>
      <c r="B109" t="s">
        <v>4408</v>
      </c>
      <c r="C109">
        <v>51005</v>
      </c>
      <c r="D109">
        <v>116671</v>
      </c>
      <c r="E109" t="s">
        <v>15</v>
      </c>
      <c r="F109" t="s">
        <v>16</v>
      </c>
      <c r="G109" t="s">
        <v>17</v>
      </c>
      <c r="H109" s="2">
        <v>41722</v>
      </c>
      <c r="I109" s="2">
        <v>41726</v>
      </c>
      <c r="J109" t="s">
        <v>27</v>
      </c>
      <c r="K109" s="2">
        <v>41766.13546542824</v>
      </c>
      <c r="L109" t="s">
        <v>29</v>
      </c>
      <c r="M109">
        <v>429126</v>
      </c>
      <c r="N109">
        <v>2</v>
      </c>
      <c r="O109">
        <v>2</v>
      </c>
      <c r="P109">
        <v>3</v>
      </c>
      <c r="Q109">
        <v>3</v>
      </c>
      <c r="R109">
        <v>4908</v>
      </c>
      <c r="S109" t="s">
        <v>2748</v>
      </c>
      <c r="U109" t="s">
        <v>15</v>
      </c>
      <c r="X109" t="s">
        <v>1429</v>
      </c>
    </row>
    <row r="110" spans="1:24" ht="12.75">
      <c r="A110" s="1" t="str">
        <f>HYPERLINK("http://www.ofsted.gov.uk/inspection-reports/find-inspection-report/provider/ELS/51013","Ofsted FES Webpage")</f>
        <v>Ofsted FES Webpage</v>
      </c>
      <c r="B110" t="s">
        <v>221</v>
      </c>
      <c r="C110">
        <v>51013</v>
      </c>
      <c r="D110">
        <v>116253</v>
      </c>
      <c r="E110" t="s">
        <v>222</v>
      </c>
      <c r="F110" t="s">
        <v>35</v>
      </c>
      <c r="G110" t="s">
        <v>17</v>
      </c>
      <c r="H110" s="2">
        <v>41141</v>
      </c>
      <c r="I110" s="2">
        <v>41145</v>
      </c>
      <c r="J110" t="s">
        <v>23</v>
      </c>
      <c r="K110" s="2">
        <v>41183.135440011574</v>
      </c>
      <c r="L110" t="s">
        <v>29</v>
      </c>
      <c r="M110">
        <v>387967</v>
      </c>
      <c r="N110">
        <v>3</v>
      </c>
      <c r="O110">
        <v>3</v>
      </c>
      <c r="P110">
        <v>3</v>
      </c>
      <c r="Q110">
        <v>3</v>
      </c>
      <c r="R110">
        <v>1326</v>
      </c>
      <c r="S110" t="s">
        <v>2750</v>
      </c>
      <c r="T110" t="s">
        <v>2751</v>
      </c>
      <c r="U110" t="s">
        <v>2406</v>
      </c>
      <c r="V110" t="s">
        <v>2752</v>
      </c>
      <c r="X110" t="s">
        <v>1430</v>
      </c>
    </row>
    <row r="111" spans="1:24" ht="12.75">
      <c r="A111" s="1" t="str">
        <f>HYPERLINK("http://www.ofsted.gov.uk/inspection-reports/find-inspection-report/provider/ELS/51025","Ofsted FES Webpage")</f>
        <v>Ofsted FES Webpage</v>
      </c>
      <c r="B111" t="s">
        <v>223</v>
      </c>
      <c r="C111">
        <v>51025</v>
      </c>
      <c r="D111">
        <v>115463</v>
      </c>
      <c r="E111" t="s">
        <v>31</v>
      </c>
      <c r="F111" t="s">
        <v>26</v>
      </c>
      <c r="G111" t="s">
        <v>17</v>
      </c>
      <c r="H111" s="2">
        <v>41820</v>
      </c>
      <c r="I111" s="2">
        <v>41824</v>
      </c>
      <c r="J111" t="s">
        <v>27</v>
      </c>
      <c r="K111" s="2">
        <v>41857.135461921294</v>
      </c>
      <c r="L111" t="s">
        <v>60</v>
      </c>
      <c r="M111">
        <v>429271</v>
      </c>
      <c r="N111">
        <v>3</v>
      </c>
      <c r="O111">
        <v>3</v>
      </c>
      <c r="P111">
        <v>3</v>
      </c>
      <c r="Q111">
        <v>3</v>
      </c>
      <c r="R111">
        <v>917</v>
      </c>
      <c r="S111" t="s">
        <v>2755</v>
      </c>
      <c r="T111" t="s">
        <v>2756</v>
      </c>
      <c r="W111" t="s">
        <v>31</v>
      </c>
      <c r="X111" t="s">
        <v>1431</v>
      </c>
    </row>
    <row r="112" spans="1:24" ht="12.75">
      <c r="A112" s="1" t="str">
        <f>HYPERLINK("http://www.ofsted.gov.uk/inspection-reports/find-inspection-report/provider/ELS/51030","Ofsted FES Webpage")</f>
        <v>Ofsted FES Webpage</v>
      </c>
      <c r="B112" t="s">
        <v>224</v>
      </c>
      <c r="C112">
        <v>51030</v>
      </c>
      <c r="D112">
        <v>115973</v>
      </c>
      <c r="E112" t="s">
        <v>82</v>
      </c>
      <c r="F112" t="s">
        <v>43</v>
      </c>
      <c r="G112" t="s">
        <v>225</v>
      </c>
      <c r="H112" s="2">
        <v>41470</v>
      </c>
      <c r="I112" s="2">
        <v>41474</v>
      </c>
      <c r="J112" t="s">
        <v>32</v>
      </c>
      <c r="K112" s="2">
        <v>41509.1354596875</v>
      </c>
      <c r="L112" t="s">
        <v>226</v>
      </c>
      <c r="M112">
        <v>420094</v>
      </c>
      <c r="N112">
        <v>2</v>
      </c>
      <c r="O112">
        <v>2</v>
      </c>
      <c r="P112">
        <v>3</v>
      </c>
      <c r="Q112">
        <v>3</v>
      </c>
      <c r="R112" t="s">
        <v>20</v>
      </c>
      <c r="S112" t="s">
        <v>2758</v>
      </c>
      <c r="T112" t="s">
        <v>2435</v>
      </c>
      <c r="U112" t="s">
        <v>82</v>
      </c>
      <c r="X112" t="s">
        <v>1330</v>
      </c>
    </row>
    <row r="113" spans="1:24" ht="12.75">
      <c r="A113" s="1" t="str">
        <f>HYPERLINK("http://www.ofsted.gov.uk/inspection-reports/find-inspection-report/provider/ELS/51036","Ofsted FES Webpage")</f>
        <v>Ofsted FES Webpage</v>
      </c>
      <c r="B113" t="s">
        <v>227</v>
      </c>
      <c r="C113">
        <v>51036</v>
      </c>
      <c r="D113">
        <v>109389</v>
      </c>
      <c r="E113" t="s">
        <v>228</v>
      </c>
      <c r="F113" t="s">
        <v>49</v>
      </c>
      <c r="G113" t="s">
        <v>160</v>
      </c>
      <c r="H113" s="2">
        <v>41484</v>
      </c>
      <c r="I113" s="2">
        <v>41488</v>
      </c>
      <c r="J113" t="s">
        <v>32</v>
      </c>
      <c r="K113" s="2">
        <v>41526.13562832176</v>
      </c>
      <c r="L113" t="s">
        <v>29</v>
      </c>
      <c r="M113">
        <v>410643</v>
      </c>
      <c r="N113">
        <v>2</v>
      </c>
      <c r="O113">
        <v>2</v>
      </c>
      <c r="P113">
        <v>3</v>
      </c>
      <c r="Q113">
        <v>3</v>
      </c>
      <c r="R113">
        <v>2114</v>
      </c>
      <c r="S113" t="s">
        <v>2761</v>
      </c>
      <c r="T113" t="s">
        <v>2762</v>
      </c>
      <c r="U113" t="s">
        <v>228</v>
      </c>
      <c r="X113" t="s">
        <v>1433</v>
      </c>
    </row>
    <row r="114" spans="1:24" ht="12.75">
      <c r="A114" s="1" t="str">
        <f>HYPERLINK("http://www.ofsted.gov.uk/inspection-reports/find-inspection-report/provider/ELS/51072","Ofsted FES Webpage")</f>
        <v>Ofsted FES Webpage</v>
      </c>
      <c r="B114" t="s">
        <v>229</v>
      </c>
      <c r="C114">
        <v>51072</v>
      </c>
      <c r="D114">
        <v>106548</v>
      </c>
      <c r="E114" t="s">
        <v>230</v>
      </c>
      <c r="F114" t="s">
        <v>39</v>
      </c>
      <c r="G114" t="s">
        <v>17</v>
      </c>
      <c r="H114" s="2">
        <v>40322</v>
      </c>
      <c r="I114" s="2">
        <v>40326</v>
      </c>
      <c r="J114" t="s">
        <v>18</v>
      </c>
      <c r="K114" s="2">
        <v>40364.135526886574</v>
      </c>
      <c r="L114" t="s">
        <v>19</v>
      </c>
      <c r="M114">
        <v>345936</v>
      </c>
      <c r="N114">
        <v>2</v>
      </c>
      <c r="O114">
        <v>2</v>
      </c>
      <c r="P114">
        <v>2</v>
      </c>
      <c r="Q114">
        <v>2</v>
      </c>
      <c r="R114">
        <v>2024</v>
      </c>
      <c r="T114" t="s">
        <v>2766</v>
      </c>
      <c r="W114" t="s">
        <v>2767</v>
      </c>
      <c r="X114" t="s">
        <v>1434</v>
      </c>
    </row>
    <row r="115" spans="1:24" ht="12.75">
      <c r="A115" s="1" t="str">
        <f>HYPERLINK("http://www.ofsted.gov.uk/inspection-reports/find-inspection-report/provider/ELS/51090","Ofsted FES Webpage")</f>
        <v>Ofsted FES Webpage</v>
      </c>
      <c r="B115" t="s">
        <v>231</v>
      </c>
      <c r="C115">
        <v>51090</v>
      </c>
      <c r="D115">
        <v>110099</v>
      </c>
      <c r="E115" t="s">
        <v>232</v>
      </c>
      <c r="F115" t="s">
        <v>35</v>
      </c>
      <c r="G115" t="s">
        <v>17</v>
      </c>
      <c r="H115" s="2">
        <v>41443</v>
      </c>
      <c r="I115" s="2">
        <v>41446</v>
      </c>
      <c r="J115" t="s">
        <v>32</v>
      </c>
      <c r="K115" s="2">
        <v>41481.13563445602</v>
      </c>
      <c r="L115" t="s">
        <v>36</v>
      </c>
      <c r="M115">
        <v>422425</v>
      </c>
      <c r="N115">
        <v>3</v>
      </c>
      <c r="O115">
        <v>3</v>
      </c>
      <c r="P115">
        <v>3</v>
      </c>
      <c r="Q115">
        <v>3</v>
      </c>
      <c r="R115">
        <v>48</v>
      </c>
      <c r="S115" t="s">
        <v>2768</v>
      </c>
      <c r="T115" t="s">
        <v>2769</v>
      </c>
      <c r="U115" t="s">
        <v>35</v>
      </c>
      <c r="X115" t="s">
        <v>1435</v>
      </c>
    </row>
    <row r="116" spans="1:24" ht="12.75">
      <c r="A116" s="1" t="str">
        <f>HYPERLINK("http://www.ofsted.gov.uk/inspection-reports/find-inspection-report/provider/ELS/51097","Ofsted FES Webpage")</f>
        <v>Ofsted FES Webpage</v>
      </c>
      <c r="B116" t="s">
        <v>233</v>
      </c>
      <c r="C116">
        <v>51097</v>
      </c>
      <c r="D116">
        <v>121224</v>
      </c>
      <c r="E116" t="s">
        <v>234</v>
      </c>
      <c r="F116" t="s">
        <v>16</v>
      </c>
      <c r="G116" t="s">
        <v>40</v>
      </c>
      <c r="H116" s="2">
        <v>41674</v>
      </c>
      <c r="I116" s="2">
        <v>41677</v>
      </c>
      <c r="J116" t="s">
        <v>27</v>
      </c>
      <c r="K116" s="2">
        <v>41710.13546099537</v>
      </c>
      <c r="L116" t="s">
        <v>60</v>
      </c>
      <c r="M116">
        <v>429087</v>
      </c>
      <c r="N116">
        <v>2</v>
      </c>
      <c r="O116">
        <v>2</v>
      </c>
      <c r="P116">
        <v>3</v>
      </c>
      <c r="Q116">
        <v>3</v>
      </c>
      <c r="R116">
        <v>95</v>
      </c>
      <c r="S116" t="s">
        <v>2770</v>
      </c>
      <c r="T116" t="s">
        <v>2609</v>
      </c>
      <c r="U116" t="s">
        <v>234</v>
      </c>
      <c r="X116" t="s">
        <v>1436</v>
      </c>
    </row>
    <row r="117" spans="1:24" ht="12.75">
      <c r="A117" s="1" t="str">
        <f>HYPERLINK("http://www.ofsted.gov.uk/inspection-reports/find-inspection-report/provider/ELS/51104","Ofsted FES Webpage")</f>
        <v>Ofsted FES Webpage</v>
      </c>
      <c r="B117" t="s">
        <v>235</v>
      </c>
      <c r="C117">
        <v>51104</v>
      </c>
      <c r="D117">
        <v>106685</v>
      </c>
      <c r="E117" t="s">
        <v>236</v>
      </c>
      <c r="F117" t="s">
        <v>26</v>
      </c>
      <c r="G117" t="s">
        <v>17</v>
      </c>
      <c r="H117" s="2">
        <v>41471</v>
      </c>
      <c r="I117" s="2">
        <v>41474</v>
      </c>
      <c r="J117" t="s">
        <v>32</v>
      </c>
      <c r="K117" s="2">
        <v>41507.13544085648</v>
      </c>
      <c r="L117" t="s">
        <v>29</v>
      </c>
      <c r="M117">
        <v>404575</v>
      </c>
      <c r="N117">
        <v>3</v>
      </c>
      <c r="O117">
        <v>3</v>
      </c>
      <c r="P117">
        <v>2</v>
      </c>
      <c r="Q117">
        <v>2</v>
      </c>
      <c r="R117">
        <v>689</v>
      </c>
      <c r="T117" t="s">
        <v>2771</v>
      </c>
      <c r="W117" t="s">
        <v>2675</v>
      </c>
      <c r="X117" t="s">
        <v>1437</v>
      </c>
    </row>
    <row r="118" spans="1:24" ht="12.75">
      <c r="A118" s="1" t="str">
        <f>HYPERLINK("http://www.ofsted.gov.uk/inspection-reports/find-inspection-report/provider/ELS/51121","Ofsted FES Webpage")</f>
        <v>Ofsted FES Webpage</v>
      </c>
      <c r="B118" t="s">
        <v>237</v>
      </c>
      <c r="C118">
        <v>51121</v>
      </c>
      <c r="D118">
        <v>108832</v>
      </c>
      <c r="E118" t="s">
        <v>238</v>
      </c>
      <c r="F118" t="s">
        <v>35</v>
      </c>
      <c r="G118" t="s">
        <v>17</v>
      </c>
      <c r="H118" s="2">
        <v>41820</v>
      </c>
      <c r="I118" s="2">
        <v>41823</v>
      </c>
      <c r="J118" t="s">
        <v>27</v>
      </c>
      <c r="K118" s="2">
        <v>41863.13545806713</v>
      </c>
      <c r="L118" t="s">
        <v>36</v>
      </c>
      <c r="M118">
        <v>429104</v>
      </c>
      <c r="N118">
        <v>4</v>
      </c>
      <c r="O118">
        <v>4</v>
      </c>
      <c r="P118">
        <v>1</v>
      </c>
      <c r="Q118">
        <v>1</v>
      </c>
      <c r="R118">
        <v>141</v>
      </c>
      <c r="S118" t="s">
        <v>2774</v>
      </c>
      <c r="T118" t="s">
        <v>2775</v>
      </c>
      <c r="W118" t="s">
        <v>2776</v>
      </c>
      <c r="X118" t="s">
        <v>1438</v>
      </c>
    </row>
    <row r="119" spans="1:24" ht="12.75">
      <c r="A119" s="1" t="str">
        <f>HYPERLINK("http://www.ofsted.gov.uk/inspection-reports/find-inspection-report/provider/ELS/51142","Ofsted FES Webpage")</f>
        <v>Ofsted FES Webpage</v>
      </c>
      <c r="B119" t="s">
        <v>239</v>
      </c>
      <c r="C119">
        <v>51142</v>
      </c>
      <c r="D119">
        <v>108568</v>
      </c>
      <c r="E119" t="s">
        <v>240</v>
      </c>
      <c r="F119" t="s">
        <v>35</v>
      </c>
      <c r="G119" t="s">
        <v>17</v>
      </c>
      <c r="H119" s="8">
        <v>41869</v>
      </c>
      <c r="I119" s="9">
        <v>41873</v>
      </c>
      <c r="J119" s="8" t="s">
        <v>27</v>
      </c>
      <c r="K119" s="9">
        <v>41911.13546875</v>
      </c>
      <c r="L119" s="10" t="s">
        <v>60</v>
      </c>
      <c r="M119" s="10">
        <v>429261</v>
      </c>
      <c r="N119">
        <v>2</v>
      </c>
      <c r="O119">
        <v>2</v>
      </c>
      <c r="P119">
        <v>3</v>
      </c>
      <c r="Q119">
        <v>3</v>
      </c>
      <c r="R119">
        <v>500</v>
      </c>
      <c r="T119" t="s">
        <v>2783</v>
      </c>
      <c r="W119" t="s">
        <v>2784</v>
      </c>
      <c r="X119" t="s">
        <v>1439</v>
      </c>
    </row>
    <row r="120" spans="1:24" ht="12.75">
      <c r="A120" s="1" t="str">
        <f>HYPERLINK("http://www.ofsted.gov.uk/inspection-reports/find-inspection-report/provider/ELS/51147","Ofsted FES Webpage")</f>
        <v>Ofsted FES Webpage</v>
      </c>
      <c r="B120" t="s">
        <v>241</v>
      </c>
      <c r="C120">
        <v>51147</v>
      </c>
      <c r="D120">
        <v>110171</v>
      </c>
      <c r="E120" t="s">
        <v>234</v>
      </c>
      <c r="F120" t="s">
        <v>16</v>
      </c>
      <c r="G120" t="s">
        <v>40</v>
      </c>
      <c r="H120" s="2">
        <v>41093</v>
      </c>
      <c r="I120" s="2">
        <v>41096</v>
      </c>
      <c r="J120" t="s">
        <v>23</v>
      </c>
      <c r="K120" s="2">
        <v>41131.13546096065</v>
      </c>
      <c r="L120" t="s">
        <v>19</v>
      </c>
      <c r="M120">
        <v>388066</v>
      </c>
      <c r="N120">
        <v>2</v>
      </c>
      <c r="O120">
        <v>2</v>
      </c>
      <c r="P120">
        <v>3</v>
      </c>
      <c r="Q120">
        <v>3</v>
      </c>
      <c r="R120">
        <v>116</v>
      </c>
      <c r="T120" t="s">
        <v>2785</v>
      </c>
      <c r="U120" t="s">
        <v>2786</v>
      </c>
      <c r="V120" t="s">
        <v>2787</v>
      </c>
      <c r="W120" t="s">
        <v>2788</v>
      </c>
      <c r="X120" t="s">
        <v>1440</v>
      </c>
    </row>
    <row r="121" spans="1:24" ht="12.75">
      <c r="A121" s="1" t="str">
        <f>HYPERLINK("http://www.ofsted.gov.uk/inspection-reports/find-inspection-report/provider/ELS/51149","Ofsted FES Webpage")</f>
        <v>Ofsted FES Webpage</v>
      </c>
      <c r="B121" t="s">
        <v>242</v>
      </c>
      <c r="C121">
        <v>51149</v>
      </c>
      <c r="D121">
        <v>106328</v>
      </c>
      <c r="E121" t="s">
        <v>190</v>
      </c>
      <c r="F121" t="s">
        <v>43</v>
      </c>
      <c r="G121" t="s">
        <v>17</v>
      </c>
      <c r="H121" s="2">
        <v>40994</v>
      </c>
      <c r="I121" s="2">
        <v>40998</v>
      </c>
      <c r="J121" t="s">
        <v>23</v>
      </c>
      <c r="K121" s="2">
        <v>41038.13544510417</v>
      </c>
      <c r="L121" t="s">
        <v>29</v>
      </c>
      <c r="M121">
        <v>366052</v>
      </c>
      <c r="N121">
        <v>2</v>
      </c>
      <c r="O121">
        <v>2</v>
      </c>
      <c r="P121">
        <v>2</v>
      </c>
      <c r="Q121">
        <v>1</v>
      </c>
      <c r="R121">
        <v>634</v>
      </c>
      <c r="T121" t="s">
        <v>2789</v>
      </c>
      <c r="W121" t="s">
        <v>190</v>
      </c>
      <c r="X121" t="s">
        <v>1441</v>
      </c>
    </row>
    <row r="122" spans="1:24" ht="12.75">
      <c r="A122" s="1" t="str">
        <f>HYPERLINK("http://www.ofsted.gov.uk/inspection-reports/find-inspection-report/provider/ELS/51152","Ofsted FES Webpage")</f>
        <v>Ofsted FES Webpage</v>
      </c>
      <c r="B122" t="s">
        <v>243</v>
      </c>
      <c r="C122">
        <v>51152</v>
      </c>
      <c r="D122">
        <v>115598</v>
      </c>
      <c r="E122" t="s">
        <v>118</v>
      </c>
      <c r="F122" t="s">
        <v>35</v>
      </c>
      <c r="G122" t="s">
        <v>40</v>
      </c>
      <c r="H122" s="8">
        <v>41856</v>
      </c>
      <c r="I122" s="9">
        <v>41859</v>
      </c>
      <c r="J122" s="8" t="s">
        <v>27</v>
      </c>
      <c r="K122" s="9">
        <v>41908.135490277775</v>
      </c>
      <c r="L122" s="10" t="s">
        <v>36</v>
      </c>
      <c r="M122" s="10">
        <v>434042</v>
      </c>
      <c r="N122">
        <v>2</v>
      </c>
      <c r="O122">
        <v>2</v>
      </c>
      <c r="P122">
        <v>3</v>
      </c>
      <c r="Q122">
        <v>3</v>
      </c>
      <c r="R122">
        <v>21</v>
      </c>
      <c r="S122" t="s">
        <v>2577</v>
      </c>
      <c r="T122" t="s">
        <v>2790</v>
      </c>
      <c r="U122" t="s">
        <v>2791</v>
      </c>
      <c r="W122" t="s">
        <v>118</v>
      </c>
      <c r="X122" t="s">
        <v>1442</v>
      </c>
    </row>
    <row r="123" spans="1:24" ht="12.75">
      <c r="A123" s="1" t="str">
        <f>HYPERLINK("http://www.ofsted.gov.uk/inspection-reports/find-inspection-report/provider/ELS/51170","Ofsted FES Webpage")</f>
        <v>Ofsted FES Webpage</v>
      </c>
      <c r="B123" t="s">
        <v>244</v>
      </c>
      <c r="C123">
        <v>51170</v>
      </c>
      <c r="D123">
        <v>105927</v>
      </c>
      <c r="E123" t="s">
        <v>38</v>
      </c>
      <c r="F123" t="s">
        <v>39</v>
      </c>
      <c r="G123" t="s">
        <v>40</v>
      </c>
      <c r="H123" s="2">
        <v>41239</v>
      </c>
      <c r="I123" s="2">
        <v>41243</v>
      </c>
      <c r="J123" t="s">
        <v>32</v>
      </c>
      <c r="K123" s="2">
        <v>41283.13546380787</v>
      </c>
      <c r="L123" t="s">
        <v>29</v>
      </c>
      <c r="M123">
        <v>388432</v>
      </c>
      <c r="N123">
        <v>1</v>
      </c>
      <c r="O123">
        <v>1</v>
      </c>
      <c r="P123">
        <v>2</v>
      </c>
      <c r="Q123">
        <v>2</v>
      </c>
      <c r="R123">
        <v>11100</v>
      </c>
      <c r="S123" t="s">
        <v>2794</v>
      </c>
      <c r="U123" t="s">
        <v>2795</v>
      </c>
      <c r="W123" t="s">
        <v>2764</v>
      </c>
      <c r="X123" t="s">
        <v>1444</v>
      </c>
    </row>
    <row r="124" spans="1:24" ht="12.75">
      <c r="A124" s="1" t="str">
        <f>HYPERLINK("http://www.ofsted.gov.uk/inspection-reports/find-inspection-report/provider/ELS/51192","Ofsted FES Webpage")</f>
        <v>Ofsted FES Webpage</v>
      </c>
      <c r="B124" t="s">
        <v>245</v>
      </c>
      <c r="C124">
        <v>51192</v>
      </c>
      <c r="D124">
        <v>106580</v>
      </c>
      <c r="E124" t="s">
        <v>65</v>
      </c>
      <c r="F124" t="s">
        <v>63</v>
      </c>
      <c r="G124" t="s">
        <v>17</v>
      </c>
      <c r="H124" s="2">
        <v>41597</v>
      </c>
      <c r="I124" s="2">
        <v>41600</v>
      </c>
      <c r="J124" t="s">
        <v>27</v>
      </c>
      <c r="K124" s="2">
        <v>41636.13545234954</v>
      </c>
      <c r="L124" t="s">
        <v>36</v>
      </c>
      <c r="M124">
        <v>423751</v>
      </c>
      <c r="N124">
        <v>2</v>
      </c>
      <c r="O124">
        <v>3</v>
      </c>
      <c r="P124">
        <v>2</v>
      </c>
      <c r="Q124">
        <v>2</v>
      </c>
      <c r="R124">
        <v>332</v>
      </c>
      <c r="T124" t="s">
        <v>2800</v>
      </c>
      <c r="U124" t="s">
        <v>2801</v>
      </c>
      <c r="W124" t="s">
        <v>2458</v>
      </c>
      <c r="X124" t="s">
        <v>1446</v>
      </c>
    </row>
    <row r="125" spans="1:24" ht="12.75">
      <c r="A125" s="1" t="str">
        <f>HYPERLINK("http://www.ofsted.gov.uk/inspection-reports/find-inspection-report/provider/ELS/51224","Ofsted FES Webpage")</f>
        <v>Ofsted FES Webpage</v>
      </c>
      <c r="B125" t="s">
        <v>246</v>
      </c>
      <c r="C125">
        <v>51224</v>
      </c>
      <c r="D125">
        <v>110066</v>
      </c>
      <c r="E125" t="s">
        <v>205</v>
      </c>
      <c r="F125" t="s">
        <v>39</v>
      </c>
      <c r="G125" t="s">
        <v>17</v>
      </c>
      <c r="H125" s="2">
        <v>41183</v>
      </c>
      <c r="I125" s="2">
        <v>41187</v>
      </c>
      <c r="J125" t="s">
        <v>32</v>
      </c>
      <c r="K125" s="2">
        <v>41222.13580505787</v>
      </c>
      <c r="L125" t="s">
        <v>29</v>
      </c>
      <c r="M125">
        <v>406785</v>
      </c>
      <c r="N125">
        <v>2</v>
      </c>
      <c r="O125">
        <v>2</v>
      </c>
      <c r="P125">
        <v>2</v>
      </c>
      <c r="Q125">
        <v>2</v>
      </c>
      <c r="R125">
        <v>1079</v>
      </c>
      <c r="S125" t="s">
        <v>2803</v>
      </c>
      <c r="T125" t="s">
        <v>2804</v>
      </c>
      <c r="U125" t="s">
        <v>2805</v>
      </c>
      <c r="V125" t="s">
        <v>2806</v>
      </c>
      <c r="X125" t="s">
        <v>1447</v>
      </c>
    </row>
    <row r="126" spans="1:24" ht="12.75">
      <c r="A126" s="1" t="str">
        <f>HYPERLINK("http://www.ofsted.gov.uk/inspection-reports/find-inspection-report/provider/ELS/51259","Ofsted FES Webpage")</f>
        <v>Ofsted FES Webpage</v>
      </c>
      <c r="B126" t="s">
        <v>247</v>
      </c>
      <c r="C126">
        <v>51259</v>
      </c>
      <c r="D126">
        <v>109908</v>
      </c>
      <c r="E126" t="s">
        <v>25</v>
      </c>
      <c r="F126" t="s">
        <v>26</v>
      </c>
      <c r="G126" t="s">
        <v>17</v>
      </c>
      <c r="H126" s="2">
        <v>40560</v>
      </c>
      <c r="I126" s="2">
        <v>40564</v>
      </c>
      <c r="J126" t="s">
        <v>56</v>
      </c>
      <c r="K126" s="2">
        <v>40599.135452662034</v>
      </c>
      <c r="L126" t="s">
        <v>19</v>
      </c>
      <c r="M126">
        <v>363219</v>
      </c>
      <c r="N126">
        <v>2</v>
      </c>
      <c r="O126">
        <v>2</v>
      </c>
      <c r="P126">
        <v>3</v>
      </c>
      <c r="Q126">
        <v>2</v>
      </c>
      <c r="R126">
        <v>4083</v>
      </c>
      <c r="S126" t="s">
        <v>2809</v>
      </c>
      <c r="T126" t="s">
        <v>2810</v>
      </c>
      <c r="V126" t="s">
        <v>25</v>
      </c>
      <c r="W126" t="s">
        <v>2586</v>
      </c>
      <c r="X126" t="s">
        <v>1449</v>
      </c>
    </row>
    <row r="127" spans="1:24" ht="12.75">
      <c r="A127" s="1" t="str">
        <f>HYPERLINK("http://www.ofsted.gov.uk/inspection-reports/find-inspection-report/provider/ELS/51349","Ofsted FES Webpage")</f>
        <v>Ofsted FES Webpage</v>
      </c>
      <c r="B127" t="s">
        <v>248</v>
      </c>
      <c r="C127">
        <v>51349</v>
      </c>
      <c r="D127">
        <v>108108</v>
      </c>
      <c r="E127" t="s">
        <v>249</v>
      </c>
      <c r="F127" t="s">
        <v>63</v>
      </c>
      <c r="G127" t="s">
        <v>40</v>
      </c>
      <c r="H127" s="2">
        <v>41428</v>
      </c>
      <c r="I127" s="2">
        <v>41432</v>
      </c>
      <c r="J127" t="s">
        <v>32</v>
      </c>
      <c r="K127" s="2">
        <v>41467.13561747685</v>
      </c>
      <c r="L127" t="s">
        <v>45</v>
      </c>
      <c r="M127">
        <v>410630</v>
      </c>
      <c r="N127">
        <v>3</v>
      </c>
      <c r="O127">
        <v>3</v>
      </c>
      <c r="P127">
        <v>3</v>
      </c>
      <c r="Q127">
        <v>3</v>
      </c>
      <c r="R127">
        <v>7775</v>
      </c>
      <c r="S127" t="s">
        <v>2818</v>
      </c>
      <c r="T127" t="s">
        <v>2819</v>
      </c>
      <c r="U127" t="s">
        <v>2820</v>
      </c>
      <c r="X127" t="s">
        <v>1451</v>
      </c>
    </row>
    <row r="128" spans="1:24" ht="12.75">
      <c r="A128" s="1" t="str">
        <f>HYPERLINK("http://www.ofsted.gov.uk/inspection-reports/find-inspection-report/provider/ELS/51359","Ofsted FES Webpage")</f>
        <v>Ofsted FES Webpage</v>
      </c>
      <c r="B128" t="s">
        <v>250</v>
      </c>
      <c r="C128">
        <v>51359</v>
      </c>
      <c r="D128">
        <v>110175</v>
      </c>
      <c r="E128" t="s">
        <v>122</v>
      </c>
      <c r="F128" t="s">
        <v>35</v>
      </c>
      <c r="G128" t="s">
        <v>40</v>
      </c>
      <c r="H128" s="2">
        <v>40351</v>
      </c>
      <c r="I128" s="2">
        <v>40352</v>
      </c>
      <c r="J128" t="s">
        <v>18</v>
      </c>
      <c r="K128" s="2">
        <v>40387.13554545139</v>
      </c>
      <c r="L128" t="s">
        <v>45</v>
      </c>
      <c r="M128">
        <v>354476</v>
      </c>
      <c r="N128">
        <v>2</v>
      </c>
      <c r="O128">
        <v>2</v>
      </c>
      <c r="P128">
        <v>3</v>
      </c>
      <c r="Q128">
        <v>2</v>
      </c>
      <c r="R128">
        <v>1379</v>
      </c>
      <c r="S128" t="s">
        <v>2821</v>
      </c>
      <c r="W128" t="s">
        <v>35</v>
      </c>
      <c r="X128" t="s">
        <v>1452</v>
      </c>
    </row>
    <row r="129" spans="1:24" ht="12.75">
      <c r="A129" s="1" t="str">
        <f>HYPERLINK("http://www.ofsted.gov.uk/inspection-reports/find-inspection-report/provider/ELS/51385","Ofsted FES Webpage")</f>
        <v>Ofsted FES Webpage</v>
      </c>
      <c r="B129" t="s">
        <v>251</v>
      </c>
      <c r="C129">
        <v>51385</v>
      </c>
      <c r="D129">
        <v>108101</v>
      </c>
      <c r="E129" t="s">
        <v>203</v>
      </c>
      <c r="F129" t="s">
        <v>49</v>
      </c>
      <c r="G129" t="s">
        <v>40</v>
      </c>
      <c r="H129" s="2">
        <v>41589</v>
      </c>
      <c r="I129" s="2">
        <v>41593</v>
      </c>
      <c r="J129" t="s">
        <v>27</v>
      </c>
      <c r="K129" s="2">
        <v>41624.13547376158</v>
      </c>
      <c r="L129" t="s">
        <v>45</v>
      </c>
      <c r="M129">
        <v>423414</v>
      </c>
      <c r="N129">
        <v>2</v>
      </c>
      <c r="O129">
        <v>2</v>
      </c>
      <c r="P129">
        <v>2</v>
      </c>
      <c r="Q129">
        <v>2</v>
      </c>
      <c r="R129">
        <v>6368</v>
      </c>
      <c r="S129" t="s">
        <v>2825</v>
      </c>
      <c r="T129" t="s">
        <v>2826</v>
      </c>
      <c r="U129" t="s">
        <v>203</v>
      </c>
      <c r="X129" t="s">
        <v>1454</v>
      </c>
    </row>
    <row r="130" spans="1:24" ht="12.75">
      <c r="A130" s="1" t="str">
        <f>HYPERLINK("http://www.ofsted.gov.uk/inspection-reports/find-inspection-report/provider/ELS/51395","Ofsted FES Webpage")</f>
        <v>Ofsted FES Webpage</v>
      </c>
      <c r="B130" t="s">
        <v>252</v>
      </c>
      <c r="C130">
        <v>51395</v>
      </c>
      <c r="D130">
        <v>117100</v>
      </c>
      <c r="E130" t="s">
        <v>106</v>
      </c>
      <c r="F130" t="s">
        <v>49</v>
      </c>
      <c r="G130" t="s">
        <v>17</v>
      </c>
      <c r="H130" s="2">
        <v>40673</v>
      </c>
      <c r="I130" s="2">
        <v>40676</v>
      </c>
      <c r="J130" t="s">
        <v>56</v>
      </c>
      <c r="K130" s="2">
        <v>40714.1354465625</v>
      </c>
      <c r="L130" t="s">
        <v>19</v>
      </c>
      <c r="M130">
        <v>366023</v>
      </c>
      <c r="N130">
        <v>1</v>
      </c>
      <c r="O130">
        <v>1</v>
      </c>
      <c r="P130">
        <v>2</v>
      </c>
      <c r="Q130">
        <v>2</v>
      </c>
      <c r="R130">
        <v>568</v>
      </c>
      <c r="S130" t="s">
        <v>2827</v>
      </c>
      <c r="T130" t="s">
        <v>2382</v>
      </c>
      <c r="U130" t="s">
        <v>106</v>
      </c>
      <c r="X130" t="s">
        <v>1455</v>
      </c>
    </row>
    <row r="131" spans="1:24" ht="12.75">
      <c r="A131" s="1" t="str">
        <f>HYPERLINK("http://www.ofsted.gov.uk/inspection-reports/find-inspection-report/provider/ELS/51433","Ofsted FES Webpage")</f>
        <v>Ofsted FES Webpage</v>
      </c>
      <c r="B131" t="s">
        <v>253</v>
      </c>
      <c r="C131">
        <v>51433</v>
      </c>
      <c r="D131">
        <v>116954</v>
      </c>
      <c r="E131" t="s">
        <v>254</v>
      </c>
      <c r="F131" t="s">
        <v>63</v>
      </c>
      <c r="G131" t="s">
        <v>17</v>
      </c>
      <c r="H131" s="2">
        <v>41715</v>
      </c>
      <c r="I131" s="2">
        <v>41719</v>
      </c>
      <c r="J131" t="s">
        <v>27</v>
      </c>
      <c r="K131" s="2">
        <v>41758.13557291667</v>
      </c>
      <c r="L131" t="s">
        <v>29</v>
      </c>
      <c r="M131">
        <v>429128</v>
      </c>
      <c r="N131">
        <v>2</v>
      </c>
      <c r="O131">
        <v>2</v>
      </c>
      <c r="P131">
        <v>3</v>
      </c>
      <c r="Q131">
        <v>3</v>
      </c>
      <c r="R131">
        <v>1950</v>
      </c>
      <c r="S131" t="s">
        <v>2830</v>
      </c>
      <c r="T131" t="s">
        <v>2831</v>
      </c>
      <c r="U131" t="s">
        <v>2524</v>
      </c>
      <c r="V131" t="s">
        <v>254</v>
      </c>
      <c r="X131" t="s">
        <v>1456</v>
      </c>
    </row>
    <row r="132" spans="1:24" ht="12.75">
      <c r="A132" s="1" t="str">
        <f>HYPERLINK("http://www.ofsted.gov.uk/inspection-reports/find-inspection-report/provider/ELS/51436","Ofsted FES Webpage")</f>
        <v>Ofsted FES Webpage</v>
      </c>
      <c r="B132" t="s">
        <v>255</v>
      </c>
      <c r="C132">
        <v>51436</v>
      </c>
      <c r="D132">
        <v>112306</v>
      </c>
      <c r="E132" t="s">
        <v>203</v>
      </c>
      <c r="F132" t="s">
        <v>49</v>
      </c>
      <c r="G132" t="s">
        <v>225</v>
      </c>
      <c r="H132" s="2">
        <v>41547</v>
      </c>
      <c r="I132" s="2">
        <v>41551</v>
      </c>
      <c r="J132" t="s">
        <v>27</v>
      </c>
      <c r="K132" s="2">
        <v>41586.13545902778</v>
      </c>
      <c r="L132" t="s">
        <v>226</v>
      </c>
      <c r="M132">
        <v>422626</v>
      </c>
      <c r="N132">
        <v>2</v>
      </c>
      <c r="O132">
        <v>2</v>
      </c>
      <c r="P132">
        <v>3</v>
      </c>
      <c r="Q132">
        <v>4</v>
      </c>
      <c r="R132" t="s">
        <v>20</v>
      </c>
      <c r="S132" t="s">
        <v>2833</v>
      </c>
      <c r="T132" t="s">
        <v>2834</v>
      </c>
      <c r="U132" t="s">
        <v>2835</v>
      </c>
      <c r="W132" t="s">
        <v>203</v>
      </c>
      <c r="X132" t="s">
        <v>1457</v>
      </c>
    </row>
    <row r="133" spans="1:24" ht="12.75">
      <c r="A133" s="1" t="str">
        <f>HYPERLINK("http://www.ofsted.gov.uk/inspection-reports/find-inspection-report/provider/ELS/51448","Ofsted FES Webpage")</f>
        <v>Ofsted FES Webpage</v>
      </c>
      <c r="B133" t="s">
        <v>256</v>
      </c>
      <c r="C133">
        <v>51448</v>
      </c>
      <c r="D133">
        <v>108122</v>
      </c>
      <c r="E133" t="s">
        <v>257</v>
      </c>
      <c r="F133" t="s">
        <v>68</v>
      </c>
      <c r="G133" t="s">
        <v>40</v>
      </c>
      <c r="H133" s="2">
        <v>40567</v>
      </c>
      <c r="I133" s="2">
        <v>40571</v>
      </c>
      <c r="J133" t="s">
        <v>56</v>
      </c>
      <c r="K133" s="2">
        <v>40607.13544575231</v>
      </c>
      <c r="L133" t="s">
        <v>45</v>
      </c>
      <c r="M133">
        <v>363135</v>
      </c>
      <c r="N133">
        <v>2</v>
      </c>
      <c r="O133">
        <v>2</v>
      </c>
      <c r="P133">
        <v>3</v>
      </c>
      <c r="Q133">
        <v>3</v>
      </c>
      <c r="R133">
        <v>10826</v>
      </c>
      <c r="S133" t="s">
        <v>2836</v>
      </c>
      <c r="T133" t="s">
        <v>2763</v>
      </c>
      <c r="X133" t="s">
        <v>1458</v>
      </c>
    </row>
    <row r="134" spans="1:24" ht="12.75">
      <c r="A134" s="1" t="str">
        <f>HYPERLINK("http://www.ofsted.gov.uk/inspection-reports/find-inspection-report/provider/ELS/51459","Ofsted FES Webpage")</f>
        <v>Ofsted FES Webpage</v>
      </c>
      <c r="B134" t="s">
        <v>258</v>
      </c>
      <c r="C134">
        <v>51459</v>
      </c>
      <c r="D134">
        <v>106437</v>
      </c>
      <c r="E134" t="s">
        <v>203</v>
      </c>
      <c r="F134" t="s">
        <v>49</v>
      </c>
      <c r="G134" t="s">
        <v>17</v>
      </c>
      <c r="H134" s="2">
        <v>40119</v>
      </c>
      <c r="I134" s="2">
        <v>40123</v>
      </c>
      <c r="J134" t="s">
        <v>18</v>
      </c>
      <c r="K134" s="2">
        <v>40165.13550471065</v>
      </c>
      <c r="L134" t="s">
        <v>19</v>
      </c>
      <c r="M134">
        <v>342709</v>
      </c>
      <c r="N134">
        <v>2</v>
      </c>
      <c r="O134">
        <v>2</v>
      </c>
      <c r="P134" t="s">
        <v>20</v>
      </c>
      <c r="Q134" t="s">
        <v>20</v>
      </c>
      <c r="R134">
        <v>2073</v>
      </c>
      <c r="S134" t="s">
        <v>2494</v>
      </c>
      <c r="T134" t="s">
        <v>2838</v>
      </c>
      <c r="W134" t="s">
        <v>203</v>
      </c>
      <c r="X134" t="s">
        <v>1459</v>
      </c>
    </row>
    <row r="135" spans="1:24" ht="12.75">
      <c r="A135" s="1" t="str">
        <f>HYPERLINK("http://www.ofsted.gov.uk/inspection-reports/find-inspection-report/provider/ELS/51468","Ofsted FES Webpage")</f>
        <v>Ofsted FES Webpage</v>
      </c>
      <c r="B135" t="s">
        <v>259</v>
      </c>
      <c r="C135">
        <v>51468</v>
      </c>
      <c r="D135">
        <v>105372</v>
      </c>
      <c r="E135" t="s">
        <v>22</v>
      </c>
      <c r="F135" t="s">
        <v>16</v>
      </c>
      <c r="G135" t="s">
        <v>17</v>
      </c>
      <c r="H135" s="2">
        <v>40603</v>
      </c>
      <c r="I135" s="2">
        <v>40606</v>
      </c>
      <c r="J135" t="s">
        <v>56</v>
      </c>
      <c r="K135" s="2">
        <v>40641.13544846065</v>
      </c>
      <c r="L135" t="s">
        <v>19</v>
      </c>
      <c r="M135">
        <v>363191</v>
      </c>
      <c r="N135">
        <v>2</v>
      </c>
      <c r="O135">
        <v>2</v>
      </c>
      <c r="P135">
        <v>3</v>
      </c>
      <c r="Q135">
        <v>3</v>
      </c>
      <c r="R135">
        <v>748</v>
      </c>
      <c r="S135" t="s">
        <v>2840</v>
      </c>
      <c r="T135" t="s">
        <v>2841</v>
      </c>
      <c r="U135" t="s">
        <v>2842</v>
      </c>
      <c r="V135" t="s">
        <v>22</v>
      </c>
      <c r="W135" t="s">
        <v>109</v>
      </c>
      <c r="X135" t="s">
        <v>1460</v>
      </c>
    </row>
    <row r="136" spans="1:24" ht="12.75">
      <c r="A136" s="1" t="str">
        <f>HYPERLINK("http://www.ofsted.gov.uk/inspection-reports/find-inspection-report/provider/ELS/51469","Ofsted FES Webpage")</f>
        <v>Ofsted FES Webpage</v>
      </c>
      <c r="B136" t="s">
        <v>260</v>
      </c>
      <c r="C136">
        <v>51469</v>
      </c>
      <c r="D136">
        <v>105780</v>
      </c>
      <c r="E136" t="s">
        <v>126</v>
      </c>
      <c r="F136" t="s">
        <v>68</v>
      </c>
      <c r="G136" t="s">
        <v>17</v>
      </c>
      <c r="H136" s="2">
        <v>41120</v>
      </c>
      <c r="I136" s="2">
        <v>41124</v>
      </c>
      <c r="J136" t="s">
        <v>23</v>
      </c>
      <c r="K136" s="2">
        <v>41159.13554325231</v>
      </c>
      <c r="L136" t="s">
        <v>29</v>
      </c>
      <c r="M136">
        <v>388117</v>
      </c>
      <c r="N136">
        <v>2</v>
      </c>
      <c r="O136">
        <v>2</v>
      </c>
      <c r="P136">
        <v>2</v>
      </c>
      <c r="Q136">
        <v>2</v>
      </c>
      <c r="R136">
        <v>1048</v>
      </c>
      <c r="S136" t="s">
        <v>2843</v>
      </c>
      <c r="T136" t="s">
        <v>2844</v>
      </c>
      <c r="W136" t="s">
        <v>126</v>
      </c>
      <c r="X136" t="s">
        <v>1461</v>
      </c>
    </row>
    <row r="137" spans="1:24" ht="12.75">
      <c r="A137" s="1" t="str">
        <f>HYPERLINK("http://www.ofsted.gov.uk/inspection-reports/find-inspection-report/provider/ELS/51474","Ofsted FES Webpage")</f>
        <v>Ofsted FES Webpage</v>
      </c>
      <c r="B137" t="s">
        <v>261</v>
      </c>
      <c r="C137">
        <v>51474</v>
      </c>
      <c r="D137">
        <v>107066</v>
      </c>
      <c r="E137" t="s">
        <v>262</v>
      </c>
      <c r="F137" t="s">
        <v>26</v>
      </c>
      <c r="G137" t="s">
        <v>40</v>
      </c>
      <c r="H137" s="2">
        <v>40924</v>
      </c>
      <c r="I137" s="2">
        <v>40928</v>
      </c>
      <c r="J137" t="s">
        <v>23</v>
      </c>
      <c r="K137" s="2">
        <v>40962.1354474537</v>
      </c>
      <c r="L137" t="s">
        <v>45</v>
      </c>
      <c r="M137">
        <v>375501</v>
      </c>
      <c r="N137">
        <v>2</v>
      </c>
      <c r="O137">
        <v>2</v>
      </c>
      <c r="P137">
        <v>2</v>
      </c>
      <c r="Q137">
        <v>2</v>
      </c>
      <c r="R137">
        <v>949</v>
      </c>
      <c r="S137" t="s">
        <v>2847</v>
      </c>
      <c r="T137" t="s">
        <v>2848</v>
      </c>
      <c r="U137" t="s">
        <v>262</v>
      </c>
      <c r="X137" t="s">
        <v>1463</v>
      </c>
    </row>
    <row r="138" spans="1:24" ht="12.75">
      <c r="A138" s="1" t="str">
        <f>HYPERLINK("http://www.ofsted.gov.uk/inspection-reports/find-inspection-report/provider/ELS/51492","Ofsted FES Webpage")</f>
        <v>Ofsted FES Webpage</v>
      </c>
      <c r="B138" t="s">
        <v>263</v>
      </c>
      <c r="C138">
        <v>51492</v>
      </c>
      <c r="D138">
        <v>109420</v>
      </c>
      <c r="E138" t="s">
        <v>99</v>
      </c>
      <c r="F138" t="s">
        <v>43</v>
      </c>
      <c r="G138" t="s">
        <v>17</v>
      </c>
      <c r="H138" s="2">
        <v>40099</v>
      </c>
      <c r="I138" s="2">
        <v>40102</v>
      </c>
      <c r="J138" t="s">
        <v>18</v>
      </c>
      <c r="K138" s="2">
        <v>40136.135509722226</v>
      </c>
      <c r="L138" t="s">
        <v>19</v>
      </c>
      <c r="M138">
        <v>342603</v>
      </c>
      <c r="N138">
        <v>1</v>
      </c>
      <c r="O138">
        <v>1</v>
      </c>
      <c r="P138" t="s">
        <v>20</v>
      </c>
      <c r="Q138" t="s">
        <v>20</v>
      </c>
      <c r="R138">
        <v>714</v>
      </c>
      <c r="S138" t="s">
        <v>2852</v>
      </c>
      <c r="T138" t="s">
        <v>2853</v>
      </c>
      <c r="U138" t="s">
        <v>2854</v>
      </c>
      <c r="V138" t="s">
        <v>2855</v>
      </c>
      <c r="X138" t="s">
        <v>1465</v>
      </c>
    </row>
    <row r="139" spans="1:24" ht="12.75">
      <c r="A139" s="1" t="str">
        <f>HYPERLINK("http://www.ofsted.gov.uk/inspection-reports/find-inspection-report/provider/ELS/51510","Ofsted FES Webpage")</f>
        <v>Ofsted FES Webpage</v>
      </c>
      <c r="B139" t="s">
        <v>264</v>
      </c>
      <c r="C139">
        <v>51510</v>
      </c>
      <c r="D139">
        <v>106598</v>
      </c>
      <c r="E139" t="s">
        <v>59</v>
      </c>
      <c r="F139" t="s">
        <v>43</v>
      </c>
      <c r="G139" t="s">
        <v>160</v>
      </c>
      <c r="H139" s="2">
        <v>41232</v>
      </c>
      <c r="I139" s="2">
        <v>41235</v>
      </c>
      <c r="J139" t="s">
        <v>32</v>
      </c>
      <c r="K139" s="2">
        <v>41268.13548445602</v>
      </c>
      <c r="L139" t="s">
        <v>36</v>
      </c>
      <c r="M139">
        <v>404561</v>
      </c>
      <c r="N139">
        <v>1</v>
      </c>
      <c r="O139">
        <v>1</v>
      </c>
      <c r="P139">
        <v>3</v>
      </c>
      <c r="Q139">
        <v>3</v>
      </c>
      <c r="R139">
        <v>17</v>
      </c>
      <c r="S139" t="s">
        <v>2856</v>
      </c>
      <c r="T139" t="s">
        <v>2857</v>
      </c>
      <c r="U139" t="s">
        <v>2845</v>
      </c>
      <c r="V139" t="s">
        <v>2846</v>
      </c>
      <c r="W139" t="s">
        <v>59</v>
      </c>
      <c r="X139" t="s">
        <v>1466</v>
      </c>
    </row>
    <row r="140" spans="1:24" ht="12.75">
      <c r="A140" s="1" t="str">
        <f>HYPERLINK("http://www.ofsted.gov.uk/inspection-reports/find-inspection-report/provider/ELS/51525","Ofsted FES Webpage")</f>
        <v>Ofsted FES Webpage</v>
      </c>
      <c r="B140" t="s">
        <v>265</v>
      </c>
      <c r="C140">
        <v>51525</v>
      </c>
      <c r="D140">
        <v>117534</v>
      </c>
      <c r="E140" t="s">
        <v>109</v>
      </c>
      <c r="F140" t="s">
        <v>16</v>
      </c>
      <c r="G140" t="s">
        <v>40</v>
      </c>
      <c r="H140" s="2">
        <v>41569</v>
      </c>
      <c r="I140" s="2">
        <v>41572</v>
      </c>
      <c r="J140" t="s">
        <v>27</v>
      </c>
      <c r="K140" s="2">
        <v>41608.13545165509</v>
      </c>
      <c r="L140" t="s">
        <v>36</v>
      </c>
      <c r="M140">
        <v>423742</v>
      </c>
      <c r="N140">
        <v>3</v>
      </c>
      <c r="O140">
        <v>3</v>
      </c>
      <c r="P140">
        <v>2</v>
      </c>
      <c r="Q140">
        <v>3</v>
      </c>
      <c r="R140">
        <v>153</v>
      </c>
      <c r="T140" t="s">
        <v>2860</v>
      </c>
      <c r="U140" t="s">
        <v>2548</v>
      </c>
      <c r="W140" t="s">
        <v>109</v>
      </c>
      <c r="X140" t="s">
        <v>1467</v>
      </c>
    </row>
    <row r="141" spans="1:24" ht="12.75">
      <c r="A141" s="1" t="str">
        <f>HYPERLINK("http://www.ofsted.gov.uk/inspection-reports/find-inspection-report/provider/ELS/51535","Ofsted FES Webpage")</f>
        <v>Ofsted FES Webpage</v>
      </c>
      <c r="B141" t="s">
        <v>266</v>
      </c>
      <c r="C141">
        <v>51535</v>
      </c>
      <c r="D141">
        <v>108657</v>
      </c>
      <c r="E141" t="s">
        <v>114</v>
      </c>
      <c r="F141" t="s">
        <v>26</v>
      </c>
      <c r="G141" t="s">
        <v>40</v>
      </c>
      <c r="H141" s="2">
        <v>41702</v>
      </c>
      <c r="I141" s="2">
        <v>41705</v>
      </c>
      <c r="J141" t="s">
        <v>27</v>
      </c>
      <c r="K141" s="2">
        <v>41738.13548587963</v>
      </c>
      <c r="L141" t="s">
        <v>36</v>
      </c>
      <c r="M141">
        <v>429106</v>
      </c>
      <c r="N141">
        <v>1</v>
      </c>
      <c r="O141">
        <v>1</v>
      </c>
      <c r="P141">
        <v>3</v>
      </c>
      <c r="Q141">
        <v>3</v>
      </c>
      <c r="R141">
        <v>80</v>
      </c>
      <c r="S141" t="s">
        <v>2862</v>
      </c>
      <c r="T141" t="s">
        <v>2863</v>
      </c>
      <c r="U141" t="s">
        <v>2864</v>
      </c>
      <c r="V141" t="s">
        <v>2865</v>
      </c>
      <c r="W141" t="s">
        <v>2866</v>
      </c>
      <c r="X141" t="s">
        <v>1468</v>
      </c>
    </row>
    <row r="142" spans="1:24" ht="12.75">
      <c r="A142" s="1" t="str">
        <f>HYPERLINK("http://www.ofsted.gov.uk/inspection-reports/find-inspection-report/provider/ELS/51540","Ofsted FES Webpage")</f>
        <v>Ofsted FES Webpage</v>
      </c>
      <c r="B142" t="s">
        <v>267</v>
      </c>
      <c r="C142">
        <v>51540</v>
      </c>
      <c r="D142">
        <v>110160</v>
      </c>
      <c r="E142" t="s">
        <v>268</v>
      </c>
      <c r="F142" t="s">
        <v>63</v>
      </c>
      <c r="G142" t="s">
        <v>40</v>
      </c>
      <c r="H142" s="2">
        <v>41386</v>
      </c>
      <c r="I142" s="2">
        <v>41390</v>
      </c>
      <c r="J142" t="s">
        <v>32</v>
      </c>
      <c r="K142" s="2">
        <v>41429.13551111111</v>
      </c>
      <c r="L142" t="s">
        <v>45</v>
      </c>
      <c r="M142">
        <v>410631</v>
      </c>
      <c r="N142">
        <v>2</v>
      </c>
      <c r="O142">
        <v>2</v>
      </c>
      <c r="P142">
        <v>3</v>
      </c>
      <c r="Q142">
        <v>3</v>
      </c>
      <c r="R142">
        <v>11033</v>
      </c>
      <c r="S142" t="s">
        <v>2867</v>
      </c>
      <c r="T142" t="s">
        <v>2868</v>
      </c>
      <c r="U142" t="s">
        <v>2869</v>
      </c>
      <c r="V142" t="s">
        <v>2595</v>
      </c>
      <c r="X142" t="s">
        <v>1469</v>
      </c>
    </row>
    <row r="143" spans="1:24" ht="12.75">
      <c r="A143" s="1" t="str">
        <f>HYPERLINK("http://www.ofsted.gov.uk/inspection-reports/find-inspection-report/provider/ELS/51550","Ofsted FES Webpage")</f>
        <v>Ofsted FES Webpage</v>
      </c>
      <c r="B143" t="s">
        <v>269</v>
      </c>
      <c r="C143">
        <v>51550</v>
      </c>
      <c r="D143">
        <v>107825</v>
      </c>
      <c r="E143" t="s">
        <v>199</v>
      </c>
      <c r="F143" t="s">
        <v>63</v>
      </c>
      <c r="G143" t="s">
        <v>17</v>
      </c>
      <c r="H143" s="2">
        <v>41071</v>
      </c>
      <c r="I143" s="2">
        <v>41074</v>
      </c>
      <c r="J143" t="s">
        <v>23</v>
      </c>
      <c r="K143" s="2">
        <v>41109.13590509259</v>
      </c>
      <c r="L143" t="s">
        <v>29</v>
      </c>
      <c r="M143">
        <v>397718</v>
      </c>
      <c r="N143">
        <v>1</v>
      </c>
      <c r="O143">
        <v>1</v>
      </c>
      <c r="P143">
        <v>2</v>
      </c>
      <c r="Q143">
        <v>2</v>
      </c>
      <c r="R143">
        <v>363</v>
      </c>
      <c r="S143" t="s">
        <v>2870</v>
      </c>
      <c r="T143" t="s">
        <v>2871</v>
      </c>
      <c r="U143" t="s">
        <v>2872</v>
      </c>
      <c r="W143" t="s">
        <v>2484</v>
      </c>
      <c r="X143" t="s">
        <v>1470</v>
      </c>
    </row>
    <row r="144" spans="1:24" ht="12.75">
      <c r="A144" s="1" t="str">
        <f>HYPERLINK("http://www.ofsted.gov.uk/inspection-reports/find-inspection-report/provider/ELS/51551","Ofsted FES Webpage")</f>
        <v>Ofsted FES Webpage</v>
      </c>
      <c r="B144" t="s">
        <v>270</v>
      </c>
      <c r="C144">
        <v>51551</v>
      </c>
      <c r="D144">
        <v>106039</v>
      </c>
      <c r="E144" t="s">
        <v>174</v>
      </c>
      <c r="F144" t="s">
        <v>26</v>
      </c>
      <c r="G144" t="s">
        <v>17</v>
      </c>
      <c r="H144" s="2">
        <v>41722</v>
      </c>
      <c r="I144" s="2">
        <v>41726</v>
      </c>
      <c r="J144" t="s">
        <v>27</v>
      </c>
      <c r="K144" s="2">
        <v>41769.135444363426</v>
      </c>
      <c r="L144" t="s">
        <v>36</v>
      </c>
      <c r="M144">
        <v>429107</v>
      </c>
      <c r="N144">
        <v>3</v>
      </c>
      <c r="O144">
        <v>3</v>
      </c>
      <c r="P144">
        <v>3</v>
      </c>
      <c r="Q144">
        <v>3</v>
      </c>
      <c r="R144">
        <v>380</v>
      </c>
      <c r="S144" t="s">
        <v>2873</v>
      </c>
      <c r="T144" t="s">
        <v>2874</v>
      </c>
      <c r="U144" t="s">
        <v>2875</v>
      </c>
      <c r="V144" t="s">
        <v>2495</v>
      </c>
      <c r="W144" t="s">
        <v>174</v>
      </c>
      <c r="X144" t="s">
        <v>1471</v>
      </c>
    </row>
    <row r="145" spans="1:24" ht="12.75">
      <c r="A145" s="1" t="str">
        <f>HYPERLINK("http://www.ofsted.gov.uk/inspection-reports/find-inspection-report/provider/ELS/51572","Ofsted FES Webpage")</f>
        <v>Ofsted FES Webpage</v>
      </c>
      <c r="B145" t="s">
        <v>271</v>
      </c>
      <c r="C145">
        <v>51572</v>
      </c>
      <c r="D145">
        <v>106491</v>
      </c>
      <c r="E145" t="s">
        <v>249</v>
      </c>
      <c r="F145" t="s">
        <v>63</v>
      </c>
      <c r="G145" t="s">
        <v>17</v>
      </c>
      <c r="H145" s="2">
        <v>41184</v>
      </c>
      <c r="I145" s="2">
        <v>41187</v>
      </c>
      <c r="J145" t="s">
        <v>32</v>
      </c>
      <c r="K145" s="2">
        <v>41222.135681134256</v>
      </c>
      <c r="L145" t="s">
        <v>36</v>
      </c>
      <c r="M145">
        <v>404567</v>
      </c>
      <c r="N145">
        <v>2</v>
      </c>
      <c r="O145">
        <v>2</v>
      </c>
      <c r="P145">
        <v>3</v>
      </c>
      <c r="Q145">
        <v>3</v>
      </c>
      <c r="R145">
        <v>376</v>
      </c>
      <c r="T145" t="s">
        <v>2876</v>
      </c>
      <c r="W145" t="s">
        <v>2817</v>
      </c>
      <c r="X145" t="s">
        <v>1472</v>
      </c>
    </row>
    <row r="146" spans="1:24" ht="12.75">
      <c r="A146" s="1" t="str">
        <f>HYPERLINK("http://www.ofsted.gov.uk/inspection-reports/find-inspection-report/provider/ELS/51573","Ofsted FES Webpage")</f>
        <v>Ofsted FES Webpage</v>
      </c>
      <c r="B146" t="s">
        <v>272</v>
      </c>
      <c r="C146">
        <v>51573</v>
      </c>
      <c r="D146">
        <v>118936</v>
      </c>
      <c r="E146" t="s">
        <v>15</v>
      </c>
      <c r="F146" t="s">
        <v>16</v>
      </c>
      <c r="G146" t="s">
        <v>160</v>
      </c>
      <c r="H146" s="2">
        <v>41128</v>
      </c>
      <c r="I146" s="2">
        <v>41131</v>
      </c>
      <c r="J146" t="s">
        <v>23</v>
      </c>
      <c r="K146" s="2">
        <v>41169.13546315972</v>
      </c>
      <c r="L146" t="s">
        <v>29</v>
      </c>
      <c r="M146">
        <v>388438</v>
      </c>
      <c r="N146">
        <v>2</v>
      </c>
      <c r="O146">
        <v>2</v>
      </c>
      <c r="P146">
        <v>2</v>
      </c>
      <c r="Q146">
        <v>2</v>
      </c>
      <c r="R146">
        <v>435</v>
      </c>
      <c r="S146" t="s">
        <v>2877</v>
      </c>
      <c r="T146" t="s">
        <v>2878</v>
      </c>
      <c r="W146" t="s">
        <v>15</v>
      </c>
      <c r="X146" t="s">
        <v>1473</v>
      </c>
    </row>
    <row r="147" spans="1:24" ht="12.75">
      <c r="A147" s="1" t="str">
        <f>HYPERLINK("http://www.ofsted.gov.uk/inspection-reports/find-inspection-report/provider/ELS/51578","Ofsted FES Webpage")</f>
        <v>Ofsted FES Webpage</v>
      </c>
      <c r="B147" t="s">
        <v>273</v>
      </c>
      <c r="C147">
        <v>51578</v>
      </c>
      <c r="D147">
        <v>107022</v>
      </c>
      <c r="E147" t="s">
        <v>274</v>
      </c>
      <c r="F147" t="s">
        <v>26</v>
      </c>
      <c r="G147" t="s">
        <v>40</v>
      </c>
      <c r="H147" s="2">
        <v>41198</v>
      </c>
      <c r="I147" s="2">
        <v>41201</v>
      </c>
      <c r="J147" t="s">
        <v>32</v>
      </c>
      <c r="K147" s="2">
        <v>41300.13546211806</v>
      </c>
      <c r="L147" t="s">
        <v>45</v>
      </c>
      <c r="M147">
        <v>399147</v>
      </c>
      <c r="N147">
        <v>2</v>
      </c>
      <c r="O147">
        <v>2</v>
      </c>
      <c r="P147">
        <v>3</v>
      </c>
      <c r="Q147">
        <v>3</v>
      </c>
      <c r="R147">
        <v>2315</v>
      </c>
      <c r="S147" t="s">
        <v>2880</v>
      </c>
      <c r="T147" t="s">
        <v>2881</v>
      </c>
      <c r="U147" t="s">
        <v>274</v>
      </c>
      <c r="X147" t="s">
        <v>1475</v>
      </c>
    </row>
    <row r="148" spans="1:24" ht="12.75">
      <c r="A148" s="1" t="str">
        <f>HYPERLINK("http://www.ofsted.gov.uk/inspection-reports/find-inspection-report/provider/ELS/51579","Ofsted FES Webpage")</f>
        <v>Ofsted FES Webpage</v>
      </c>
      <c r="B148" t="s">
        <v>276</v>
      </c>
      <c r="C148">
        <v>51579</v>
      </c>
      <c r="D148">
        <v>107023</v>
      </c>
      <c r="E148" t="s">
        <v>274</v>
      </c>
      <c r="F148" t="s">
        <v>26</v>
      </c>
      <c r="G148" t="s">
        <v>40</v>
      </c>
      <c r="H148" s="2">
        <v>40673</v>
      </c>
      <c r="I148" s="2">
        <v>40676</v>
      </c>
      <c r="J148" t="s">
        <v>56</v>
      </c>
      <c r="K148" s="2">
        <v>40710.13545771991</v>
      </c>
      <c r="L148" t="s">
        <v>19</v>
      </c>
      <c r="M148">
        <v>366036</v>
      </c>
      <c r="N148">
        <v>2</v>
      </c>
      <c r="O148">
        <v>2</v>
      </c>
      <c r="P148">
        <v>2</v>
      </c>
      <c r="Q148">
        <v>2</v>
      </c>
      <c r="R148">
        <v>344</v>
      </c>
      <c r="S148" t="s">
        <v>2882</v>
      </c>
      <c r="T148" t="s">
        <v>2883</v>
      </c>
      <c r="U148" t="s">
        <v>2884</v>
      </c>
      <c r="W148" t="s">
        <v>274</v>
      </c>
      <c r="X148" t="s">
        <v>1476</v>
      </c>
    </row>
    <row r="149" spans="1:24" ht="12.75">
      <c r="A149" s="1" t="str">
        <f>HYPERLINK("http://www.ofsted.gov.uk/inspection-reports/find-inspection-report/provider/ELS/51619","Ofsted FES Webpage")</f>
        <v>Ofsted FES Webpage</v>
      </c>
      <c r="B149" t="s">
        <v>277</v>
      </c>
      <c r="C149">
        <v>51619</v>
      </c>
      <c r="D149">
        <v>110017</v>
      </c>
      <c r="E149" t="s">
        <v>278</v>
      </c>
      <c r="F149" t="s">
        <v>35</v>
      </c>
      <c r="G149" t="s">
        <v>17</v>
      </c>
      <c r="H149" s="2">
        <v>39470</v>
      </c>
      <c r="I149" s="2">
        <v>39472</v>
      </c>
      <c r="J149" t="s">
        <v>154</v>
      </c>
      <c r="K149" s="2">
        <v>39513.13555019676</v>
      </c>
      <c r="L149" t="s">
        <v>19</v>
      </c>
      <c r="M149">
        <v>318277</v>
      </c>
      <c r="N149">
        <v>2</v>
      </c>
      <c r="O149">
        <v>2</v>
      </c>
      <c r="P149" t="s">
        <v>20</v>
      </c>
      <c r="Q149" t="s">
        <v>20</v>
      </c>
      <c r="R149">
        <v>213</v>
      </c>
      <c r="S149" t="s">
        <v>2890</v>
      </c>
      <c r="T149" t="s">
        <v>2891</v>
      </c>
      <c r="W149" t="s">
        <v>35</v>
      </c>
      <c r="X149" t="s">
        <v>1478</v>
      </c>
    </row>
    <row r="150" spans="1:24" ht="12.75">
      <c r="A150" s="1" t="str">
        <f>HYPERLINK("http://www.ofsted.gov.uk/inspection-reports/find-inspection-report/provider/ELS/51623","Ofsted FES Webpage")</f>
        <v>Ofsted FES Webpage</v>
      </c>
      <c r="B150" t="s">
        <v>279</v>
      </c>
      <c r="C150">
        <v>51623</v>
      </c>
      <c r="D150">
        <v>107610</v>
      </c>
      <c r="E150" t="s">
        <v>213</v>
      </c>
      <c r="F150" t="s">
        <v>49</v>
      </c>
      <c r="G150" t="s">
        <v>17</v>
      </c>
      <c r="H150" s="2">
        <v>41443</v>
      </c>
      <c r="I150" s="2">
        <v>41446</v>
      </c>
      <c r="J150" t="s">
        <v>32</v>
      </c>
      <c r="K150" s="2">
        <v>41481.13548842593</v>
      </c>
      <c r="L150" t="s">
        <v>36</v>
      </c>
      <c r="M150">
        <v>408483</v>
      </c>
      <c r="N150">
        <v>2</v>
      </c>
      <c r="O150">
        <v>2</v>
      </c>
      <c r="P150">
        <v>3</v>
      </c>
      <c r="Q150">
        <v>3</v>
      </c>
      <c r="R150">
        <v>121</v>
      </c>
      <c r="T150" t="s">
        <v>2893</v>
      </c>
      <c r="W150" t="s">
        <v>2894</v>
      </c>
      <c r="X150" t="s">
        <v>1479</v>
      </c>
    </row>
    <row r="151" spans="1:24" ht="12.75">
      <c r="A151" s="1" t="str">
        <f>HYPERLINK("http://www.ofsted.gov.uk/inspection-reports/find-inspection-report/provider/ELS/51627","Ofsted FES Webpage")</f>
        <v>Ofsted FES Webpage</v>
      </c>
      <c r="B151" t="s">
        <v>280</v>
      </c>
      <c r="C151">
        <v>51627</v>
      </c>
      <c r="D151">
        <v>106948</v>
      </c>
      <c r="E151" t="s">
        <v>38</v>
      </c>
      <c r="F151" t="s">
        <v>39</v>
      </c>
      <c r="G151" t="s">
        <v>40</v>
      </c>
      <c r="H151" s="2">
        <v>41429</v>
      </c>
      <c r="I151" s="2">
        <v>41432</v>
      </c>
      <c r="J151" t="s">
        <v>32</v>
      </c>
      <c r="K151" s="2">
        <v>41467.135629282406</v>
      </c>
      <c r="L151" t="s">
        <v>36</v>
      </c>
      <c r="M151">
        <v>410682</v>
      </c>
      <c r="N151">
        <v>4</v>
      </c>
      <c r="O151">
        <v>4</v>
      </c>
      <c r="P151">
        <v>2</v>
      </c>
      <c r="Q151">
        <v>2</v>
      </c>
      <c r="R151">
        <v>278</v>
      </c>
      <c r="T151" t="s">
        <v>2895</v>
      </c>
      <c r="U151" t="s">
        <v>2896</v>
      </c>
      <c r="W151" t="s">
        <v>2424</v>
      </c>
      <c r="X151" t="s">
        <v>1480</v>
      </c>
    </row>
    <row r="152" spans="1:24" ht="12.75">
      <c r="A152" s="1" t="str">
        <f>HYPERLINK("http://www.ofsted.gov.uk/inspection-reports/find-inspection-report/provider/ELS/51646","Ofsted FES Webpage")</f>
        <v>Ofsted FES Webpage</v>
      </c>
      <c r="B152" t="s">
        <v>281</v>
      </c>
      <c r="C152">
        <v>51646</v>
      </c>
      <c r="D152">
        <v>108088</v>
      </c>
      <c r="E152" t="s">
        <v>282</v>
      </c>
      <c r="F152" t="s">
        <v>35</v>
      </c>
      <c r="G152" t="s">
        <v>40</v>
      </c>
      <c r="H152" s="2">
        <v>39923</v>
      </c>
      <c r="I152" s="2">
        <v>39927</v>
      </c>
      <c r="J152" t="s">
        <v>44</v>
      </c>
      <c r="K152" s="2">
        <v>39966.135474918985</v>
      </c>
      <c r="L152" t="s">
        <v>45</v>
      </c>
      <c r="M152">
        <v>334063</v>
      </c>
      <c r="N152">
        <v>2</v>
      </c>
      <c r="O152">
        <v>2</v>
      </c>
      <c r="P152">
        <v>3</v>
      </c>
      <c r="Q152">
        <v>2</v>
      </c>
      <c r="R152">
        <v>579</v>
      </c>
      <c r="T152" t="s">
        <v>2902</v>
      </c>
      <c r="W152" t="s">
        <v>35</v>
      </c>
      <c r="X152" t="s">
        <v>1482</v>
      </c>
    </row>
    <row r="153" spans="1:24" ht="12.75">
      <c r="A153" s="1" t="str">
        <f>HYPERLINK("http://www.ofsted.gov.uk/inspection-reports/find-inspection-report/provider/ELS/51653","Ofsted FES Webpage")</f>
        <v>Ofsted FES Webpage</v>
      </c>
      <c r="B153" t="s">
        <v>283</v>
      </c>
      <c r="C153">
        <v>51653</v>
      </c>
      <c r="D153">
        <v>108073</v>
      </c>
      <c r="E153" t="s">
        <v>284</v>
      </c>
      <c r="F153" t="s">
        <v>26</v>
      </c>
      <c r="G153" t="s">
        <v>40</v>
      </c>
      <c r="H153" s="2">
        <v>41757</v>
      </c>
      <c r="I153" s="2">
        <v>41761</v>
      </c>
      <c r="J153" t="s">
        <v>27</v>
      </c>
      <c r="K153" s="2">
        <v>41796.13549594907</v>
      </c>
      <c r="L153" t="s">
        <v>54</v>
      </c>
      <c r="M153">
        <v>429243</v>
      </c>
      <c r="N153">
        <v>3</v>
      </c>
      <c r="O153">
        <v>3</v>
      </c>
      <c r="P153">
        <v>3</v>
      </c>
      <c r="Q153">
        <v>3</v>
      </c>
      <c r="R153">
        <v>3924</v>
      </c>
      <c r="T153" t="s">
        <v>2906</v>
      </c>
      <c r="U153" t="s">
        <v>2425</v>
      </c>
      <c r="V153" t="s">
        <v>2907</v>
      </c>
      <c r="W153" t="s">
        <v>2631</v>
      </c>
      <c r="X153" t="s">
        <v>1484</v>
      </c>
    </row>
    <row r="154" spans="1:24" ht="12.75">
      <c r="A154" s="1" t="str">
        <f>HYPERLINK("http://www.ofsted.gov.uk/inspection-reports/find-inspection-report/provider/ELS/51686","Ofsted FES Webpage")</f>
        <v>Ofsted FES Webpage</v>
      </c>
      <c r="B154" t="s">
        <v>285</v>
      </c>
      <c r="C154">
        <v>51686</v>
      </c>
      <c r="D154">
        <v>106323</v>
      </c>
      <c r="E154" t="s">
        <v>286</v>
      </c>
      <c r="F154" t="s">
        <v>39</v>
      </c>
      <c r="G154" t="s">
        <v>17</v>
      </c>
      <c r="H154" s="2">
        <v>41659</v>
      </c>
      <c r="I154" s="2">
        <v>41663</v>
      </c>
      <c r="J154" t="s">
        <v>27</v>
      </c>
      <c r="K154" s="2">
        <v>41688.13546770834</v>
      </c>
      <c r="L154" t="s">
        <v>60</v>
      </c>
      <c r="M154">
        <v>429088</v>
      </c>
      <c r="N154">
        <v>2</v>
      </c>
      <c r="O154">
        <v>2</v>
      </c>
      <c r="P154">
        <v>3</v>
      </c>
      <c r="Q154">
        <v>3</v>
      </c>
      <c r="R154">
        <v>481</v>
      </c>
      <c r="T154" t="s">
        <v>2913</v>
      </c>
      <c r="U154" t="s">
        <v>2914</v>
      </c>
      <c r="V154" t="s">
        <v>2669</v>
      </c>
      <c r="W154" t="s">
        <v>401</v>
      </c>
      <c r="X154" t="s">
        <v>1485</v>
      </c>
    </row>
    <row r="155" spans="1:24" ht="12.75">
      <c r="A155" s="1" t="str">
        <f>HYPERLINK("http://www.ofsted.gov.uk/inspection-reports/find-inspection-report/provider/ELS/51687","Ofsted FES Webpage")</f>
        <v>Ofsted FES Webpage</v>
      </c>
      <c r="B155" t="s">
        <v>287</v>
      </c>
      <c r="C155">
        <v>51687</v>
      </c>
      <c r="D155">
        <v>109898</v>
      </c>
      <c r="E155" t="s">
        <v>70</v>
      </c>
      <c r="F155" t="s">
        <v>39</v>
      </c>
      <c r="G155" t="s">
        <v>17</v>
      </c>
      <c r="H155" s="2">
        <v>41813</v>
      </c>
      <c r="I155" s="2">
        <v>41817</v>
      </c>
      <c r="J155" t="s">
        <v>27</v>
      </c>
      <c r="K155" s="2">
        <v>41855.13545350695</v>
      </c>
      <c r="L155" t="s">
        <v>60</v>
      </c>
      <c r="M155">
        <v>429269</v>
      </c>
      <c r="N155">
        <v>3</v>
      </c>
      <c r="O155">
        <v>3</v>
      </c>
      <c r="P155">
        <v>3</v>
      </c>
      <c r="Q155">
        <v>3</v>
      </c>
      <c r="R155">
        <v>4537</v>
      </c>
      <c r="S155" t="s">
        <v>2915</v>
      </c>
      <c r="T155" t="s">
        <v>2916</v>
      </c>
      <c r="X155" t="s">
        <v>1486</v>
      </c>
    </row>
    <row r="156" spans="1:24" ht="12.75">
      <c r="A156" s="1" t="str">
        <f>HYPERLINK("http://www.ofsted.gov.uk/inspection-reports/find-inspection-report/provider/ELS/51688","Ofsted FES Webpage")</f>
        <v>Ofsted FES Webpage</v>
      </c>
      <c r="B156" t="s">
        <v>288</v>
      </c>
      <c r="C156">
        <v>51688</v>
      </c>
      <c r="D156">
        <v>106499</v>
      </c>
      <c r="E156" t="s">
        <v>268</v>
      </c>
      <c r="F156" t="s">
        <v>63</v>
      </c>
      <c r="G156" t="s">
        <v>40</v>
      </c>
      <c r="H156" s="2">
        <v>41085</v>
      </c>
      <c r="I156" s="2">
        <v>41089</v>
      </c>
      <c r="J156" t="s">
        <v>23</v>
      </c>
      <c r="K156" s="2">
        <v>41124.135611261576</v>
      </c>
      <c r="L156" t="s">
        <v>19</v>
      </c>
      <c r="M156">
        <v>366054</v>
      </c>
      <c r="N156">
        <v>1</v>
      </c>
      <c r="O156">
        <v>1</v>
      </c>
      <c r="P156">
        <v>2</v>
      </c>
      <c r="Q156">
        <v>2</v>
      </c>
      <c r="R156">
        <v>729</v>
      </c>
      <c r="S156" t="s">
        <v>2917</v>
      </c>
      <c r="T156" t="s">
        <v>2918</v>
      </c>
      <c r="U156" t="s">
        <v>2919</v>
      </c>
      <c r="W156" t="s">
        <v>2595</v>
      </c>
      <c r="X156" t="s">
        <v>1487</v>
      </c>
    </row>
    <row r="157" spans="1:24" ht="12.75">
      <c r="A157" s="1" t="str">
        <f>HYPERLINK("http://www.ofsted.gov.uk/inspection-reports/find-inspection-report/provider/ELS/51693","Ofsted FES Webpage")</f>
        <v>Ofsted FES Webpage</v>
      </c>
      <c r="B157" t="s">
        <v>289</v>
      </c>
      <c r="C157">
        <v>51693</v>
      </c>
      <c r="D157">
        <v>118837</v>
      </c>
      <c r="E157" t="s">
        <v>106</v>
      </c>
      <c r="F157" t="s">
        <v>49</v>
      </c>
      <c r="G157" t="s">
        <v>17</v>
      </c>
      <c r="H157" s="2">
        <v>40183</v>
      </c>
      <c r="I157" s="2">
        <v>40186</v>
      </c>
      <c r="J157" t="s">
        <v>18</v>
      </c>
      <c r="K157" s="2">
        <v>40221.13628491898</v>
      </c>
      <c r="L157" t="s">
        <v>19</v>
      </c>
      <c r="M157">
        <v>346191</v>
      </c>
      <c r="N157">
        <v>2</v>
      </c>
      <c r="O157">
        <v>3</v>
      </c>
      <c r="P157">
        <v>3</v>
      </c>
      <c r="Q157">
        <v>3</v>
      </c>
      <c r="R157">
        <v>325</v>
      </c>
      <c r="S157" t="s">
        <v>2920</v>
      </c>
      <c r="T157" t="s">
        <v>106</v>
      </c>
      <c r="X157" t="s">
        <v>1488</v>
      </c>
    </row>
    <row r="158" spans="1:24" ht="12.75">
      <c r="A158" s="1" t="str">
        <f>HYPERLINK("http://www.ofsted.gov.uk/inspection-reports/find-inspection-report/provider/ELS/51701","Ofsted FES Webpage")</f>
        <v>Ofsted FES Webpage</v>
      </c>
      <c r="B158" t="s">
        <v>290</v>
      </c>
      <c r="C158">
        <v>51701</v>
      </c>
      <c r="D158">
        <v>108087</v>
      </c>
      <c r="E158" t="s">
        <v>291</v>
      </c>
      <c r="F158" t="s">
        <v>35</v>
      </c>
      <c r="G158" t="s">
        <v>17</v>
      </c>
      <c r="H158" s="2">
        <v>40505</v>
      </c>
      <c r="I158" s="2">
        <v>40508</v>
      </c>
      <c r="J158" t="s">
        <v>56</v>
      </c>
      <c r="K158" s="2">
        <v>40550.135519097224</v>
      </c>
      <c r="L158" t="s">
        <v>45</v>
      </c>
      <c r="M158">
        <v>354462</v>
      </c>
      <c r="N158">
        <v>2</v>
      </c>
      <c r="O158">
        <v>2</v>
      </c>
      <c r="P158">
        <v>2</v>
      </c>
      <c r="Q158">
        <v>2</v>
      </c>
      <c r="R158">
        <v>12</v>
      </c>
      <c r="T158" t="s">
        <v>2921</v>
      </c>
      <c r="W158" t="s">
        <v>35</v>
      </c>
      <c r="X158" t="s">
        <v>1489</v>
      </c>
    </row>
    <row r="159" spans="1:24" ht="12.75">
      <c r="A159" s="1" t="str">
        <f>HYPERLINK("http://www.ofsted.gov.uk/inspection-reports/find-inspection-report/provider/ELS/51766","Ofsted FES Webpage")</f>
        <v>Ofsted FES Webpage</v>
      </c>
      <c r="B159" t="s">
        <v>292</v>
      </c>
      <c r="C159">
        <v>51766</v>
      </c>
      <c r="D159">
        <v>110116</v>
      </c>
      <c r="E159" t="s">
        <v>95</v>
      </c>
      <c r="F159" t="s">
        <v>39</v>
      </c>
      <c r="G159" t="s">
        <v>40</v>
      </c>
      <c r="H159" s="2">
        <v>39965</v>
      </c>
      <c r="I159" s="2">
        <v>39969</v>
      </c>
      <c r="J159" t="s">
        <v>44</v>
      </c>
      <c r="K159" s="2">
        <v>40004.135480324076</v>
      </c>
      <c r="L159" t="s">
        <v>45</v>
      </c>
      <c r="M159">
        <v>331440</v>
      </c>
      <c r="N159">
        <v>1</v>
      </c>
      <c r="O159">
        <v>1</v>
      </c>
      <c r="P159" t="s">
        <v>20</v>
      </c>
      <c r="Q159" t="s">
        <v>20</v>
      </c>
      <c r="R159">
        <v>18740</v>
      </c>
      <c r="S159" t="s">
        <v>2923</v>
      </c>
      <c r="T159" t="s">
        <v>2425</v>
      </c>
      <c r="U159" t="s">
        <v>2778</v>
      </c>
      <c r="V159" t="s">
        <v>95</v>
      </c>
      <c r="X159" t="s">
        <v>1491</v>
      </c>
    </row>
    <row r="160" spans="1:24" ht="12.75">
      <c r="A160" s="1" t="str">
        <f>HYPERLINK("http://www.ofsted.gov.uk/inspection-reports/find-inspection-report/provider/ELS/51779","Ofsted FES Webpage")</f>
        <v>Ofsted FES Webpage</v>
      </c>
      <c r="B160" t="s">
        <v>293</v>
      </c>
      <c r="C160">
        <v>51779</v>
      </c>
      <c r="D160">
        <v>110182</v>
      </c>
      <c r="E160" t="s">
        <v>294</v>
      </c>
      <c r="F160" t="s">
        <v>35</v>
      </c>
      <c r="G160" t="s">
        <v>17</v>
      </c>
      <c r="H160" s="2">
        <v>41821</v>
      </c>
      <c r="I160" s="2">
        <v>41824</v>
      </c>
      <c r="J160" t="s">
        <v>27</v>
      </c>
      <c r="K160" s="2">
        <v>41859.13545613426</v>
      </c>
      <c r="L160" t="s">
        <v>36</v>
      </c>
      <c r="M160">
        <v>433754</v>
      </c>
      <c r="N160">
        <v>2</v>
      </c>
      <c r="O160">
        <v>2</v>
      </c>
      <c r="P160" t="s">
        <v>20</v>
      </c>
      <c r="Q160" t="s">
        <v>20</v>
      </c>
      <c r="R160">
        <v>537</v>
      </c>
      <c r="S160" t="s">
        <v>2924</v>
      </c>
      <c r="T160" t="s">
        <v>2925</v>
      </c>
      <c r="U160" t="s">
        <v>294</v>
      </c>
      <c r="X160" t="s">
        <v>1492</v>
      </c>
    </row>
    <row r="161" spans="1:24" ht="12.75">
      <c r="A161" s="1" t="str">
        <f>HYPERLINK("http://www.ofsted.gov.uk/inspection-reports/find-inspection-report/provider/ELS/51800","Ofsted FES Webpage")</f>
        <v>Ofsted FES Webpage</v>
      </c>
      <c r="B161" t="s">
        <v>295</v>
      </c>
      <c r="C161">
        <v>51800</v>
      </c>
      <c r="D161">
        <v>116500</v>
      </c>
      <c r="E161" t="s">
        <v>296</v>
      </c>
      <c r="F161" t="s">
        <v>26</v>
      </c>
      <c r="G161" t="s">
        <v>17</v>
      </c>
      <c r="H161" s="2">
        <v>41436</v>
      </c>
      <c r="I161" s="2">
        <v>41439</v>
      </c>
      <c r="J161" t="s">
        <v>32</v>
      </c>
      <c r="K161" s="2">
        <v>41480.13551678241</v>
      </c>
      <c r="L161" t="s">
        <v>29</v>
      </c>
      <c r="M161">
        <v>408494</v>
      </c>
      <c r="N161">
        <v>3</v>
      </c>
      <c r="O161">
        <v>4</v>
      </c>
      <c r="P161">
        <v>3</v>
      </c>
      <c r="Q161">
        <v>3</v>
      </c>
      <c r="R161">
        <v>930</v>
      </c>
      <c r="S161" t="s">
        <v>2926</v>
      </c>
      <c r="T161" t="s">
        <v>2927</v>
      </c>
      <c r="U161" t="s">
        <v>2928</v>
      </c>
      <c r="V161" t="s">
        <v>2929</v>
      </c>
      <c r="W161" t="s">
        <v>2930</v>
      </c>
      <c r="X161" t="s">
        <v>1493</v>
      </c>
    </row>
    <row r="162" spans="1:24" ht="12.75">
      <c r="A162" s="1" t="str">
        <f>HYPERLINK("http://www.ofsted.gov.uk/inspection-reports/find-inspection-report/provider/ELS/51815","Ofsted FES Webpage")</f>
        <v>Ofsted FES Webpage</v>
      </c>
      <c r="B162" t="s">
        <v>297</v>
      </c>
      <c r="C162">
        <v>51815</v>
      </c>
      <c r="D162">
        <v>106601</v>
      </c>
      <c r="E162" t="s">
        <v>59</v>
      </c>
      <c r="F162" t="s">
        <v>43</v>
      </c>
      <c r="G162" t="s">
        <v>17</v>
      </c>
      <c r="H162" s="2">
        <v>40728</v>
      </c>
      <c r="I162" s="2">
        <v>40732</v>
      </c>
      <c r="J162" t="s">
        <v>56</v>
      </c>
      <c r="K162" s="2">
        <v>40767.13549644676</v>
      </c>
      <c r="L162" t="s">
        <v>19</v>
      </c>
      <c r="M162">
        <v>366057</v>
      </c>
      <c r="N162">
        <v>1</v>
      </c>
      <c r="O162">
        <v>1</v>
      </c>
      <c r="P162" t="s">
        <v>20</v>
      </c>
      <c r="Q162" t="s">
        <v>20</v>
      </c>
      <c r="R162">
        <v>1348</v>
      </c>
      <c r="S162" t="s">
        <v>2933</v>
      </c>
      <c r="T162" t="s">
        <v>2934</v>
      </c>
      <c r="W162" t="s">
        <v>2935</v>
      </c>
      <c r="X162" t="s">
        <v>1495</v>
      </c>
    </row>
    <row r="163" spans="1:24" ht="12.75">
      <c r="A163" s="1" t="str">
        <f>HYPERLINK("http://www.ofsted.gov.uk/inspection-reports/find-inspection-report/provider/ELS/51835","Ofsted FES Webpage")</f>
        <v>Ofsted FES Webpage</v>
      </c>
      <c r="B163" t="s">
        <v>298</v>
      </c>
      <c r="C163">
        <v>51835</v>
      </c>
      <c r="D163">
        <v>106661</v>
      </c>
      <c r="E163" t="s">
        <v>213</v>
      </c>
      <c r="F163" t="s">
        <v>49</v>
      </c>
      <c r="G163" t="s">
        <v>160</v>
      </c>
      <c r="H163" s="2">
        <v>40519</v>
      </c>
      <c r="I163" s="2">
        <v>40522</v>
      </c>
      <c r="J163" t="s">
        <v>56</v>
      </c>
      <c r="K163" s="2">
        <v>40562.135445520835</v>
      </c>
      <c r="L163" t="s">
        <v>28</v>
      </c>
      <c r="M163">
        <v>354306</v>
      </c>
      <c r="N163">
        <v>1</v>
      </c>
      <c r="O163">
        <v>1</v>
      </c>
      <c r="P163">
        <v>4</v>
      </c>
      <c r="Q163">
        <v>4</v>
      </c>
      <c r="R163">
        <v>57</v>
      </c>
      <c r="T163" t="s">
        <v>2937</v>
      </c>
      <c r="W163" t="s">
        <v>2581</v>
      </c>
      <c r="X163" t="s">
        <v>1496</v>
      </c>
    </row>
    <row r="164" spans="1:24" ht="12.75">
      <c r="A164" s="1" t="str">
        <f>HYPERLINK("http://www.ofsted.gov.uk/inspection-reports/find-inspection-report/provider/ELS/51841","Ofsted FES Webpage")</f>
        <v>Ofsted FES Webpage</v>
      </c>
      <c r="B164" t="s">
        <v>299</v>
      </c>
      <c r="C164">
        <v>51841</v>
      </c>
      <c r="D164">
        <v>108720</v>
      </c>
      <c r="E164" t="s">
        <v>234</v>
      </c>
      <c r="F164" t="s">
        <v>16</v>
      </c>
      <c r="G164" t="s">
        <v>40</v>
      </c>
      <c r="H164" s="2">
        <v>40253</v>
      </c>
      <c r="I164" s="2">
        <v>40256</v>
      </c>
      <c r="J164" t="s">
        <v>18</v>
      </c>
      <c r="K164" s="2">
        <v>40295.13551898148</v>
      </c>
      <c r="L164" t="s">
        <v>19</v>
      </c>
      <c r="M164">
        <v>343968</v>
      </c>
      <c r="N164">
        <v>2</v>
      </c>
      <c r="O164">
        <v>2</v>
      </c>
      <c r="P164">
        <v>3</v>
      </c>
      <c r="Q164">
        <v>2</v>
      </c>
      <c r="R164">
        <v>610</v>
      </c>
      <c r="S164" t="s">
        <v>2938</v>
      </c>
      <c r="T164" t="s">
        <v>2939</v>
      </c>
      <c r="U164" t="s">
        <v>234</v>
      </c>
      <c r="X164" t="s">
        <v>1497</v>
      </c>
    </row>
    <row r="165" spans="1:24" ht="12.75">
      <c r="A165" s="1" t="str">
        <f>HYPERLINK("http://www.ofsted.gov.uk/inspection-reports/find-inspection-report/provider/ELS/51850","Ofsted FES Webpage")</f>
        <v>Ofsted FES Webpage</v>
      </c>
      <c r="B165" t="s">
        <v>300</v>
      </c>
      <c r="C165">
        <v>51850</v>
      </c>
      <c r="D165">
        <v>107942</v>
      </c>
      <c r="E165" t="s">
        <v>301</v>
      </c>
      <c r="F165" t="s">
        <v>35</v>
      </c>
      <c r="G165" t="s">
        <v>40</v>
      </c>
      <c r="H165" s="2">
        <v>41582</v>
      </c>
      <c r="I165" s="2">
        <v>41586</v>
      </c>
      <c r="J165" t="s">
        <v>27</v>
      </c>
      <c r="K165" s="2">
        <v>41621.1354556713</v>
      </c>
      <c r="L165" t="s">
        <v>36</v>
      </c>
      <c r="M165">
        <v>423795</v>
      </c>
      <c r="N165">
        <v>2</v>
      </c>
      <c r="O165">
        <v>2</v>
      </c>
      <c r="P165">
        <v>2</v>
      </c>
      <c r="Q165">
        <v>2</v>
      </c>
      <c r="R165">
        <v>302</v>
      </c>
      <c r="S165" t="s">
        <v>2942</v>
      </c>
      <c r="W165" t="s">
        <v>35</v>
      </c>
      <c r="X165" t="s">
        <v>1498</v>
      </c>
    </row>
    <row r="166" spans="1:24" ht="12.75">
      <c r="A166" s="1" t="str">
        <f>HYPERLINK("http://www.ofsted.gov.uk/inspection-reports/find-inspection-report/provider/ELS/51856","Ofsted FES Webpage")</f>
        <v>Ofsted FES Webpage</v>
      </c>
      <c r="B166" t="s">
        <v>302</v>
      </c>
      <c r="C166">
        <v>51856</v>
      </c>
      <c r="D166">
        <v>110079</v>
      </c>
      <c r="E166" t="s">
        <v>199</v>
      </c>
      <c r="F166" t="s">
        <v>63</v>
      </c>
      <c r="G166" t="s">
        <v>17</v>
      </c>
      <c r="H166" s="2">
        <v>41099</v>
      </c>
      <c r="I166" s="2">
        <v>41103</v>
      </c>
      <c r="J166" t="s">
        <v>23</v>
      </c>
      <c r="K166" s="2">
        <v>41139.13544320602</v>
      </c>
      <c r="L166" t="s">
        <v>29</v>
      </c>
      <c r="M166">
        <v>395225</v>
      </c>
      <c r="N166">
        <v>2</v>
      </c>
      <c r="O166">
        <v>2</v>
      </c>
      <c r="P166">
        <v>2</v>
      </c>
      <c r="Q166">
        <v>2</v>
      </c>
      <c r="R166">
        <v>16513</v>
      </c>
      <c r="S166" t="s">
        <v>2943</v>
      </c>
      <c r="T166" t="s">
        <v>2944</v>
      </c>
      <c r="U166" t="s">
        <v>2945</v>
      </c>
      <c r="V166" t="s">
        <v>2946</v>
      </c>
      <c r="W166" t="s">
        <v>2484</v>
      </c>
      <c r="X166" t="s">
        <v>1499</v>
      </c>
    </row>
    <row r="167" spans="1:24" ht="12.75">
      <c r="A167" s="1" t="str">
        <f>HYPERLINK("http://www.ofsted.gov.uk/inspection-reports/find-inspection-report/provider/ELS/51859","Ofsted FES Webpage")</f>
        <v>Ofsted FES Webpage</v>
      </c>
      <c r="B167" t="s">
        <v>303</v>
      </c>
      <c r="C167">
        <v>51859</v>
      </c>
      <c r="D167">
        <v>122925</v>
      </c>
      <c r="E167" t="s">
        <v>75</v>
      </c>
      <c r="F167" t="s">
        <v>63</v>
      </c>
      <c r="G167" t="s">
        <v>17</v>
      </c>
      <c r="H167" s="2">
        <v>40449</v>
      </c>
      <c r="I167" s="2">
        <v>40452</v>
      </c>
      <c r="J167" t="s">
        <v>56</v>
      </c>
      <c r="K167" s="2">
        <v>40487.135483067126</v>
      </c>
      <c r="L167" t="s">
        <v>19</v>
      </c>
      <c r="M167">
        <v>345944</v>
      </c>
      <c r="N167">
        <v>1</v>
      </c>
      <c r="O167">
        <v>1</v>
      </c>
      <c r="P167">
        <v>2</v>
      </c>
      <c r="Q167">
        <v>2</v>
      </c>
      <c r="R167">
        <v>550</v>
      </c>
      <c r="S167" t="s">
        <v>2947</v>
      </c>
      <c r="T167" t="s">
        <v>2948</v>
      </c>
      <c r="U167" t="s">
        <v>2949</v>
      </c>
      <c r="V167" t="s">
        <v>2484</v>
      </c>
      <c r="X167" t="s">
        <v>1500</v>
      </c>
    </row>
    <row r="168" spans="1:24" ht="12.75">
      <c r="A168" s="1" t="str">
        <f>HYPERLINK("http://www.ofsted.gov.uk/inspection-reports/find-inspection-report/provider/ELS/51862","Ofsted FES Webpage")</f>
        <v>Ofsted FES Webpage</v>
      </c>
      <c r="B168" t="s">
        <v>304</v>
      </c>
      <c r="C168">
        <v>51862</v>
      </c>
      <c r="D168">
        <v>106603</v>
      </c>
      <c r="E168" t="s">
        <v>59</v>
      </c>
      <c r="F168" t="s">
        <v>43</v>
      </c>
      <c r="G168" t="s">
        <v>17</v>
      </c>
      <c r="H168" s="2">
        <v>40833</v>
      </c>
      <c r="I168" s="2">
        <v>40837</v>
      </c>
      <c r="J168" t="s">
        <v>23</v>
      </c>
      <c r="K168" s="2">
        <v>40872.1354959838</v>
      </c>
      <c r="L168" t="s">
        <v>19</v>
      </c>
      <c r="M168">
        <v>376245</v>
      </c>
      <c r="N168">
        <v>2</v>
      </c>
      <c r="O168">
        <v>2</v>
      </c>
      <c r="P168">
        <v>2</v>
      </c>
      <c r="Q168">
        <v>2</v>
      </c>
      <c r="R168">
        <v>1023</v>
      </c>
      <c r="S168" t="s">
        <v>2626</v>
      </c>
      <c r="T168" t="s">
        <v>2910</v>
      </c>
      <c r="U168" t="s">
        <v>2950</v>
      </c>
      <c r="V168" t="s">
        <v>2951</v>
      </c>
      <c r="X168" t="s">
        <v>1501</v>
      </c>
    </row>
    <row r="169" spans="1:24" ht="12.75">
      <c r="A169" s="1" t="str">
        <f>HYPERLINK("http://www.ofsted.gov.uk/inspection-reports/find-inspection-report/provider/ELS/51893","Ofsted FES Webpage")</f>
        <v>Ofsted FES Webpage</v>
      </c>
      <c r="B169" t="s">
        <v>305</v>
      </c>
      <c r="C169">
        <v>51893</v>
      </c>
      <c r="D169">
        <v>108777</v>
      </c>
      <c r="E169" t="s">
        <v>77</v>
      </c>
      <c r="F169" t="s">
        <v>35</v>
      </c>
      <c r="G169" t="s">
        <v>17</v>
      </c>
      <c r="H169" s="2">
        <v>39483</v>
      </c>
      <c r="I169" s="2">
        <v>39486</v>
      </c>
      <c r="J169" t="s">
        <v>154</v>
      </c>
      <c r="K169" s="2">
        <v>39527.13555690972</v>
      </c>
      <c r="L169" t="s">
        <v>19</v>
      </c>
      <c r="M169">
        <v>321281</v>
      </c>
      <c r="N169">
        <v>1</v>
      </c>
      <c r="O169">
        <v>1</v>
      </c>
      <c r="P169" t="s">
        <v>20</v>
      </c>
      <c r="Q169" t="s">
        <v>20</v>
      </c>
      <c r="R169">
        <v>1630</v>
      </c>
      <c r="S169" t="s">
        <v>2954</v>
      </c>
      <c r="T169" t="s">
        <v>2955</v>
      </c>
      <c r="U169" t="s">
        <v>77</v>
      </c>
      <c r="V169" t="s">
        <v>35</v>
      </c>
      <c r="X169" t="s">
        <v>1502</v>
      </c>
    </row>
    <row r="170" spans="1:24" ht="12.75">
      <c r="A170" s="1" t="str">
        <f>HYPERLINK("http://www.ofsted.gov.uk/inspection-reports/find-inspection-report/provider/ELS/51895","Ofsted FES Webpage")</f>
        <v>Ofsted FES Webpage</v>
      </c>
      <c r="B170" t="s">
        <v>306</v>
      </c>
      <c r="C170">
        <v>51895</v>
      </c>
      <c r="D170">
        <v>106024</v>
      </c>
      <c r="E170" t="s">
        <v>213</v>
      </c>
      <c r="F170" t="s">
        <v>49</v>
      </c>
      <c r="G170" t="s">
        <v>17</v>
      </c>
      <c r="H170" s="2">
        <v>41099</v>
      </c>
      <c r="I170" s="2">
        <v>41102</v>
      </c>
      <c r="J170" t="s">
        <v>23</v>
      </c>
      <c r="K170" s="2">
        <v>41137.13546924768</v>
      </c>
      <c r="L170" t="s">
        <v>29</v>
      </c>
      <c r="M170">
        <v>388126</v>
      </c>
      <c r="N170">
        <v>2</v>
      </c>
      <c r="O170">
        <v>3</v>
      </c>
      <c r="P170">
        <v>2</v>
      </c>
      <c r="Q170">
        <v>2</v>
      </c>
      <c r="R170">
        <v>236</v>
      </c>
      <c r="S170" t="s">
        <v>2956</v>
      </c>
      <c r="T170" t="s">
        <v>2957</v>
      </c>
      <c r="W170" t="s">
        <v>2814</v>
      </c>
      <c r="X170" t="s">
        <v>1503</v>
      </c>
    </row>
    <row r="171" spans="1:24" ht="12.75">
      <c r="A171" s="1" t="str">
        <f>HYPERLINK("http://www.ofsted.gov.uk/inspection-reports/find-inspection-report/provider/ELS/51905","Ofsted FES Webpage")</f>
        <v>Ofsted FES Webpage</v>
      </c>
      <c r="B171" t="s">
        <v>307</v>
      </c>
      <c r="C171">
        <v>51905</v>
      </c>
      <c r="D171">
        <v>107983</v>
      </c>
      <c r="E171" t="s">
        <v>197</v>
      </c>
      <c r="F171" t="s">
        <v>43</v>
      </c>
      <c r="G171" t="s">
        <v>40</v>
      </c>
      <c r="H171" s="2">
        <v>41654</v>
      </c>
      <c r="I171" s="2">
        <v>41656</v>
      </c>
      <c r="J171" t="s">
        <v>27</v>
      </c>
      <c r="K171" s="2">
        <v>41683.13552920139</v>
      </c>
      <c r="L171" t="s">
        <v>45</v>
      </c>
      <c r="M171">
        <v>429142</v>
      </c>
      <c r="N171">
        <v>3</v>
      </c>
      <c r="O171">
        <v>3</v>
      </c>
      <c r="P171">
        <v>2</v>
      </c>
      <c r="Q171">
        <v>1</v>
      </c>
      <c r="R171">
        <v>1250</v>
      </c>
      <c r="S171" t="s">
        <v>2958</v>
      </c>
      <c r="T171" t="s">
        <v>2959</v>
      </c>
      <c r="W171" t="s">
        <v>2379</v>
      </c>
      <c r="X171" t="s">
        <v>1504</v>
      </c>
    </row>
    <row r="172" spans="1:24" ht="12.75">
      <c r="A172" s="1" t="str">
        <f>HYPERLINK("http://www.ofsted.gov.uk/inspection-reports/find-inspection-report/provider/ELS/51917","Ofsted FES Webpage")</f>
        <v>Ofsted FES Webpage</v>
      </c>
      <c r="B172" t="s">
        <v>308</v>
      </c>
      <c r="C172">
        <v>51917</v>
      </c>
      <c r="D172">
        <v>109029</v>
      </c>
      <c r="E172" t="s">
        <v>174</v>
      </c>
      <c r="F172" t="s">
        <v>26</v>
      </c>
      <c r="G172" t="s">
        <v>17</v>
      </c>
      <c r="H172" s="2">
        <v>40092</v>
      </c>
      <c r="I172" s="2">
        <v>40095</v>
      </c>
      <c r="J172" t="s">
        <v>18</v>
      </c>
      <c r="K172" s="2">
        <v>40136.13550952546</v>
      </c>
      <c r="L172" t="s">
        <v>19</v>
      </c>
      <c r="M172">
        <v>342658</v>
      </c>
      <c r="N172">
        <v>2</v>
      </c>
      <c r="O172">
        <v>2</v>
      </c>
      <c r="P172" t="s">
        <v>20</v>
      </c>
      <c r="Q172" t="s">
        <v>20</v>
      </c>
      <c r="R172">
        <v>559</v>
      </c>
      <c r="T172" t="s">
        <v>2961</v>
      </c>
      <c r="U172" t="s">
        <v>2962</v>
      </c>
      <c r="V172" t="s">
        <v>2963</v>
      </c>
      <c r="W172" t="s">
        <v>174</v>
      </c>
      <c r="X172" t="s">
        <v>1505</v>
      </c>
    </row>
    <row r="173" spans="1:24" ht="12.75">
      <c r="A173" s="1" t="str">
        <f>HYPERLINK("http://www.ofsted.gov.uk/inspection-reports/find-inspection-report/provider/ELS/51927","Ofsted FES Webpage")</f>
        <v>Ofsted FES Webpage</v>
      </c>
      <c r="B173" t="s">
        <v>309</v>
      </c>
      <c r="C173">
        <v>51927</v>
      </c>
      <c r="D173">
        <v>115721</v>
      </c>
      <c r="E173" t="s">
        <v>51</v>
      </c>
      <c r="F173" t="s">
        <v>16</v>
      </c>
      <c r="G173" t="s">
        <v>160</v>
      </c>
      <c r="H173" s="2">
        <v>41541</v>
      </c>
      <c r="I173" s="2">
        <v>41544</v>
      </c>
      <c r="J173" t="s">
        <v>27</v>
      </c>
      <c r="K173" s="2">
        <v>41585.13576809028</v>
      </c>
      <c r="L173" t="s">
        <v>29</v>
      </c>
      <c r="M173">
        <v>428105</v>
      </c>
      <c r="N173">
        <v>4</v>
      </c>
      <c r="O173">
        <v>4</v>
      </c>
      <c r="P173">
        <v>4</v>
      </c>
      <c r="Q173">
        <v>4</v>
      </c>
      <c r="R173">
        <v>321</v>
      </c>
      <c r="S173" t="s">
        <v>2964</v>
      </c>
      <c r="T173" t="s">
        <v>2965</v>
      </c>
      <c r="U173" t="s">
        <v>2966</v>
      </c>
      <c r="V173" t="s">
        <v>51</v>
      </c>
      <c r="X173" t="s">
        <v>1506</v>
      </c>
    </row>
    <row r="174" spans="1:24" ht="12.75">
      <c r="A174" s="1" t="str">
        <f>HYPERLINK("http://www.ofsted.gov.uk/inspection-reports/find-inspection-report/provider/ELS/51938","Ofsted FES Webpage")</f>
        <v>Ofsted FES Webpage</v>
      </c>
      <c r="B174" t="s">
        <v>310</v>
      </c>
      <c r="C174">
        <v>51938</v>
      </c>
      <c r="D174">
        <v>107102</v>
      </c>
      <c r="E174" t="s">
        <v>146</v>
      </c>
      <c r="F174" t="s">
        <v>26</v>
      </c>
      <c r="G174" t="s">
        <v>40</v>
      </c>
      <c r="H174" s="2">
        <v>40469</v>
      </c>
      <c r="I174" s="2">
        <v>40473</v>
      </c>
      <c r="J174" t="s">
        <v>56</v>
      </c>
      <c r="K174" s="2">
        <v>40508.135442708335</v>
      </c>
      <c r="L174" t="s">
        <v>45</v>
      </c>
      <c r="M174">
        <v>354461</v>
      </c>
      <c r="N174">
        <v>2</v>
      </c>
      <c r="O174">
        <v>2</v>
      </c>
      <c r="P174">
        <v>2</v>
      </c>
      <c r="Q174">
        <v>2</v>
      </c>
      <c r="R174">
        <v>6117</v>
      </c>
      <c r="S174" t="s">
        <v>2967</v>
      </c>
      <c r="T174" t="s">
        <v>2968</v>
      </c>
      <c r="U174" t="s">
        <v>146</v>
      </c>
      <c r="X174" t="s">
        <v>1507</v>
      </c>
    </row>
    <row r="175" spans="1:24" ht="12.75">
      <c r="A175" s="1" t="str">
        <f>HYPERLINK("http://www.ofsted.gov.uk/inspection-reports/find-inspection-report/provider/ELS/51944","Ofsted FES Webpage")</f>
        <v>Ofsted FES Webpage</v>
      </c>
      <c r="B175" t="s">
        <v>311</v>
      </c>
      <c r="C175">
        <v>51944</v>
      </c>
      <c r="D175">
        <v>115208</v>
      </c>
      <c r="E175" t="s">
        <v>106</v>
      </c>
      <c r="F175" t="s">
        <v>49</v>
      </c>
      <c r="G175" t="s">
        <v>17</v>
      </c>
      <c r="H175" s="2">
        <v>38967</v>
      </c>
      <c r="I175" s="2">
        <v>38967</v>
      </c>
      <c r="J175" t="s">
        <v>100</v>
      </c>
      <c r="K175" s="2">
        <v>39003</v>
      </c>
      <c r="L175" t="s">
        <v>102</v>
      </c>
      <c r="M175">
        <v>307094</v>
      </c>
      <c r="N175">
        <v>3</v>
      </c>
      <c r="O175">
        <v>3</v>
      </c>
      <c r="P175" t="s">
        <v>20</v>
      </c>
      <c r="Q175" t="s">
        <v>20</v>
      </c>
      <c r="R175">
        <v>170</v>
      </c>
      <c r="S175" t="s">
        <v>2969</v>
      </c>
      <c r="T175" t="s">
        <v>2970</v>
      </c>
      <c r="W175" t="s">
        <v>106</v>
      </c>
      <c r="X175" t="s">
        <v>1508</v>
      </c>
    </row>
    <row r="176" spans="1:24" ht="12.75">
      <c r="A176" s="1" t="str">
        <f>HYPERLINK("http://www.ofsted.gov.uk/inspection-reports/find-inspection-report/provider/ELS/51952","Ofsted FES Webpage")</f>
        <v>Ofsted FES Webpage</v>
      </c>
      <c r="B176" t="s">
        <v>312</v>
      </c>
      <c r="C176">
        <v>51952</v>
      </c>
      <c r="D176">
        <v>106458</v>
      </c>
      <c r="E176" t="s">
        <v>257</v>
      </c>
      <c r="F176" t="s">
        <v>68</v>
      </c>
      <c r="G176" t="s">
        <v>17</v>
      </c>
      <c r="H176" s="2">
        <v>40595</v>
      </c>
      <c r="I176" s="2">
        <v>40599</v>
      </c>
      <c r="J176" t="s">
        <v>56</v>
      </c>
      <c r="K176" s="2">
        <v>40634.13550917824</v>
      </c>
      <c r="L176" t="s">
        <v>19</v>
      </c>
      <c r="M176">
        <v>363205</v>
      </c>
      <c r="N176">
        <v>1</v>
      </c>
      <c r="O176">
        <v>1</v>
      </c>
      <c r="P176" t="s">
        <v>20</v>
      </c>
      <c r="Q176" t="s">
        <v>20</v>
      </c>
      <c r="R176">
        <v>996</v>
      </c>
      <c r="S176" t="s">
        <v>2971</v>
      </c>
      <c r="T176" t="s">
        <v>2972</v>
      </c>
      <c r="U176" t="s">
        <v>2973</v>
      </c>
      <c r="V176" t="s">
        <v>2974</v>
      </c>
      <c r="W176" t="s">
        <v>2975</v>
      </c>
      <c r="X176" t="s">
        <v>1509</v>
      </c>
    </row>
    <row r="177" spans="1:24" ht="12.75">
      <c r="A177" s="1" t="str">
        <f>HYPERLINK("http://www.ofsted.gov.uk/inspection-reports/find-inspection-report/provider/ELS/51954","Ofsted FES Webpage")</f>
        <v>Ofsted FES Webpage</v>
      </c>
      <c r="B177" t="s">
        <v>313</v>
      </c>
      <c r="C177">
        <v>51954</v>
      </c>
      <c r="D177">
        <v>122238</v>
      </c>
      <c r="E177" t="s">
        <v>126</v>
      </c>
      <c r="F177" t="s">
        <v>68</v>
      </c>
      <c r="G177" t="s">
        <v>17</v>
      </c>
      <c r="H177" s="2">
        <v>41113</v>
      </c>
      <c r="I177" s="2">
        <v>41117</v>
      </c>
      <c r="J177" t="s">
        <v>23</v>
      </c>
      <c r="K177" s="2">
        <v>41145.13545061342</v>
      </c>
      <c r="L177" t="s">
        <v>29</v>
      </c>
      <c r="M177">
        <v>388118</v>
      </c>
      <c r="N177">
        <v>2</v>
      </c>
      <c r="O177">
        <v>1</v>
      </c>
      <c r="P177">
        <v>2</v>
      </c>
      <c r="Q177">
        <v>2</v>
      </c>
      <c r="R177">
        <v>12799</v>
      </c>
      <c r="S177" t="s">
        <v>2976</v>
      </c>
      <c r="T177" t="s">
        <v>2977</v>
      </c>
      <c r="U177" t="s">
        <v>2978</v>
      </c>
      <c r="W177" t="s">
        <v>126</v>
      </c>
      <c r="X177" t="s">
        <v>1510</v>
      </c>
    </row>
    <row r="178" spans="1:24" ht="12.75">
      <c r="A178" s="1" t="str">
        <f>HYPERLINK("http://www.ofsted.gov.uk/inspection-reports/find-inspection-report/provider/ELS/51961","Ofsted FES Webpage")</f>
        <v>Ofsted FES Webpage</v>
      </c>
      <c r="B178" t="s">
        <v>314</v>
      </c>
      <c r="C178">
        <v>51961</v>
      </c>
      <c r="D178">
        <v>119808</v>
      </c>
      <c r="E178" t="s">
        <v>62</v>
      </c>
      <c r="F178" t="s">
        <v>63</v>
      </c>
      <c r="G178" t="s">
        <v>17</v>
      </c>
      <c r="H178" s="2">
        <v>40869</v>
      </c>
      <c r="I178" s="2">
        <v>40872</v>
      </c>
      <c r="J178" t="s">
        <v>23</v>
      </c>
      <c r="K178" s="2">
        <v>40913.1354775463</v>
      </c>
      <c r="L178" t="s">
        <v>19</v>
      </c>
      <c r="M178">
        <v>376246</v>
      </c>
      <c r="N178">
        <v>2</v>
      </c>
      <c r="O178">
        <v>2</v>
      </c>
      <c r="P178">
        <v>2</v>
      </c>
      <c r="Q178">
        <v>2</v>
      </c>
      <c r="R178">
        <v>461</v>
      </c>
      <c r="S178" t="s">
        <v>2980</v>
      </c>
      <c r="T178" t="s">
        <v>2981</v>
      </c>
      <c r="U178" t="s">
        <v>2982</v>
      </c>
      <c r="V178" t="s">
        <v>62</v>
      </c>
      <c r="W178" t="s">
        <v>268</v>
      </c>
      <c r="X178" t="s">
        <v>1512</v>
      </c>
    </row>
    <row r="179" spans="1:24" ht="12.75">
      <c r="A179" s="1" t="str">
        <f>HYPERLINK("http://www.ofsted.gov.uk/inspection-reports/find-inspection-report/provider/ELS/51991","Ofsted FES Webpage")</f>
        <v>Ofsted FES Webpage</v>
      </c>
      <c r="B179" t="s">
        <v>315</v>
      </c>
      <c r="C179">
        <v>51991</v>
      </c>
      <c r="D179">
        <v>106369</v>
      </c>
      <c r="E179" t="s">
        <v>106</v>
      </c>
      <c r="F179" t="s">
        <v>49</v>
      </c>
      <c r="G179" t="s">
        <v>17</v>
      </c>
      <c r="H179" s="2">
        <v>41708</v>
      </c>
      <c r="I179" s="2">
        <v>41712</v>
      </c>
      <c r="J179" t="s">
        <v>27</v>
      </c>
      <c r="K179" s="2">
        <v>41745.13546539352</v>
      </c>
      <c r="L179" t="s">
        <v>29</v>
      </c>
      <c r="M179">
        <v>429130</v>
      </c>
      <c r="N179">
        <v>2</v>
      </c>
      <c r="O179">
        <v>2</v>
      </c>
      <c r="P179">
        <v>3</v>
      </c>
      <c r="Q179">
        <v>3</v>
      </c>
      <c r="R179">
        <v>414</v>
      </c>
      <c r="S179" t="s">
        <v>2912</v>
      </c>
      <c r="T179" t="s">
        <v>2984</v>
      </c>
      <c r="W179" t="s">
        <v>106</v>
      </c>
      <c r="X179" t="s">
        <v>1513</v>
      </c>
    </row>
    <row r="180" spans="1:24" ht="12.75">
      <c r="A180" s="1" t="str">
        <f>HYPERLINK("http://www.ofsted.gov.uk/inspection-reports/find-inspection-report/provider/ELS/52004","Ofsted FES Webpage")</f>
        <v>Ofsted FES Webpage</v>
      </c>
      <c r="B180" t="s">
        <v>316</v>
      </c>
      <c r="C180">
        <v>52004</v>
      </c>
      <c r="D180">
        <v>108633</v>
      </c>
      <c r="E180" t="s">
        <v>170</v>
      </c>
      <c r="F180" t="s">
        <v>68</v>
      </c>
      <c r="G180" t="s">
        <v>160</v>
      </c>
      <c r="H180" s="2">
        <v>41471</v>
      </c>
      <c r="I180" s="2">
        <v>41474</v>
      </c>
      <c r="J180" t="s">
        <v>32</v>
      </c>
      <c r="K180" s="2">
        <v>41499.13544471065</v>
      </c>
      <c r="L180" t="s">
        <v>29</v>
      </c>
      <c r="M180">
        <v>408496</v>
      </c>
      <c r="N180">
        <v>2</v>
      </c>
      <c r="O180">
        <v>2</v>
      </c>
      <c r="P180">
        <v>2</v>
      </c>
      <c r="Q180">
        <v>2</v>
      </c>
      <c r="R180">
        <v>256</v>
      </c>
      <c r="T180" t="s">
        <v>2985</v>
      </c>
      <c r="U180" t="s">
        <v>2986</v>
      </c>
      <c r="W180" t="s">
        <v>2987</v>
      </c>
      <c r="X180" t="s">
        <v>1514</v>
      </c>
    </row>
    <row r="181" spans="1:24" ht="12.75">
      <c r="A181" s="1" t="str">
        <f>HYPERLINK("http://www.ofsted.gov.uk/inspection-reports/find-inspection-report/provider/ELS/52037","Ofsted FES Webpage")</f>
        <v>Ofsted FES Webpage</v>
      </c>
      <c r="B181" t="s">
        <v>317</v>
      </c>
      <c r="C181">
        <v>52037</v>
      </c>
      <c r="D181">
        <v>108080</v>
      </c>
      <c r="E181" t="s">
        <v>67</v>
      </c>
      <c r="F181" t="s">
        <v>68</v>
      </c>
      <c r="G181" t="s">
        <v>40</v>
      </c>
      <c r="H181" s="2">
        <v>41072</v>
      </c>
      <c r="I181" s="2">
        <v>41075</v>
      </c>
      <c r="J181" t="s">
        <v>23</v>
      </c>
      <c r="K181" s="2">
        <v>41110.13574537037</v>
      </c>
      <c r="L181" t="s">
        <v>45</v>
      </c>
      <c r="M181">
        <v>404118</v>
      </c>
      <c r="N181">
        <v>2</v>
      </c>
      <c r="O181">
        <v>2</v>
      </c>
      <c r="P181">
        <v>3</v>
      </c>
      <c r="Q181">
        <v>4</v>
      </c>
      <c r="R181">
        <v>637</v>
      </c>
      <c r="T181" t="s">
        <v>2988</v>
      </c>
      <c r="W181" t="s">
        <v>67</v>
      </c>
      <c r="X181" t="s">
        <v>1516</v>
      </c>
    </row>
    <row r="182" spans="1:24" ht="12.75">
      <c r="A182" s="1" t="str">
        <f>HYPERLINK("http://www.ofsted.gov.uk/inspection-reports/find-inspection-report/provider/ELS/52093","Ofsted FES Webpage")</f>
        <v>Ofsted FES Webpage</v>
      </c>
      <c r="B182" t="s">
        <v>318</v>
      </c>
      <c r="C182">
        <v>52093</v>
      </c>
      <c r="D182">
        <v>109470</v>
      </c>
      <c r="E182" t="s">
        <v>131</v>
      </c>
      <c r="F182" t="s">
        <v>63</v>
      </c>
      <c r="G182" t="s">
        <v>17</v>
      </c>
      <c r="H182" s="2">
        <v>40701</v>
      </c>
      <c r="I182" s="2">
        <v>40704</v>
      </c>
      <c r="J182" t="s">
        <v>56</v>
      </c>
      <c r="K182" s="2">
        <v>40737.13546149305</v>
      </c>
      <c r="L182" t="s">
        <v>19</v>
      </c>
      <c r="M182">
        <v>363232</v>
      </c>
      <c r="N182">
        <v>1</v>
      </c>
      <c r="O182">
        <v>1</v>
      </c>
      <c r="P182" t="s">
        <v>20</v>
      </c>
      <c r="Q182" t="s">
        <v>20</v>
      </c>
      <c r="R182">
        <v>576</v>
      </c>
      <c r="S182" t="s">
        <v>2992</v>
      </c>
      <c r="T182" t="s">
        <v>2841</v>
      </c>
      <c r="W182" t="s">
        <v>2993</v>
      </c>
      <c r="X182" t="s">
        <v>1518</v>
      </c>
    </row>
    <row r="183" spans="1:24" ht="12.75">
      <c r="A183" s="1" t="str">
        <f>HYPERLINK("http://www.ofsted.gov.uk/inspection-reports/find-inspection-report/provider/ELS/52094","Ofsted FES Webpage")</f>
        <v>Ofsted FES Webpage</v>
      </c>
      <c r="B183" t="s">
        <v>319</v>
      </c>
      <c r="C183">
        <v>52094</v>
      </c>
      <c r="D183">
        <v>116022</v>
      </c>
      <c r="E183" t="s">
        <v>114</v>
      </c>
      <c r="F183" t="s">
        <v>26</v>
      </c>
      <c r="G183" t="s">
        <v>17</v>
      </c>
      <c r="H183" s="2">
        <v>41589</v>
      </c>
      <c r="I183" s="2">
        <v>41592</v>
      </c>
      <c r="J183" t="s">
        <v>27</v>
      </c>
      <c r="K183" s="2">
        <v>41621.13546751157</v>
      </c>
      <c r="L183" t="s">
        <v>29</v>
      </c>
      <c r="M183">
        <v>424454</v>
      </c>
      <c r="N183">
        <v>2</v>
      </c>
      <c r="O183">
        <v>2</v>
      </c>
      <c r="P183">
        <v>2</v>
      </c>
      <c r="Q183">
        <v>2</v>
      </c>
      <c r="R183">
        <v>199</v>
      </c>
      <c r="S183" t="s">
        <v>2994</v>
      </c>
      <c r="T183" t="s">
        <v>2995</v>
      </c>
      <c r="U183" t="s">
        <v>326</v>
      </c>
      <c r="V183" t="s">
        <v>2996</v>
      </c>
      <c r="X183" t="s">
        <v>1519</v>
      </c>
    </row>
    <row r="184" spans="1:24" ht="12.75">
      <c r="A184" s="1" t="str">
        <f>HYPERLINK("http://www.ofsted.gov.uk/inspection-reports/find-inspection-report/provider/ELS/52095","Ofsted FES Webpage")</f>
        <v>Ofsted FES Webpage</v>
      </c>
      <c r="B184" t="s">
        <v>320</v>
      </c>
      <c r="C184">
        <v>52095</v>
      </c>
      <c r="D184">
        <v>107452</v>
      </c>
      <c r="E184" t="s">
        <v>254</v>
      </c>
      <c r="F184" t="s">
        <v>63</v>
      </c>
      <c r="G184" t="s">
        <v>17</v>
      </c>
      <c r="H184" s="2">
        <v>40504</v>
      </c>
      <c r="I184" s="2">
        <v>40507</v>
      </c>
      <c r="J184" t="s">
        <v>56</v>
      </c>
      <c r="K184" s="2">
        <v>40536.135445949076</v>
      </c>
      <c r="L184" t="s">
        <v>19</v>
      </c>
      <c r="M184">
        <v>354322</v>
      </c>
      <c r="N184">
        <v>2</v>
      </c>
      <c r="O184">
        <v>2</v>
      </c>
      <c r="P184">
        <v>3</v>
      </c>
      <c r="Q184">
        <v>3</v>
      </c>
      <c r="R184">
        <v>365</v>
      </c>
      <c r="S184" t="s">
        <v>2997</v>
      </c>
      <c r="T184" t="s">
        <v>2909</v>
      </c>
      <c r="X184" t="s">
        <v>1520</v>
      </c>
    </row>
    <row r="185" spans="1:24" ht="12.75">
      <c r="A185" s="1" t="str">
        <f>HYPERLINK("http://www.ofsted.gov.uk/inspection-reports/find-inspection-report/provider/ELS/52104","Ofsted FES Webpage")</f>
        <v>Ofsted FES Webpage</v>
      </c>
      <c r="B185" t="s">
        <v>321</v>
      </c>
      <c r="C185">
        <v>52104</v>
      </c>
      <c r="D185">
        <v>106895</v>
      </c>
      <c r="E185" t="s">
        <v>322</v>
      </c>
      <c r="F185" t="s">
        <v>68</v>
      </c>
      <c r="G185" t="s">
        <v>40</v>
      </c>
      <c r="H185" s="2">
        <v>41387</v>
      </c>
      <c r="I185" s="2">
        <v>41390</v>
      </c>
      <c r="J185" t="s">
        <v>32</v>
      </c>
      <c r="K185" s="2">
        <v>41418.13561056713</v>
      </c>
      <c r="L185" t="s">
        <v>45</v>
      </c>
      <c r="M185">
        <v>410632</v>
      </c>
      <c r="N185">
        <v>2</v>
      </c>
      <c r="O185">
        <v>1</v>
      </c>
      <c r="P185">
        <v>2</v>
      </c>
      <c r="Q185">
        <v>2</v>
      </c>
      <c r="R185">
        <v>1874</v>
      </c>
      <c r="S185" t="s">
        <v>2999</v>
      </c>
      <c r="T185" t="s">
        <v>2597</v>
      </c>
      <c r="W185" t="s">
        <v>3000</v>
      </c>
      <c r="X185" t="s">
        <v>1521</v>
      </c>
    </row>
    <row r="186" spans="1:24" ht="12.75">
      <c r="A186" s="1" t="str">
        <f>HYPERLINK("http://www.ofsted.gov.uk/inspection-reports/find-inspection-report/provider/ELS/52116","Ofsted FES Webpage")</f>
        <v>Ofsted FES Webpage</v>
      </c>
      <c r="B186" t="s">
        <v>323</v>
      </c>
      <c r="C186">
        <v>52116</v>
      </c>
      <c r="D186">
        <v>110121</v>
      </c>
      <c r="E186" t="s">
        <v>59</v>
      </c>
      <c r="F186" t="s">
        <v>43</v>
      </c>
      <c r="G186" t="s">
        <v>40</v>
      </c>
      <c r="H186" s="2">
        <v>40350</v>
      </c>
      <c r="I186" s="2">
        <v>40354</v>
      </c>
      <c r="J186" t="s">
        <v>18</v>
      </c>
      <c r="K186" s="2">
        <v>40389.13553313658</v>
      </c>
      <c r="L186" t="s">
        <v>45</v>
      </c>
      <c r="M186">
        <v>345783</v>
      </c>
      <c r="N186">
        <v>2</v>
      </c>
      <c r="O186">
        <v>2</v>
      </c>
      <c r="P186">
        <v>3</v>
      </c>
      <c r="Q186">
        <v>2</v>
      </c>
      <c r="R186">
        <v>20490</v>
      </c>
      <c r="S186" t="s">
        <v>3001</v>
      </c>
      <c r="T186" t="s">
        <v>3002</v>
      </c>
      <c r="U186" t="s">
        <v>3003</v>
      </c>
      <c r="V186" t="s">
        <v>59</v>
      </c>
      <c r="X186" t="s">
        <v>1522</v>
      </c>
    </row>
    <row r="187" spans="1:24" ht="12.75">
      <c r="A187" s="1" t="str">
        <f>HYPERLINK("http://www.ofsted.gov.uk/inspection-reports/find-inspection-report/provider/ELS/52135","Ofsted FES Webpage")</f>
        <v>Ofsted FES Webpage</v>
      </c>
      <c r="B187" t="s">
        <v>324</v>
      </c>
      <c r="C187">
        <v>52135</v>
      </c>
      <c r="D187">
        <v>107557</v>
      </c>
      <c r="E187" t="s">
        <v>120</v>
      </c>
      <c r="F187" t="s">
        <v>26</v>
      </c>
      <c r="G187" t="s">
        <v>17</v>
      </c>
      <c r="H187" s="2">
        <v>41724</v>
      </c>
      <c r="I187" s="2">
        <v>41725</v>
      </c>
      <c r="J187" t="s">
        <v>27</v>
      </c>
      <c r="K187" s="2">
        <v>41757.135454745374</v>
      </c>
      <c r="L187" t="s">
        <v>36</v>
      </c>
      <c r="M187">
        <v>423743</v>
      </c>
      <c r="N187">
        <v>2</v>
      </c>
      <c r="O187">
        <v>2</v>
      </c>
      <c r="P187">
        <v>3</v>
      </c>
      <c r="Q187">
        <v>3</v>
      </c>
      <c r="R187">
        <v>17</v>
      </c>
      <c r="S187" t="s">
        <v>3007</v>
      </c>
      <c r="V187" t="s">
        <v>2624</v>
      </c>
      <c r="X187" t="s">
        <v>1523</v>
      </c>
    </row>
    <row r="188" spans="1:24" ht="12.75">
      <c r="A188" s="1" t="str">
        <f>HYPERLINK("http://www.ofsted.gov.uk/inspection-reports/find-inspection-report/provider/ELS/52137","Ofsted FES Webpage")</f>
        <v>Ofsted FES Webpage</v>
      </c>
      <c r="B188" t="s">
        <v>325</v>
      </c>
      <c r="C188">
        <v>52137</v>
      </c>
      <c r="D188">
        <v>115616</v>
      </c>
      <c r="E188" t="s">
        <v>326</v>
      </c>
      <c r="F188" t="s">
        <v>26</v>
      </c>
      <c r="G188" t="s">
        <v>40</v>
      </c>
      <c r="H188" s="2">
        <v>41611</v>
      </c>
      <c r="I188" s="2">
        <v>41614</v>
      </c>
      <c r="J188" t="s">
        <v>27</v>
      </c>
      <c r="K188" s="2">
        <v>41648.13550373843</v>
      </c>
      <c r="L188" t="s">
        <v>45</v>
      </c>
      <c r="M188">
        <v>423416</v>
      </c>
      <c r="N188">
        <v>2</v>
      </c>
      <c r="O188">
        <v>2</v>
      </c>
      <c r="P188">
        <v>2</v>
      </c>
      <c r="Q188">
        <v>2</v>
      </c>
      <c r="R188">
        <v>1345</v>
      </c>
      <c r="S188" t="s">
        <v>3008</v>
      </c>
      <c r="T188">
        <v>41798</v>
      </c>
      <c r="U188" t="s">
        <v>3009</v>
      </c>
      <c r="W188" t="s">
        <v>326</v>
      </c>
      <c r="X188" t="s">
        <v>1524</v>
      </c>
    </row>
    <row r="189" spans="1:24" ht="12.75">
      <c r="A189" s="1" t="str">
        <f>HYPERLINK("http://www.ofsted.gov.uk/inspection-reports/find-inspection-report/provider/ELS/52147","Ofsted FES Webpage")</f>
        <v>Ofsted FES Webpage</v>
      </c>
      <c r="B189" t="s">
        <v>327</v>
      </c>
      <c r="C189">
        <v>52147</v>
      </c>
      <c r="D189">
        <v>108578</v>
      </c>
      <c r="E189" t="s">
        <v>328</v>
      </c>
      <c r="F189" t="s">
        <v>35</v>
      </c>
      <c r="G189" t="s">
        <v>17</v>
      </c>
      <c r="H189" s="2">
        <v>41540</v>
      </c>
      <c r="I189" s="2">
        <v>41544</v>
      </c>
      <c r="J189" t="s">
        <v>27</v>
      </c>
      <c r="K189" s="2">
        <v>41579.13546982639</v>
      </c>
      <c r="L189" t="s">
        <v>29</v>
      </c>
      <c r="M189">
        <v>424455</v>
      </c>
      <c r="N189">
        <v>1</v>
      </c>
      <c r="O189">
        <v>1</v>
      </c>
      <c r="P189">
        <v>2</v>
      </c>
      <c r="Q189">
        <v>2</v>
      </c>
      <c r="R189">
        <v>3035</v>
      </c>
      <c r="S189" t="s">
        <v>3012</v>
      </c>
      <c r="T189" t="s">
        <v>3013</v>
      </c>
      <c r="W189" t="s">
        <v>2363</v>
      </c>
      <c r="X189" t="s">
        <v>1525</v>
      </c>
    </row>
    <row r="190" spans="1:24" ht="12.75">
      <c r="A190" s="1" t="str">
        <f>HYPERLINK("http://www.ofsted.gov.uk/inspection-reports/find-inspection-report/provider/ELS/52150","Ofsted FES Webpage")</f>
        <v>Ofsted FES Webpage</v>
      </c>
      <c r="B190" t="s">
        <v>329</v>
      </c>
      <c r="C190">
        <v>52150</v>
      </c>
      <c r="D190">
        <v>106393</v>
      </c>
      <c r="E190" t="s">
        <v>42</v>
      </c>
      <c r="F190" t="s">
        <v>43</v>
      </c>
      <c r="G190" t="s">
        <v>17</v>
      </c>
      <c r="H190" s="2">
        <v>41450</v>
      </c>
      <c r="I190" s="2">
        <v>41452</v>
      </c>
      <c r="J190" t="s">
        <v>32</v>
      </c>
      <c r="K190" s="2">
        <v>41487.135457523145</v>
      </c>
      <c r="L190" t="s">
        <v>29</v>
      </c>
      <c r="M190">
        <v>406779</v>
      </c>
      <c r="N190">
        <v>2</v>
      </c>
      <c r="O190">
        <v>2</v>
      </c>
      <c r="P190">
        <v>3</v>
      </c>
      <c r="Q190">
        <v>3</v>
      </c>
      <c r="R190">
        <v>173</v>
      </c>
      <c r="S190" t="s">
        <v>3014</v>
      </c>
      <c r="T190" t="s">
        <v>3015</v>
      </c>
      <c r="U190" t="s">
        <v>3016</v>
      </c>
      <c r="V190" t="s">
        <v>2427</v>
      </c>
      <c r="W190" t="s">
        <v>3017</v>
      </c>
      <c r="X190" t="s">
        <v>1526</v>
      </c>
    </row>
    <row r="191" spans="1:24" ht="12.75">
      <c r="A191" s="1" t="str">
        <f>HYPERLINK("http://www.ofsted.gov.uk/inspection-reports/find-inspection-report/provider/ELS/52154","Ofsted FES Webpage")</f>
        <v>Ofsted FES Webpage</v>
      </c>
      <c r="B191" t="s">
        <v>330</v>
      </c>
      <c r="C191">
        <v>52154</v>
      </c>
      <c r="D191">
        <v>108780</v>
      </c>
      <c r="E191" t="s">
        <v>331</v>
      </c>
      <c r="F191" t="s">
        <v>35</v>
      </c>
      <c r="G191" t="s">
        <v>40</v>
      </c>
      <c r="H191" s="2">
        <v>41715</v>
      </c>
      <c r="I191" s="2">
        <v>41719</v>
      </c>
      <c r="J191" t="s">
        <v>27</v>
      </c>
      <c r="K191" s="2">
        <v>41758.13556096065</v>
      </c>
      <c r="L191" t="s">
        <v>36</v>
      </c>
      <c r="M191">
        <v>429109</v>
      </c>
      <c r="N191">
        <v>3</v>
      </c>
      <c r="O191">
        <v>3</v>
      </c>
      <c r="P191">
        <v>2</v>
      </c>
      <c r="Q191">
        <v>2</v>
      </c>
      <c r="R191">
        <v>119</v>
      </c>
      <c r="S191" t="s">
        <v>3018</v>
      </c>
      <c r="T191" t="s">
        <v>3019</v>
      </c>
      <c r="U191" t="s">
        <v>331</v>
      </c>
      <c r="X191" t="s">
        <v>1527</v>
      </c>
    </row>
    <row r="192" spans="1:24" ht="12.75">
      <c r="A192" s="1" t="str">
        <f>HYPERLINK("http://www.ofsted.gov.uk/inspection-reports/find-inspection-report/provider/ELS/52157","Ofsted FES Webpage")</f>
        <v>Ofsted FES Webpage</v>
      </c>
      <c r="B192" t="s">
        <v>332</v>
      </c>
      <c r="C192">
        <v>52157</v>
      </c>
      <c r="D192">
        <v>108972</v>
      </c>
      <c r="E192" t="s">
        <v>333</v>
      </c>
      <c r="F192" t="s">
        <v>35</v>
      </c>
      <c r="G192" t="s">
        <v>17</v>
      </c>
      <c r="H192" s="2">
        <v>41765</v>
      </c>
      <c r="I192" s="2">
        <v>41768</v>
      </c>
      <c r="J192" t="s">
        <v>27</v>
      </c>
      <c r="K192" s="2">
        <v>41806.135484224535</v>
      </c>
      <c r="L192" t="s">
        <v>60</v>
      </c>
      <c r="M192">
        <v>429221</v>
      </c>
      <c r="N192">
        <v>2</v>
      </c>
      <c r="O192">
        <v>2</v>
      </c>
      <c r="P192">
        <v>3</v>
      </c>
      <c r="Q192">
        <v>3</v>
      </c>
      <c r="R192">
        <v>258</v>
      </c>
      <c r="S192">
        <v>1</v>
      </c>
      <c r="T192" t="s">
        <v>2677</v>
      </c>
      <c r="W192" t="s">
        <v>3020</v>
      </c>
      <c r="X192" t="s">
        <v>1528</v>
      </c>
    </row>
    <row r="193" spans="1:24" ht="12.75">
      <c r="A193" s="1" t="str">
        <f>HYPERLINK("http://www.ofsted.gov.uk/inspection-reports/find-inspection-report/provider/ELS/52163","Ofsted FES Webpage")</f>
        <v>Ofsted FES Webpage</v>
      </c>
      <c r="B193" t="s">
        <v>334</v>
      </c>
      <c r="C193">
        <v>52163</v>
      </c>
      <c r="D193">
        <v>105055</v>
      </c>
      <c r="E193" t="s">
        <v>335</v>
      </c>
      <c r="F193" t="s">
        <v>49</v>
      </c>
      <c r="G193" t="s">
        <v>17</v>
      </c>
      <c r="H193" s="2">
        <v>40462</v>
      </c>
      <c r="I193" s="2">
        <v>40466</v>
      </c>
      <c r="J193" t="s">
        <v>56</v>
      </c>
      <c r="K193" s="2">
        <v>40501.135447534725</v>
      </c>
      <c r="L193" t="s">
        <v>19</v>
      </c>
      <c r="M193">
        <v>354613</v>
      </c>
      <c r="N193">
        <v>1</v>
      </c>
      <c r="O193">
        <v>1</v>
      </c>
      <c r="P193" t="s">
        <v>20</v>
      </c>
      <c r="Q193" t="s">
        <v>20</v>
      </c>
      <c r="R193">
        <v>1566</v>
      </c>
      <c r="S193" t="s">
        <v>3021</v>
      </c>
      <c r="T193" t="s">
        <v>3022</v>
      </c>
      <c r="W193" t="s">
        <v>2952</v>
      </c>
      <c r="X193" t="s">
        <v>1529</v>
      </c>
    </row>
    <row r="194" spans="1:24" ht="12.75">
      <c r="A194" s="1" t="str">
        <f>HYPERLINK("http://www.ofsted.gov.uk/inspection-reports/find-inspection-report/provider/ELS/52165","Ofsted FES Webpage")</f>
        <v>Ofsted FES Webpage</v>
      </c>
      <c r="B194" t="s">
        <v>336</v>
      </c>
      <c r="C194">
        <v>52165</v>
      </c>
      <c r="D194">
        <v>107733</v>
      </c>
      <c r="E194" t="s">
        <v>53</v>
      </c>
      <c r="F194" t="s">
        <v>43</v>
      </c>
      <c r="G194" t="s">
        <v>17</v>
      </c>
      <c r="H194" s="2">
        <v>41176</v>
      </c>
      <c r="I194" s="2">
        <v>41180</v>
      </c>
      <c r="J194" t="s">
        <v>32</v>
      </c>
      <c r="K194" s="2">
        <v>41215.135496759256</v>
      </c>
      <c r="L194" t="s">
        <v>28</v>
      </c>
      <c r="M194">
        <v>385483</v>
      </c>
      <c r="N194">
        <v>2</v>
      </c>
      <c r="O194">
        <v>2</v>
      </c>
      <c r="P194">
        <v>4</v>
      </c>
      <c r="Q194">
        <v>4</v>
      </c>
      <c r="R194">
        <v>462</v>
      </c>
      <c r="T194" t="s">
        <v>3023</v>
      </c>
      <c r="W194" t="s">
        <v>2623</v>
      </c>
      <c r="X194" t="s">
        <v>1530</v>
      </c>
    </row>
    <row r="195" spans="1:24" ht="12.75">
      <c r="A195" s="1" t="str">
        <f>HYPERLINK("http://www.ofsted.gov.uk/inspection-reports/find-inspection-report/provider/ELS/52179","Ofsted FES Webpage")</f>
        <v>Ofsted FES Webpage</v>
      </c>
      <c r="B195" t="s">
        <v>337</v>
      </c>
      <c r="C195">
        <v>52179</v>
      </c>
      <c r="D195">
        <v>107701</v>
      </c>
      <c r="E195" t="s">
        <v>116</v>
      </c>
      <c r="F195" t="s">
        <v>49</v>
      </c>
      <c r="G195" t="s">
        <v>40</v>
      </c>
      <c r="H195" s="2">
        <v>40099</v>
      </c>
      <c r="I195" s="2">
        <v>40102</v>
      </c>
      <c r="J195" t="s">
        <v>18</v>
      </c>
      <c r="K195" s="2">
        <v>40164.13549907407</v>
      </c>
      <c r="L195" t="s">
        <v>19</v>
      </c>
      <c r="M195">
        <v>342767</v>
      </c>
      <c r="N195">
        <v>2</v>
      </c>
      <c r="O195">
        <v>2</v>
      </c>
      <c r="P195" t="s">
        <v>20</v>
      </c>
      <c r="Q195" t="s">
        <v>20</v>
      </c>
      <c r="R195">
        <v>566</v>
      </c>
      <c r="T195" t="s">
        <v>3027</v>
      </c>
      <c r="W195" t="s">
        <v>2480</v>
      </c>
      <c r="X195" t="s">
        <v>1532</v>
      </c>
    </row>
    <row r="196" spans="1:24" ht="12.75">
      <c r="A196" s="1" t="str">
        <f>HYPERLINK("http://www.ofsted.gov.uk/inspection-reports/find-inspection-report/provider/ELS/52210","Ofsted FES Webpage")</f>
        <v>Ofsted FES Webpage</v>
      </c>
      <c r="B196" t="s">
        <v>338</v>
      </c>
      <c r="C196">
        <v>52210</v>
      </c>
      <c r="D196">
        <v>116216</v>
      </c>
      <c r="E196" t="s">
        <v>234</v>
      </c>
      <c r="F196" t="s">
        <v>16</v>
      </c>
      <c r="G196" t="s">
        <v>17</v>
      </c>
      <c r="H196" s="2">
        <v>41807</v>
      </c>
      <c r="I196" s="2">
        <v>41810</v>
      </c>
      <c r="J196" t="s">
        <v>27</v>
      </c>
      <c r="K196" s="2">
        <v>41838.135491863424</v>
      </c>
      <c r="L196" t="s">
        <v>60</v>
      </c>
      <c r="M196">
        <v>429277</v>
      </c>
      <c r="N196">
        <v>2</v>
      </c>
      <c r="O196">
        <v>2</v>
      </c>
      <c r="P196">
        <v>3</v>
      </c>
      <c r="Q196">
        <v>3</v>
      </c>
      <c r="R196">
        <v>65</v>
      </c>
      <c r="U196" t="s">
        <v>3029</v>
      </c>
      <c r="W196" t="s">
        <v>2469</v>
      </c>
      <c r="X196" t="s">
        <v>1533</v>
      </c>
    </row>
    <row r="197" spans="1:24" ht="12.75">
      <c r="A197" s="1" t="str">
        <f>HYPERLINK("http://www.ofsted.gov.uk/inspection-reports/find-inspection-report/provider/ELS/52212","Ofsted FES Webpage")</f>
        <v>Ofsted FES Webpage</v>
      </c>
      <c r="B197" t="s">
        <v>339</v>
      </c>
      <c r="C197">
        <v>52212</v>
      </c>
      <c r="D197">
        <v>116502</v>
      </c>
      <c r="E197" t="s">
        <v>340</v>
      </c>
      <c r="F197" t="s">
        <v>35</v>
      </c>
      <c r="G197" t="s">
        <v>17</v>
      </c>
      <c r="H197" s="2">
        <v>41149</v>
      </c>
      <c r="I197" s="2">
        <v>41152</v>
      </c>
      <c r="J197" t="s">
        <v>23</v>
      </c>
      <c r="K197" s="2">
        <v>41187.13547809028</v>
      </c>
      <c r="L197" t="s">
        <v>19</v>
      </c>
      <c r="M197">
        <v>388036</v>
      </c>
      <c r="N197">
        <v>1</v>
      </c>
      <c r="O197">
        <v>1</v>
      </c>
      <c r="P197">
        <v>3</v>
      </c>
      <c r="Q197">
        <v>3</v>
      </c>
      <c r="R197">
        <v>692</v>
      </c>
      <c r="S197" t="s">
        <v>3030</v>
      </c>
      <c r="T197" t="s">
        <v>3031</v>
      </c>
      <c r="U197" t="s">
        <v>3032</v>
      </c>
      <c r="V197" t="s">
        <v>3033</v>
      </c>
      <c r="X197" t="s">
        <v>1534</v>
      </c>
    </row>
    <row r="198" spans="1:24" ht="12.75">
      <c r="A198" s="1" t="str">
        <f>HYPERLINK("http://www.ofsted.gov.uk/inspection-reports/find-inspection-report/provider/ELS/52377","Ofsted FES Webpage")</f>
        <v>Ofsted FES Webpage</v>
      </c>
      <c r="B198" t="s">
        <v>341</v>
      </c>
      <c r="C198">
        <v>52377</v>
      </c>
      <c r="D198">
        <v>110620</v>
      </c>
      <c r="E198" t="s">
        <v>51</v>
      </c>
      <c r="F198" t="s">
        <v>16</v>
      </c>
      <c r="G198" t="s">
        <v>160</v>
      </c>
      <c r="H198" s="2">
        <v>40932</v>
      </c>
      <c r="I198" s="2">
        <v>40935</v>
      </c>
      <c r="J198" t="s">
        <v>23</v>
      </c>
      <c r="K198" s="2">
        <v>40970.1356599537</v>
      </c>
      <c r="L198" t="s">
        <v>29</v>
      </c>
      <c r="M198">
        <v>385727</v>
      </c>
      <c r="N198">
        <v>1</v>
      </c>
      <c r="O198">
        <v>1</v>
      </c>
      <c r="P198">
        <v>2</v>
      </c>
      <c r="Q198">
        <v>2</v>
      </c>
      <c r="R198">
        <v>194</v>
      </c>
      <c r="S198" t="s">
        <v>3051</v>
      </c>
      <c r="T198" t="s">
        <v>3052</v>
      </c>
      <c r="W198" t="s">
        <v>3053</v>
      </c>
      <c r="X198" t="s">
        <v>1535</v>
      </c>
    </row>
    <row r="199" spans="1:24" ht="12.75">
      <c r="A199" s="1" t="str">
        <f>HYPERLINK("http://www.ofsted.gov.uk/inspection-reports/find-inspection-report/provider/ELS/52386","Ofsted FES Webpage")</f>
        <v>Ofsted FES Webpage</v>
      </c>
      <c r="B199" t="s">
        <v>342</v>
      </c>
      <c r="C199">
        <v>52386</v>
      </c>
      <c r="D199">
        <v>108552</v>
      </c>
      <c r="E199" t="s">
        <v>220</v>
      </c>
      <c r="F199" t="s">
        <v>43</v>
      </c>
      <c r="G199" t="s">
        <v>17</v>
      </c>
      <c r="H199" s="2">
        <v>39762</v>
      </c>
      <c r="I199" s="2">
        <v>39766</v>
      </c>
      <c r="J199" t="s">
        <v>44</v>
      </c>
      <c r="K199" s="2">
        <v>39798.135614618055</v>
      </c>
      <c r="L199" t="s">
        <v>19</v>
      </c>
      <c r="M199">
        <v>321470</v>
      </c>
      <c r="N199">
        <v>1</v>
      </c>
      <c r="O199">
        <v>1</v>
      </c>
      <c r="P199" t="s">
        <v>20</v>
      </c>
      <c r="Q199" t="s">
        <v>20</v>
      </c>
      <c r="R199">
        <v>1893</v>
      </c>
      <c r="S199" t="s">
        <v>3055</v>
      </c>
      <c r="T199" t="s">
        <v>3056</v>
      </c>
      <c r="U199" t="s">
        <v>3057</v>
      </c>
      <c r="V199" t="s">
        <v>2408</v>
      </c>
      <c r="W199" t="s">
        <v>3058</v>
      </c>
      <c r="X199" t="s">
        <v>1428</v>
      </c>
    </row>
    <row r="200" spans="1:24" ht="12.75">
      <c r="A200" s="1" t="str">
        <f>HYPERLINK("http://www.ofsted.gov.uk/inspection-reports/find-inspection-report/provider/ELS/52395","Ofsted FES Webpage")</f>
        <v>Ofsted FES Webpage</v>
      </c>
      <c r="B200" t="s">
        <v>343</v>
      </c>
      <c r="C200">
        <v>52395</v>
      </c>
      <c r="D200">
        <v>106060</v>
      </c>
      <c r="E200" t="s">
        <v>137</v>
      </c>
      <c r="F200" t="s">
        <v>26</v>
      </c>
      <c r="G200" t="s">
        <v>17</v>
      </c>
      <c r="H200" s="2">
        <v>41226</v>
      </c>
      <c r="I200" s="2">
        <v>41228</v>
      </c>
      <c r="J200" t="s">
        <v>32</v>
      </c>
      <c r="K200" s="2">
        <v>41262.13595917824</v>
      </c>
      <c r="L200" t="s">
        <v>29</v>
      </c>
      <c r="M200">
        <v>408423</v>
      </c>
      <c r="N200">
        <v>2</v>
      </c>
      <c r="O200">
        <v>2</v>
      </c>
      <c r="P200">
        <v>3</v>
      </c>
      <c r="Q200">
        <v>3</v>
      </c>
      <c r="R200">
        <v>97</v>
      </c>
      <c r="S200" t="s">
        <v>3059</v>
      </c>
      <c r="T200" t="s">
        <v>3060</v>
      </c>
      <c r="W200" t="s">
        <v>2495</v>
      </c>
      <c r="X200" t="s">
        <v>1536</v>
      </c>
    </row>
    <row r="201" spans="1:24" ht="12.75">
      <c r="A201" s="1" t="str">
        <f>HYPERLINK("http://www.ofsted.gov.uk/inspection-reports/find-inspection-report/provider/ELS/52396","Ofsted FES Webpage")</f>
        <v>Ofsted FES Webpage</v>
      </c>
      <c r="B201" t="s">
        <v>344</v>
      </c>
      <c r="C201">
        <v>52396</v>
      </c>
      <c r="D201">
        <v>116610</v>
      </c>
      <c r="E201" t="s">
        <v>254</v>
      </c>
      <c r="F201" t="s">
        <v>63</v>
      </c>
      <c r="G201" t="s">
        <v>17</v>
      </c>
      <c r="H201" s="2">
        <v>40687</v>
      </c>
      <c r="I201" s="2">
        <v>40690</v>
      </c>
      <c r="J201" t="s">
        <v>56</v>
      </c>
      <c r="K201" s="2">
        <v>40724.135458564815</v>
      </c>
      <c r="L201" t="s">
        <v>141</v>
      </c>
      <c r="M201">
        <v>365986</v>
      </c>
      <c r="N201">
        <v>2</v>
      </c>
      <c r="O201">
        <v>2</v>
      </c>
      <c r="P201">
        <v>2</v>
      </c>
      <c r="Q201">
        <v>2</v>
      </c>
      <c r="R201">
        <v>388</v>
      </c>
      <c r="S201" t="s">
        <v>3061</v>
      </c>
      <c r="W201" t="s">
        <v>2909</v>
      </c>
      <c r="X201" t="s">
        <v>1537</v>
      </c>
    </row>
    <row r="202" spans="1:24" ht="12.75">
      <c r="A202" s="1" t="str">
        <f>HYPERLINK("http://www.ofsted.gov.uk/inspection-reports/find-inspection-report/provider/ELS/52402","Ofsted FES Webpage")</f>
        <v>Ofsted FES Webpage</v>
      </c>
      <c r="B202" t="s">
        <v>345</v>
      </c>
      <c r="C202">
        <v>52402</v>
      </c>
      <c r="D202">
        <v>106687</v>
      </c>
      <c r="E202" t="s">
        <v>236</v>
      </c>
      <c r="F202" t="s">
        <v>26</v>
      </c>
      <c r="G202" t="s">
        <v>17</v>
      </c>
      <c r="H202" s="2">
        <v>40190</v>
      </c>
      <c r="I202" s="2">
        <v>40193</v>
      </c>
      <c r="J202" t="s">
        <v>18</v>
      </c>
      <c r="K202" s="2">
        <v>40228.13552982639</v>
      </c>
      <c r="L202" t="s">
        <v>19</v>
      </c>
      <c r="M202">
        <v>343956</v>
      </c>
      <c r="N202">
        <v>2</v>
      </c>
      <c r="O202">
        <v>2</v>
      </c>
      <c r="P202">
        <v>2</v>
      </c>
      <c r="Q202">
        <v>2</v>
      </c>
      <c r="R202">
        <v>538</v>
      </c>
      <c r="T202" t="s">
        <v>3062</v>
      </c>
      <c r="W202" t="s">
        <v>2675</v>
      </c>
      <c r="X202" t="s">
        <v>1538</v>
      </c>
    </row>
    <row r="203" spans="1:24" ht="12.75">
      <c r="A203" s="1" t="str">
        <f>HYPERLINK("http://www.ofsted.gov.uk/inspection-reports/find-inspection-report/provider/ELS/52403","Ofsted FES Webpage")</f>
        <v>Ofsted FES Webpage</v>
      </c>
      <c r="B203" t="s">
        <v>346</v>
      </c>
      <c r="C203">
        <v>52403</v>
      </c>
      <c r="D203">
        <v>108072</v>
      </c>
      <c r="E203" t="s">
        <v>236</v>
      </c>
      <c r="F203" t="s">
        <v>26</v>
      </c>
      <c r="G203" t="s">
        <v>40</v>
      </c>
      <c r="H203" s="2">
        <v>41071</v>
      </c>
      <c r="I203" s="2">
        <v>41075</v>
      </c>
      <c r="J203" t="s">
        <v>23</v>
      </c>
      <c r="K203" s="2">
        <v>41109.13571516204</v>
      </c>
      <c r="L203" t="s">
        <v>45</v>
      </c>
      <c r="M203">
        <v>387984</v>
      </c>
      <c r="N203">
        <v>2</v>
      </c>
      <c r="O203">
        <v>2</v>
      </c>
      <c r="P203">
        <v>2</v>
      </c>
      <c r="Q203">
        <v>2</v>
      </c>
      <c r="R203">
        <v>6348</v>
      </c>
      <c r="S203" t="s">
        <v>3063</v>
      </c>
      <c r="T203" t="s">
        <v>3064</v>
      </c>
      <c r="W203" t="s">
        <v>2675</v>
      </c>
      <c r="X203" t="s">
        <v>1539</v>
      </c>
    </row>
    <row r="204" spans="1:24" ht="12.75">
      <c r="A204" s="1" t="str">
        <f>HYPERLINK("http://www.ofsted.gov.uk/inspection-reports/find-inspection-report/provider/ELS/52410","Ofsted FES Webpage")</f>
        <v>Ofsted FES Webpage</v>
      </c>
      <c r="B204" t="s">
        <v>347</v>
      </c>
      <c r="C204">
        <v>52410</v>
      </c>
      <c r="D204">
        <v>106693</v>
      </c>
      <c r="E204" t="s">
        <v>236</v>
      </c>
      <c r="F204" t="s">
        <v>26</v>
      </c>
      <c r="G204" t="s">
        <v>40</v>
      </c>
      <c r="H204" s="2">
        <v>41582</v>
      </c>
      <c r="I204" s="2">
        <v>41586</v>
      </c>
      <c r="J204" t="s">
        <v>27</v>
      </c>
      <c r="K204" s="2">
        <v>41619.13550231481</v>
      </c>
      <c r="L204" t="s">
        <v>36</v>
      </c>
      <c r="M204">
        <v>423753</v>
      </c>
      <c r="N204">
        <v>2</v>
      </c>
      <c r="O204">
        <v>2</v>
      </c>
      <c r="P204">
        <v>2</v>
      </c>
      <c r="Q204">
        <v>2</v>
      </c>
      <c r="R204">
        <v>597</v>
      </c>
      <c r="T204" t="s">
        <v>3066</v>
      </c>
      <c r="W204" t="s">
        <v>2675</v>
      </c>
      <c r="X204" t="s">
        <v>1540</v>
      </c>
    </row>
    <row r="205" spans="1:24" ht="12.75">
      <c r="A205" s="1" t="str">
        <f>HYPERLINK("http://www.ofsted.gov.uk/inspection-reports/find-inspection-report/provider/ELS/52418","Ofsted FES Webpage")</f>
        <v>Ofsted FES Webpage</v>
      </c>
      <c r="B205" t="s">
        <v>348</v>
      </c>
      <c r="C205">
        <v>52418</v>
      </c>
      <c r="D205">
        <v>106695</v>
      </c>
      <c r="E205" t="s">
        <v>236</v>
      </c>
      <c r="F205" t="s">
        <v>26</v>
      </c>
      <c r="G205" t="s">
        <v>17</v>
      </c>
      <c r="H205" s="2">
        <v>41653</v>
      </c>
      <c r="I205" s="2">
        <v>41656</v>
      </c>
      <c r="J205" t="s">
        <v>27</v>
      </c>
      <c r="K205" s="2">
        <v>41689.13543880787</v>
      </c>
      <c r="L205" t="s">
        <v>36</v>
      </c>
      <c r="M205">
        <v>407133</v>
      </c>
      <c r="N205">
        <v>3</v>
      </c>
      <c r="O205">
        <v>3</v>
      </c>
      <c r="P205">
        <v>2</v>
      </c>
      <c r="Q205">
        <v>2</v>
      </c>
      <c r="R205">
        <v>130</v>
      </c>
      <c r="S205" t="s">
        <v>3067</v>
      </c>
      <c r="T205" t="s">
        <v>3068</v>
      </c>
      <c r="W205" t="s">
        <v>2675</v>
      </c>
      <c r="X205" t="s">
        <v>1541</v>
      </c>
    </row>
    <row r="206" spans="1:24" ht="12.75">
      <c r="A206" s="1" t="str">
        <f>HYPERLINK("http://www.ofsted.gov.uk/inspection-reports/find-inspection-report/provider/ELS/52434","Ofsted FES Webpage")</f>
        <v>Ofsted FES Webpage</v>
      </c>
      <c r="B206" t="s">
        <v>349</v>
      </c>
      <c r="C206">
        <v>52434</v>
      </c>
      <c r="D206">
        <v>107136</v>
      </c>
      <c r="E206" t="s">
        <v>350</v>
      </c>
      <c r="F206" t="s">
        <v>43</v>
      </c>
      <c r="G206" t="s">
        <v>17</v>
      </c>
      <c r="H206" s="2">
        <v>40959</v>
      </c>
      <c r="I206" s="2">
        <v>40963</v>
      </c>
      <c r="J206" t="s">
        <v>23</v>
      </c>
      <c r="K206" s="2">
        <v>40998.13582704861</v>
      </c>
      <c r="L206" t="s">
        <v>29</v>
      </c>
      <c r="M206">
        <v>385765</v>
      </c>
      <c r="N206">
        <v>1</v>
      </c>
      <c r="O206">
        <v>1</v>
      </c>
      <c r="P206" t="s">
        <v>20</v>
      </c>
      <c r="Q206" t="s">
        <v>20</v>
      </c>
      <c r="R206">
        <v>1176</v>
      </c>
      <c r="S206" t="s">
        <v>3069</v>
      </c>
      <c r="T206" t="s">
        <v>3070</v>
      </c>
      <c r="X206" t="s">
        <v>1542</v>
      </c>
    </row>
    <row r="207" spans="1:24" ht="12.75">
      <c r="A207" s="1" t="str">
        <f>HYPERLINK("http://www.ofsted.gov.uk/inspection-reports/find-inspection-report/provider/ELS/52435","Ofsted FES Webpage")</f>
        <v>Ofsted FES Webpage</v>
      </c>
      <c r="B207" t="s">
        <v>351</v>
      </c>
      <c r="C207">
        <v>52435</v>
      </c>
      <c r="D207">
        <v>109969</v>
      </c>
      <c r="E207" t="s">
        <v>201</v>
      </c>
      <c r="F207" t="s">
        <v>26</v>
      </c>
      <c r="G207" t="s">
        <v>17</v>
      </c>
      <c r="H207" s="2">
        <v>41708</v>
      </c>
      <c r="I207" s="2">
        <v>41712</v>
      </c>
      <c r="J207" t="s">
        <v>27</v>
      </c>
      <c r="K207" s="2">
        <v>41736.135452511575</v>
      </c>
      <c r="L207" t="s">
        <v>36</v>
      </c>
      <c r="M207">
        <v>429110</v>
      </c>
      <c r="N207">
        <v>2</v>
      </c>
      <c r="O207">
        <v>2</v>
      </c>
      <c r="P207">
        <v>3</v>
      </c>
      <c r="Q207">
        <v>3</v>
      </c>
      <c r="R207">
        <v>1222</v>
      </c>
      <c r="S207" t="s">
        <v>3071</v>
      </c>
      <c r="T207" t="s">
        <v>201</v>
      </c>
      <c r="W207" t="s">
        <v>2389</v>
      </c>
      <c r="X207" t="s">
        <v>1543</v>
      </c>
    </row>
    <row r="208" spans="1:24" ht="12.75">
      <c r="A208" s="1" t="str">
        <f>HYPERLINK("http://www.ofsted.gov.uk/inspection-reports/find-inspection-report/provider/ELS/52459","Ofsted FES Webpage")</f>
        <v>Ofsted FES Webpage</v>
      </c>
      <c r="B208" t="s">
        <v>352</v>
      </c>
      <c r="C208">
        <v>52459</v>
      </c>
      <c r="D208">
        <v>107016</v>
      </c>
      <c r="E208" t="s">
        <v>174</v>
      </c>
      <c r="F208" t="s">
        <v>26</v>
      </c>
      <c r="G208" t="s">
        <v>40</v>
      </c>
      <c r="H208" s="2">
        <v>41708</v>
      </c>
      <c r="I208" s="2">
        <v>41712</v>
      </c>
      <c r="J208" t="s">
        <v>27</v>
      </c>
      <c r="K208" s="2">
        <v>41745.1354778125</v>
      </c>
      <c r="L208" t="s">
        <v>60</v>
      </c>
      <c r="M208">
        <v>429272</v>
      </c>
      <c r="N208">
        <v>2</v>
      </c>
      <c r="O208">
        <v>2</v>
      </c>
      <c r="P208">
        <v>3</v>
      </c>
      <c r="Q208">
        <v>3</v>
      </c>
      <c r="R208">
        <v>1234</v>
      </c>
      <c r="T208" t="s">
        <v>3072</v>
      </c>
      <c r="U208" t="s">
        <v>2404</v>
      </c>
      <c r="W208" t="s">
        <v>174</v>
      </c>
      <c r="X208" t="s">
        <v>1544</v>
      </c>
    </row>
    <row r="209" spans="1:24" ht="12.75">
      <c r="A209" s="1" t="str">
        <f>HYPERLINK("http://www.ofsted.gov.uk/inspection-reports/find-inspection-report/provider/ELS/52487","Ofsted FES Webpage")</f>
        <v>Ofsted FES Webpage</v>
      </c>
      <c r="B209" t="s">
        <v>353</v>
      </c>
      <c r="C209">
        <v>52487</v>
      </c>
      <c r="D209">
        <v>105188</v>
      </c>
      <c r="E209" t="s">
        <v>335</v>
      </c>
      <c r="F209" t="s">
        <v>49</v>
      </c>
      <c r="G209" t="s">
        <v>17</v>
      </c>
      <c r="H209" s="2">
        <v>41386</v>
      </c>
      <c r="I209" s="2">
        <v>41390</v>
      </c>
      <c r="J209" t="s">
        <v>32</v>
      </c>
      <c r="K209" s="2">
        <v>41429.13545405093</v>
      </c>
      <c r="L209" t="s">
        <v>29</v>
      </c>
      <c r="M209">
        <v>404569</v>
      </c>
      <c r="N209">
        <v>2</v>
      </c>
      <c r="O209">
        <v>2</v>
      </c>
      <c r="P209">
        <v>3</v>
      </c>
      <c r="Q209">
        <v>3</v>
      </c>
      <c r="R209">
        <v>4020</v>
      </c>
      <c r="S209" t="s">
        <v>3074</v>
      </c>
      <c r="T209" t="s">
        <v>3075</v>
      </c>
      <c r="U209" t="s">
        <v>2952</v>
      </c>
      <c r="V209" t="s">
        <v>335</v>
      </c>
      <c r="X209" t="s">
        <v>1545</v>
      </c>
    </row>
    <row r="210" spans="1:24" ht="12.75">
      <c r="A210" s="1" t="str">
        <f>HYPERLINK("http://www.ofsted.gov.uk/inspection-reports/find-inspection-report/provider/ELS/52489","Ofsted FES Webpage")</f>
        <v>Ofsted FES Webpage</v>
      </c>
      <c r="B210" t="s">
        <v>354</v>
      </c>
      <c r="C210">
        <v>52489</v>
      </c>
      <c r="D210">
        <v>107912</v>
      </c>
      <c r="E210" t="s">
        <v>59</v>
      </c>
      <c r="F210" t="s">
        <v>43</v>
      </c>
      <c r="G210" t="s">
        <v>17</v>
      </c>
      <c r="H210" s="2">
        <v>41834</v>
      </c>
      <c r="I210" s="2">
        <v>41838</v>
      </c>
      <c r="J210" t="s">
        <v>27</v>
      </c>
      <c r="K210" s="2">
        <v>41873.13546493056</v>
      </c>
      <c r="L210" t="s">
        <v>36</v>
      </c>
      <c r="M210">
        <v>445775</v>
      </c>
      <c r="N210">
        <v>2</v>
      </c>
      <c r="O210">
        <v>2</v>
      </c>
      <c r="P210">
        <v>2</v>
      </c>
      <c r="Q210">
        <v>2</v>
      </c>
      <c r="R210">
        <v>125</v>
      </c>
      <c r="T210" t="s">
        <v>3076</v>
      </c>
      <c r="U210" t="s">
        <v>3077</v>
      </c>
      <c r="W210" t="s">
        <v>3078</v>
      </c>
      <c r="X210" t="s">
        <v>1546</v>
      </c>
    </row>
    <row r="211" spans="1:24" ht="12.75">
      <c r="A211" s="1" t="str">
        <f>HYPERLINK("http://www.ofsted.gov.uk/inspection-reports/find-inspection-report/provider/ELS/52529","Ofsted FES Webpage")</f>
        <v>Ofsted FES Webpage</v>
      </c>
      <c r="B211" t="s">
        <v>355</v>
      </c>
      <c r="C211">
        <v>52529</v>
      </c>
      <c r="D211">
        <v>119816</v>
      </c>
      <c r="E211" t="s">
        <v>91</v>
      </c>
      <c r="F211" t="s">
        <v>43</v>
      </c>
      <c r="G211" t="s">
        <v>17</v>
      </c>
      <c r="H211" s="2">
        <v>41387</v>
      </c>
      <c r="I211" s="2">
        <v>41390</v>
      </c>
      <c r="J211" t="s">
        <v>32</v>
      </c>
      <c r="K211" s="2">
        <v>41431.135615127314</v>
      </c>
      <c r="L211" t="s">
        <v>36</v>
      </c>
      <c r="M211">
        <v>408520</v>
      </c>
      <c r="N211">
        <v>2</v>
      </c>
      <c r="O211">
        <v>2</v>
      </c>
      <c r="P211">
        <v>2</v>
      </c>
      <c r="Q211">
        <v>2</v>
      </c>
      <c r="R211">
        <v>273</v>
      </c>
      <c r="S211" t="s">
        <v>3080</v>
      </c>
      <c r="T211" t="s">
        <v>3081</v>
      </c>
      <c r="W211" t="s">
        <v>2515</v>
      </c>
      <c r="X211" t="s">
        <v>1547</v>
      </c>
    </row>
    <row r="212" spans="1:24" ht="12.75">
      <c r="A212" s="1" t="str">
        <f>HYPERLINK("http://www.ofsted.gov.uk/inspection-reports/find-inspection-report/provider/ELS/52531","Ofsted FES Webpage")</f>
        <v>Ofsted FES Webpage</v>
      </c>
      <c r="B212" t="s">
        <v>356</v>
      </c>
      <c r="C212">
        <v>52531</v>
      </c>
      <c r="D212">
        <v>107560</v>
      </c>
      <c r="E212" t="s">
        <v>120</v>
      </c>
      <c r="F212" t="s">
        <v>26</v>
      </c>
      <c r="G212" t="s">
        <v>17</v>
      </c>
      <c r="H212" s="2">
        <v>40470</v>
      </c>
      <c r="I212" s="2">
        <v>40473</v>
      </c>
      <c r="J212" t="s">
        <v>56</v>
      </c>
      <c r="K212" s="2">
        <v>40508.135443287036</v>
      </c>
      <c r="L212" t="s">
        <v>19</v>
      </c>
      <c r="M212">
        <v>364904</v>
      </c>
      <c r="N212">
        <v>1</v>
      </c>
      <c r="O212">
        <v>1</v>
      </c>
      <c r="P212">
        <v>1</v>
      </c>
      <c r="Q212">
        <v>1</v>
      </c>
      <c r="R212">
        <v>381</v>
      </c>
      <c r="T212" t="s">
        <v>3082</v>
      </c>
      <c r="W212" t="s">
        <v>2624</v>
      </c>
      <c r="X212" t="s">
        <v>1548</v>
      </c>
    </row>
    <row r="213" spans="1:24" ht="12.75">
      <c r="A213" s="1" t="str">
        <f>HYPERLINK("http://www.ofsted.gov.uk/inspection-reports/find-inspection-report/provider/ELS/52533","Ofsted FES Webpage")</f>
        <v>Ofsted FES Webpage</v>
      </c>
      <c r="B213" t="s">
        <v>357</v>
      </c>
      <c r="C213">
        <v>52533</v>
      </c>
      <c r="D213">
        <v>106723</v>
      </c>
      <c r="E213" t="s">
        <v>358</v>
      </c>
      <c r="F213" t="s">
        <v>43</v>
      </c>
      <c r="G213" t="s">
        <v>17</v>
      </c>
      <c r="H213" s="2">
        <v>40826</v>
      </c>
      <c r="I213" s="2">
        <v>40830</v>
      </c>
      <c r="J213" t="s">
        <v>23</v>
      </c>
      <c r="K213" s="2">
        <v>40861.135531099535</v>
      </c>
      <c r="L213" t="s">
        <v>29</v>
      </c>
      <c r="M213">
        <v>376247</v>
      </c>
      <c r="N213">
        <v>2</v>
      </c>
      <c r="O213">
        <v>2</v>
      </c>
      <c r="P213">
        <v>3</v>
      </c>
      <c r="Q213">
        <v>3</v>
      </c>
      <c r="R213">
        <v>2213</v>
      </c>
      <c r="S213" t="s">
        <v>3083</v>
      </c>
      <c r="T213" t="s">
        <v>3084</v>
      </c>
      <c r="U213" t="s">
        <v>3085</v>
      </c>
      <c r="W213" t="s">
        <v>3038</v>
      </c>
      <c r="X213" t="s">
        <v>1549</v>
      </c>
    </row>
    <row r="214" spans="1:24" ht="12.75">
      <c r="A214" s="1" t="str">
        <f>HYPERLINK("http://www.ofsted.gov.uk/inspection-reports/find-inspection-report/provider/ELS/52540","Ofsted FES Webpage")</f>
        <v>Ofsted FES Webpage</v>
      </c>
      <c r="B214" t="s">
        <v>359</v>
      </c>
      <c r="C214">
        <v>52540</v>
      </c>
      <c r="D214">
        <v>107590</v>
      </c>
      <c r="E214" t="s">
        <v>91</v>
      </c>
      <c r="F214" t="s">
        <v>43</v>
      </c>
      <c r="G214" t="s">
        <v>17</v>
      </c>
      <c r="H214" s="2">
        <v>40239</v>
      </c>
      <c r="I214" s="2">
        <v>40242</v>
      </c>
      <c r="J214" t="s">
        <v>18</v>
      </c>
      <c r="K214" s="2">
        <v>40267.13553359954</v>
      </c>
      <c r="L214" t="s">
        <v>19</v>
      </c>
      <c r="M214">
        <v>343654</v>
      </c>
      <c r="N214">
        <v>2</v>
      </c>
      <c r="O214">
        <v>2</v>
      </c>
      <c r="P214">
        <v>3</v>
      </c>
      <c r="Q214">
        <v>3</v>
      </c>
      <c r="R214">
        <v>197</v>
      </c>
      <c r="S214" t="s">
        <v>3086</v>
      </c>
      <c r="T214" t="s">
        <v>3087</v>
      </c>
      <c r="U214" t="s">
        <v>3088</v>
      </c>
      <c r="W214" t="s">
        <v>3089</v>
      </c>
      <c r="X214" t="s">
        <v>1550</v>
      </c>
    </row>
    <row r="215" spans="1:24" ht="12.75">
      <c r="A215" s="1" t="str">
        <f>HYPERLINK("http://www.ofsted.gov.uk/inspection-reports/find-inspection-report/provider/ELS/52544","Ofsted FES Webpage")</f>
        <v>Ofsted FES Webpage</v>
      </c>
      <c r="B215" t="s">
        <v>360</v>
      </c>
      <c r="C215">
        <v>52544</v>
      </c>
      <c r="D215">
        <v>114962</v>
      </c>
      <c r="E215" t="s">
        <v>220</v>
      </c>
      <c r="F215" t="s">
        <v>43</v>
      </c>
      <c r="G215" t="s">
        <v>40</v>
      </c>
      <c r="H215" s="2">
        <v>41793</v>
      </c>
      <c r="I215" s="2">
        <v>41796</v>
      </c>
      <c r="J215" t="s">
        <v>27</v>
      </c>
      <c r="K215" s="2">
        <v>41834.135458715275</v>
      </c>
      <c r="L215" t="s">
        <v>54</v>
      </c>
      <c r="M215">
        <v>429244</v>
      </c>
      <c r="N215">
        <v>2</v>
      </c>
      <c r="O215">
        <v>2</v>
      </c>
      <c r="P215">
        <v>3</v>
      </c>
      <c r="Q215">
        <v>3</v>
      </c>
      <c r="R215">
        <v>1470</v>
      </c>
      <c r="S215" t="s">
        <v>3090</v>
      </c>
      <c r="T215" t="s">
        <v>3091</v>
      </c>
      <c r="U215" t="s">
        <v>3092</v>
      </c>
      <c r="V215" t="s">
        <v>220</v>
      </c>
      <c r="X215" t="s">
        <v>1551</v>
      </c>
    </row>
    <row r="216" spans="1:24" ht="12.75">
      <c r="A216" s="1" t="str">
        <f>HYPERLINK("http://www.ofsted.gov.uk/inspection-reports/find-inspection-report/provider/ELS/52550","Ofsted FES Webpage")</f>
        <v>Ofsted FES Webpage</v>
      </c>
      <c r="B216" t="s">
        <v>361</v>
      </c>
      <c r="C216">
        <v>52550</v>
      </c>
      <c r="D216">
        <v>110135</v>
      </c>
      <c r="E216" t="s">
        <v>362</v>
      </c>
      <c r="F216" t="s">
        <v>63</v>
      </c>
      <c r="G216" t="s">
        <v>40</v>
      </c>
      <c r="H216" s="2">
        <v>41219</v>
      </c>
      <c r="I216" s="2">
        <v>41222</v>
      </c>
      <c r="J216" t="s">
        <v>32</v>
      </c>
      <c r="K216" s="2">
        <v>41257.135496215276</v>
      </c>
      <c r="L216" t="s">
        <v>45</v>
      </c>
      <c r="M216">
        <v>399144</v>
      </c>
      <c r="N216">
        <v>2</v>
      </c>
      <c r="O216">
        <v>2</v>
      </c>
      <c r="P216">
        <v>3</v>
      </c>
      <c r="Q216">
        <v>3</v>
      </c>
      <c r="R216">
        <v>395</v>
      </c>
      <c r="T216" t="s">
        <v>2462</v>
      </c>
      <c r="U216" t="s">
        <v>2569</v>
      </c>
      <c r="V216" t="s">
        <v>3093</v>
      </c>
      <c r="W216" t="s">
        <v>362</v>
      </c>
      <c r="X216" t="s">
        <v>1552</v>
      </c>
    </row>
    <row r="217" spans="1:24" ht="12.75">
      <c r="A217" s="1" t="str">
        <f>HYPERLINK("http://www.ofsted.gov.uk/inspection-reports/find-inspection-report/provider/ELS/52563","Ofsted FES Webpage")</f>
        <v>Ofsted FES Webpage</v>
      </c>
      <c r="B217" t="s">
        <v>363</v>
      </c>
      <c r="C217">
        <v>52563</v>
      </c>
      <c r="D217">
        <v>106172</v>
      </c>
      <c r="E217" t="s">
        <v>114</v>
      </c>
      <c r="F217" t="s">
        <v>26</v>
      </c>
      <c r="G217" t="s">
        <v>40</v>
      </c>
      <c r="H217" s="2">
        <v>41169</v>
      </c>
      <c r="I217" s="2">
        <v>41173</v>
      </c>
      <c r="J217" t="s">
        <v>32</v>
      </c>
      <c r="K217" s="2">
        <v>41208.13566516204</v>
      </c>
      <c r="L217" t="s">
        <v>36</v>
      </c>
      <c r="M217">
        <v>404563</v>
      </c>
      <c r="N217">
        <v>2</v>
      </c>
      <c r="O217">
        <v>2</v>
      </c>
      <c r="P217">
        <v>3</v>
      </c>
      <c r="Q217">
        <v>3</v>
      </c>
      <c r="R217">
        <v>2197</v>
      </c>
      <c r="S217" t="s">
        <v>3094</v>
      </c>
      <c r="T217" t="s">
        <v>3095</v>
      </c>
      <c r="U217" t="s">
        <v>3096</v>
      </c>
      <c r="W217" t="s">
        <v>2866</v>
      </c>
      <c r="X217" t="s">
        <v>1553</v>
      </c>
    </row>
    <row r="218" spans="1:24" ht="12.75">
      <c r="A218" s="1" t="str">
        <f>HYPERLINK("http://www.ofsted.gov.uk/inspection-reports/find-inspection-report/provider/ELS/52565","Ofsted FES Webpage")</f>
        <v>Ofsted FES Webpage</v>
      </c>
      <c r="B218" t="s">
        <v>364</v>
      </c>
      <c r="C218">
        <v>52565</v>
      </c>
      <c r="D218">
        <v>121491</v>
      </c>
      <c r="E218" t="s">
        <v>365</v>
      </c>
      <c r="F218" t="s">
        <v>39</v>
      </c>
      <c r="G218" t="s">
        <v>17</v>
      </c>
      <c r="H218" s="2">
        <v>41198</v>
      </c>
      <c r="I218" s="2">
        <v>41201</v>
      </c>
      <c r="J218" t="s">
        <v>32</v>
      </c>
      <c r="K218" s="2">
        <v>41236.13574626157</v>
      </c>
      <c r="L218" t="s">
        <v>29</v>
      </c>
      <c r="M218">
        <v>406806</v>
      </c>
      <c r="N218">
        <v>2</v>
      </c>
      <c r="O218">
        <v>2</v>
      </c>
      <c r="P218">
        <v>2</v>
      </c>
      <c r="Q218">
        <v>2</v>
      </c>
      <c r="R218">
        <v>390</v>
      </c>
      <c r="S218" t="s">
        <v>3097</v>
      </c>
      <c r="T218" t="s">
        <v>3098</v>
      </c>
      <c r="U218" t="s">
        <v>3099</v>
      </c>
      <c r="X218" t="s">
        <v>1554</v>
      </c>
    </row>
    <row r="219" spans="1:24" ht="12.75">
      <c r="A219" s="1" t="str">
        <f>HYPERLINK("http://www.ofsted.gov.uk/inspection-reports/find-inspection-report/provider/ELS/52585","Ofsted FES Webpage")</f>
        <v>Ofsted FES Webpage</v>
      </c>
      <c r="B219" t="s">
        <v>366</v>
      </c>
      <c r="C219">
        <v>52585</v>
      </c>
      <c r="D219">
        <v>117554</v>
      </c>
      <c r="E219" t="s">
        <v>87</v>
      </c>
      <c r="F219" t="s">
        <v>26</v>
      </c>
      <c r="G219" t="s">
        <v>17</v>
      </c>
      <c r="H219" s="2">
        <v>41317</v>
      </c>
      <c r="I219" s="2">
        <v>41320</v>
      </c>
      <c r="J219" t="s">
        <v>32</v>
      </c>
      <c r="K219" s="2">
        <v>41355.1357690625</v>
      </c>
      <c r="L219" t="s">
        <v>36</v>
      </c>
      <c r="M219">
        <v>406812</v>
      </c>
      <c r="N219">
        <v>2</v>
      </c>
      <c r="O219">
        <v>2</v>
      </c>
      <c r="P219">
        <v>3</v>
      </c>
      <c r="Q219">
        <v>3</v>
      </c>
      <c r="R219">
        <v>737</v>
      </c>
      <c r="S219" t="s">
        <v>3101</v>
      </c>
      <c r="T219" t="s">
        <v>3102</v>
      </c>
      <c r="U219" t="s">
        <v>3103</v>
      </c>
      <c r="V219" t="s">
        <v>3104</v>
      </c>
      <c r="W219" t="s">
        <v>2996</v>
      </c>
      <c r="X219" t="s">
        <v>1555</v>
      </c>
    </row>
    <row r="220" spans="1:24" ht="12.75">
      <c r="A220" s="1" t="str">
        <f>HYPERLINK("http://www.ofsted.gov.uk/inspection-reports/find-inspection-report/provider/ELS/52587","Ofsted FES Webpage")</f>
        <v>Ofsted FES Webpage</v>
      </c>
      <c r="B220" t="s">
        <v>367</v>
      </c>
      <c r="C220">
        <v>52587</v>
      </c>
      <c r="D220">
        <v>116615</v>
      </c>
      <c r="E220" t="s">
        <v>67</v>
      </c>
      <c r="F220" t="s">
        <v>68</v>
      </c>
      <c r="G220" t="s">
        <v>160</v>
      </c>
      <c r="H220" s="2">
        <v>41085</v>
      </c>
      <c r="I220" s="2">
        <v>41089</v>
      </c>
      <c r="J220" t="s">
        <v>23</v>
      </c>
      <c r="K220" s="2">
        <v>41115.13553075231</v>
      </c>
      <c r="L220" t="s">
        <v>29</v>
      </c>
      <c r="M220">
        <v>388119</v>
      </c>
      <c r="N220">
        <v>2</v>
      </c>
      <c r="O220">
        <v>2</v>
      </c>
      <c r="P220">
        <v>3</v>
      </c>
      <c r="Q220">
        <v>3</v>
      </c>
      <c r="R220">
        <v>2985</v>
      </c>
      <c r="S220" t="s">
        <v>3105</v>
      </c>
      <c r="T220" t="s">
        <v>3106</v>
      </c>
      <c r="U220" t="s">
        <v>2728</v>
      </c>
      <c r="V220" t="s">
        <v>2481</v>
      </c>
      <c r="W220" t="s">
        <v>67</v>
      </c>
      <c r="X220" t="s">
        <v>1556</v>
      </c>
    </row>
    <row r="221" spans="1:24" ht="12.75">
      <c r="A221" s="1" t="str">
        <f>HYPERLINK("http://www.ofsted.gov.uk/inspection-reports/find-inspection-report/provider/ELS/52598","Ofsted FES Webpage")</f>
        <v>Ofsted FES Webpage</v>
      </c>
      <c r="B221" t="s">
        <v>368</v>
      </c>
      <c r="C221">
        <v>52598</v>
      </c>
      <c r="D221">
        <v>116378</v>
      </c>
      <c r="E221" t="s">
        <v>340</v>
      </c>
      <c r="F221" t="s">
        <v>35</v>
      </c>
      <c r="G221" t="s">
        <v>17</v>
      </c>
      <c r="H221" s="2">
        <v>41716</v>
      </c>
      <c r="I221" s="2">
        <v>41719</v>
      </c>
      <c r="J221" t="s">
        <v>27</v>
      </c>
      <c r="K221" s="2">
        <v>41758.13554895834</v>
      </c>
      <c r="L221" t="s">
        <v>60</v>
      </c>
      <c r="M221">
        <v>429089</v>
      </c>
      <c r="N221">
        <v>3</v>
      </c>
      <c r="O221">
        <v>3</v>
      </c>
      <c r="P221">
        <v>3</v>
      </c>
      <c r="Q221">
        <v>3</v>
      </c>
      <c r="R221">
        <v>741</v>
      </c>
      <c r="S221" t="s">
        <v>3109</v>
      </c>
      <c r="T221" t="s">
        <v>3110</v>
      </c>
      <c r="U221" t="s">
        <v>2402</v>
      </c>
      <c r="V221" t="s">
        <v>3033</v>
      </c>
      <c r="X221" t="s">
        <v>1557</v>
      </c>
    </row>
    <row r="222" spans="1:24" ht="12.75">
      <c r="A222" s="1" t="str">
        <f>HYPERLINK("http://www.ofsted.gov.uk/inspection-reports/find-inspection-report/provider/ELS/52627","Ofsted FES Webpage")</f>
        <v>Ofsted FES Webpage</v>
      </c>
      <c r="B222" t="s">
        <v>369</v>
      </c>
      <c r="C222">
        <v>52627</v>
      </c>
      <c r="D222">
        <v>108877</v>
      </c>
      <c r="E222" t="s">
        <v>122</v>
      </c>
      <c r="F222" t="s">
        <v>35</v>
      </c>
      <c r="G222" t="s">
        <v>17</v>
      </c>
      <c r="H222" s="2">
        <v>41442</v>
      </c>
      <c r="I222" s="2">
        <v>41446</v>
      </c>
      <c r="J222" t="s">
        <v>32</v>
      </c>
      <c r="K222" s="2">
        <v>41481.13550089121</v>
      </c>
      <c r="L222" t="s">
        <v>29</v>
      </c>
      <c r="M222">
        <v>410645</v>
      </c>
      <c r="N222">
        <v>2</v>
      </c>
      <c r="O222">
        <v>2</v>
      </c>
      <c r="P222">
        <v>2</v>
      </c>
      <c r="Q222">
        <v>3</v>
      </c>
      <c r="R222">
        <v>1457</v>
      </c>
      <c r="S222" t="s">
        <v>3112</v>
      </c>
      <c r="T222" t="s">
        <v>3113</v>
      </c>
      <c r="W222" t="s">
        <v>35</v>
      </c>
      <c r="X222" t="s">
        <v>1558</v>
      </c>
    </row>
    <row r="223" spans="1:24" ht="12.75">
      <c r="A223" s="1" t="str">
        <f>HYPERLINK("http://www.ofsted.gov.uk/inspection-reports/find-inspection-report/provider/ELS/52638","Ofsted FES Webpage")</f>
        <v>Ofsted FES Webpage</v>
      </c>
      <c r="B223" t="s">
        <v>370</v>
      </c>
      <c r="C223">
        <v>52638</v>
      </c>
      <c r="D223">
        <v>109905</v>
      </c>
      <c r="E223" t="s">
        <v>95</v>
      </c>
      <c r="F223" t="s">
        <v>39</v>
      </c>
      <c r="G223" t="s">
        <v>17</v>
      </c>
      <c r="H223" s="2">
        <v>40134</v>
      </c>
      <c r="I223" s="2">
        <v>40137</v>
      </c>
      <c r="J223" t="s">
        <v>18</v>
      </c>
      <c r="K223" s="2">
        <v>40172.135500729164</v>
      </c>
      <c r="L223" t="s">
        <v>141</v>
      </c>
      <c r="M223">
        <v>342621</v>
      </c>
      <c r="N223">
        <v>3</v>
      </c>
      <c r="O223">
        <v>2</v>
      </c>
      <c r="P223" t="s">
        <v>20</v>
      </c>
      <c r="Q223" t="s">
        <v>20</v>
      </c>
      <c r="R223">
        <v>20</v>
      </c>
      <c r="S223" t="s">
        <v>2409</v>
      </c>
      <c r="T223" t="s">
        <v>3114</v>
      </c>
      <c r="U223" t="s">
        <v>3115</v>
      </c>
      <c r="V223" t="s">
        <v>2704</v>
      </c>
      <c r="X223" t="s">
        <v>1559</v>
      </c>
    </row>
    <row r="224" spans="1:24" ht="12.75">
      <c r="A224" s="1" t="str">
        <f>HYPERLINK("http://www.ofsted.gov.uk/inspection-reports/find-inspection-report/provider/ELS/52794","Ofsted FES Webpage")</f>
        <v>Ofsted FES Webpage</v>
      </c>
      <c r="B224" t="s">
        <v>371</v>
      </c>
      <c r="C224">
        <v>52794</v>
      </c>
      <c r="D224">
        <v>126205</v>
      </c>
      <c r="E224" t="s">
        <v>372</v>
      </c>
      <c r="F224" t="s">
        <v>35</v>
      </c>
      <c r="G224" t="s">
        <v>17</v>
      </c>
      <c r="H224" s="2">
        <v>41603</v>
      </c>
      <c r="I224" s="2">
        <v>41607</v>
      </c>
      <c r="J224" t="s">
        <v>27</v>
      </c>
      <c r="K224" s="2">
        <v>41647.13554228009</v>
      </c>
      <c r="L224" t="s">
        <v>36</v>
      </c>
      <c r="M224">
        <v>423764</v>
      </c>
      <c r="N224">
        <v>2</v>
      </c>
      <c r="O224">
        <v>2</v>
      </c>
      <c r="P224">
        <v>2</v>
      </c>
      <c r="Q224">
        <v>2</v>
      </c>
      <c r="R224" t="s">
        <v>20</v>
      </c>
      <c r="S224" t="s">
        <v>3116</v>
      </c>
      <c r="T224" t="s">
        <v>3117</v>
      </c>
      <c r="W224" t="s">
        <v>3118</v>
      </c>
      <c r="X224" t="s">
        <v>1560</v>
      </c>
    </row>
    <row r="225" spans="1:24" ht="12.75">
      <c r="A225" s="1" t="str">
        <f>HYPERLINK("http://www.ofsted.gov.uk/inspection-reports/find-inspection-report/provider/ELS/52795","Ofsted FES Webpage")</f>
        <v>Ofsted FES Webpage</v>
      </c>
      <c r="B225" t="s">
        <v>373</v>
      </c>
      <c r="C225">
        <v>52795</v>
      </c>
      <c r="D225">
        <v>106907</v>
      </c>
      <c r="E225" t="s">
        <v>157</v>
      </c>
      <c r="F225" t="s">
        <v>68</v>
      </c>
      <c r="G225" t="s">
        <v>17</v>
      </c>
      <c r="H225" s="2">
        <v>41484</v>
      </c>
      <c r="I225" s="2">
        <v>41488</v>
      </c>
      <c r="J225" t="s">
        <v>32</v>
      </c>
      <c r="K225" s="2">
        <v>41516.13545216435</v>
      </c>
      <c r="L225" t="s">
        <v>29</v>
      </c>
      <c r="M225">
        <v>410646</v>
      </c>
      <c r="N225">
        <v>2</v>
      </c>
      <c r="O225">
        <v>2</v>
      </c>
      <c r="P225">
        <v>3</v>
      </c>
      <c r="Q225">
        <v>3</v>
      </c>
      <c r="R225">
        <v>4511</v>
      </c>
      <c r="S225" t="s">
        <v>3119</v>
      </c>
      <c r="W225" t="s">
        <v>2629</v>
      </c>
      <c r="X225" t="s">
        <v>1561</v>
      </c>
    </row>
    <row r="226" spans="1:24" ht="12.75">
      <c r="A226" s="1" t="str">
        <f>HYPERLINK("http://www.ofsted.gov.uk/inspection-reports/find-inspection-report/provider/ELS/52804","Ofsted FES Webpage")</f>
        <v>Ofsted FES Webpage</v>
      </c>
      <c r="B226" t="s">
        <v>374</v>
      </c>
      <c r="C226">
        <v>52804</v>
      </c>
      <c r="D226">
        <v>105061</v>
      </c>
      <c r="E226" t="s">
        <v>294</v>
      </c>
      <c r="F226" t="s">
        <v>35</v>
      </c>
      <c r="G226" t="s">
        <v>40</v>
      </c>
      <c r="H226" s="2">
        <v>41253</v>
      </c>
      <c r="I226" s="2">
        <v>41257</v>
      </c>
      <c r="J226" t="s">
        <v>32</v>
      </c>
      <c r="K226" s="2">
        <v>41289.13560674769</v>
      </c>
      <c r="L226" t="s">
        <v>29</v>
      </c>
      <c r="M226">
        <v>404574</v>
      </c>
      <c r="N226">
        <v>2</v>
      </c>
      <c r="O226">
        <v>2</v>
      </c>
      <c r="P226">
        <v>2</v>
      </c>
      <c r="Q226">
        <v>2</v>
      </c>
      <c r="R226">
        <v>6041</v>
      </c>
      <c r="S226" t="s">
        <v>3120</v>
      </c>
      <c r="T226" t="s">
        <v>3121</v>
      </c>
      <c r="U226" t="s">
        <v>3122</v>
      </c>
      <c r="X226" t="s">
        <v>1562</v>
      </c>
    </row>
    <row r="227" spans="1:24" ht="12.75">
      <c r="A227" s="1" t="str">
        <f>HYPERLINK("http://www.ofsted.gov.uk/inspection-reports/find-inspection-report/provider/ELS/52805","Ofsted FES Webpage")</f>
        <v>Ofsted FES Webpage</v>
      </c>
      <c r="B227" t="s">
        <v>375</v>
      </c>
      <c r="C227">
        <v>52805</v>
      </c>
      <c r="D227">
        <v>106372</v>
      </c>
      <c r="E227" t="s">
        <v>228</v>
      </c>
      <c r="F227" t="s">
        <v>49</v>
      </c>
      <c r="G227" t="s">
        <v>17</v>
      </c>
      <c r="H227" s="2">
        <v>40441</v>
      </c>
      <c r="I227" s="2">
        <v>40444</v>
      </c>
      <c r="J227" t="s">
        <v>56</v>
      </c>
      <c r="K227" s="2">
        <v>40480.10562855324</v>
      </c>
      <c r="L227" t="s">
        <v>19</v>
      </c>
      <c r="M227">
        <v>354623</v>
      </c>
      <c r="N227">
        <v>2</v>
      </c>
      <c r="O227">
        <v>2</v>
      </c>
      <c r="P227" t="s">
        <v>20</v>
      </c>
      <c r="Q227" t="s">
        <v>20</v>
      </c>
      <c r="R227">
        <v>1228</v>
      </c>
      <c r="S227" t="s">
        <v>3123</v>
      </c>
      <c r="T227" t="s">
        <v>3124</v>
      </c>
      <c r="U227" t="s">
        <v>228</v>
      </c>
      <c r="X227" t="s">
        <v>1563</v>
      </c>
    </row>
    <row r="228" spans="1:24" ht="12.75">
      <c r="A228" s="1" t="str">
        <f>HYPERLINK("http://www.ofsted.gov.uk/inspection-reports/find-inspection-report/provider/ELS/52824","Ofsted FES Webpage")</f>
        <v>Ofsted FES Webpage</v>
      </c>
      <c r="B228" t="s">
        <v>376</v>
      </c>
      <c r="C228">
        <v>52824</v>
      </c>
      <c r="D228">
        <v>119752</v>
      </c>
      <c r="E228" t="s">
        <v>99</v>
      </c>
      <c r="F228" t="s">
        <v>43</v>
      </c>
      <c r="G228" t="s">
        <v>17</v>
      </c>
      <c r="H228" s="2">
        <v>40365</v>
      </c>
      <c r="I228" s="2">
        <v>40368</v>
      </c>
      <c r="J228" t="s">
        <v>18</v>
      </c>
      <c r="K228" s="2">
        <v>40403.13549359954</v>
      </c>
      <c r="L228" t="s">
        <v>19</v>
      </c>
      <c r="M228">
        <v>362099</v>
      </c>
      <c r="N228">
        <v>2</v>
      </c>
      <c r="O228">
        <v>2</v>
      </c>
      <c r="P228">
        <v>2</v>
      </c>
      <c r="Q228">
        <v>2</v>
      </c>
      <c r="R228">
        <v>461</v>
      </c>
      <c r="S228" t="s">
        <v>2474</v>
      </c>
      <c r="T228" t="s">
        <v>3125</v>
      </c>
      <c r="U228" t="s">
        <v>3126</v>
      </c>
      <c r="V228" t="s">
        <v>3037</v>
      </c>
      <c r="X228" t="s">
        <v>1564</v>
      </c>
    </row>
    <row r="229" spans="1:24" ht="12.75">
      <c r="A229" s="1" t="str">
        <f>HYPERLINK("http://www.ofsted.gov.uk/inspection-reports/find-inspection-report/provider/ELS/52836","Ofsted FES Webpage")</f>
        <v>Ofsted FES Webpage</v>
      </c>
      <c r="B229" t="s">
        <v>377</v>
      </c>
      <c r="C229">
        <v>52836</v>
      </c>
      <c r="D229">
        <v>110202</v>
      </c>
      <c r="E229" t="s">
        <v>99</v>
      </c>
      <c r="F229" t="s">
        <v>43</v>
      </c>
      <c r="G229" t="s">
        <v>40</v>
      </c>
      <c r="H229" s="2">
        <v>40350</v>
      </c>
      <c r="I229" s="2">
        <v>40354</v>
      </c>
      <c r="J229" t="s">
        <v>18</v>
      </c>
      <c r="K229" s="2">
        <v>40389.13553353009</v>
      </c>
      <c r="L229" t="s">
        <v>45</v>
      </c>
      <c r="M229">
        <v>354410</v>
      </c>
      <c r="N229">
        <v>2</v>
      </c>
      <c r="O229">
        <v>2</v>
      </c>
      <c r="P229" t="s">
        <v>20</v>
      </c>
      <c r="Q229" t="s">
        <v>20</v>
      </c>
      <c r="R229">
        <v>19120</v>
      </c>
      <c r="S229" t="s">
        <v>3127</v>
      </c>
      <c r="T229" t="s">
        <v>2881</v>
      </c>
      <c r="U229" t="s">
        <v>2799</v>
      </c>
      <c r="V229" t="s">
        <v>99</v>
      </c>
      <c r="X229" t="s">
        <v>1565</v>
      </c>
    </row>
    <row r="230" spans="1:24" ht="12.75">
      <c r="A230" s="1" t="str">
        <f>HYPERLINK("http://www.ofsted.gov.uk/inspection-reports/find-inspection-report/provider/ELS/52838","Ofsted FES Webpage")</f>
        <v>Ofsted FES Webpage</v>
      </c>
      <c r="B230" t="s">
        <v>378</v>
      </c>
      <c r="C230">
        <v>52838</v>
      </c>
      <c r="D230">
        <v>107471</v>
      </c>
      <c r="E230" t="s">
        <v>70</v>
      </c>
      <c r="F230" t="s">
        <v>39</v>
      </c>
      <c r="G230" t="s">
        <v>17</v>
      </c>
      <c r="H230" s="2">
        <v>40253</v>
      </c>
      <c r="I230" s="2">
        <v>40256</v>
      </c>
      <c r="J230" t="s">
        <v>18</v>
      </c>
      <c r="K230" s="2">
        <v>40295.13551898148</v>
      </c>
      <c r="L230" t="s">
        <v>19</v>
      </c>
      <c r="M230">
        <v>343971</v>
      </c>
      <c r="N230">
        <v>2</v>
      </c>
      <c r="O230">
        <v>2</v>
      </c>
      <c r="P230">
        <v>3</v>
      </c>
      <c r="Q230">
        <v>3</v>
      </c>
      <c r="R230">
        <v>2044</v>
      </c>
      <c r="S230">
        <v>502</v>
      </c>
      <c r="T230" t="s">
        <v>3128</v>
      </c>
      <c r="U230" t="s">
        <v>3129</v>
      </c>
      <c r="V230" t="s">
        <v>3130</v>
      </c>
      <c r="W230" t="s">
        <v>3131</v>
      </c>
      <c r="X230" t="s">
        <v>1566</v>
      </c>
    </row>
    <row r="231" spans="1:24" ht="12.75">
      <c r="A231" s="1" t="str">
        <f>HYPERLINK("http://www.ofsted.gov.uk/inspection-reports/find-inspection-report/provider/ELS/52843","Ofsted FES Webpage")</f>
        <v>Ofsted FES Webpage</v>
      </c>
      <c r="B231" t="s">
        <v>379</v>
      </c>
      <c r="C231">
        <v>52843</v>
      </c>
      <c r="D231">
        <v>106963</v>
      </c>
      <c r="E231" t="s">
        <v>89</v>
      </c>
      <c r="F231" t="s">
        <v>16</v>
      </c>
      <c r="G231" t="s">
        <v>40</v>
      </c>
      <c r="H231" s="2">
        <v>41751</v>
      </c>
      <c r="I231" s="2">
        <v>41753</v>
      </c>
      <c r="J231" t="s">
        <v>27</v>
      </c>
      <c r="K231" s="2">
        <v>41789.135461805556</v>
      </c>
      <c r="L231" t="s">
        <v>60</v>
      </c>
      <c r="M231">
        <v>429223</v>
      </c>
      <c r="N231">
        <v>3</v>
      </c>
      <c r="O231">
        <v>3</v>
      </c>
      <c r="P231">
        <v>3</v>
      </c>
      <c r="Q231">
        <v>3</v>
      </c>
      <c r="R231">
        <v>98</v>
      </c>
      <c r="S231">
        <v>5</v>
      </c>
      <c r="T231" t="s">
        <v>3132</v>
      </c>
      <c r="W231" t="s">
        <v>3133</v>
      </c>
      <c r="X231" t="s">
        <v>1567</v>
      </c>
    </row>
    <row r="232" spans="1:24" ht="12.75">
      <c r="A232" s="1" t="str">
        <f>HYPERLINK("http://www.ofsted.gov.uk/inspection-reports/find-inspection-report/provider/ELS/52847","Ofsted FES Webpage")</f>
        <v>Ofsted FES Webpage</v>
      </c>
      <c r="B232" t="s">
        <v>380</v>
      </c>
      <c r="C232">
        <v>52847</v>
      </c>
      <c r="D232">
        <v>106311</v>
      </c>
      <c r="E232" t="s">
        <v>59</v>
      </c>
      <c r="F232" t="s">
        <v>43</v>
      </c>
      <c r="G232" t="s">
        <v>17</v>
      </c>
      <c r="H232" s="2">
        <v>40252</v>
      </c>
      <c r="I232" s="2">
        <v>40256</v>
      </c>
      <c r="J232" t="s">
        <v>18</v>
      </c>
      <c r="K232" s="2">
        <v>40295.135519131945</v>
      </c>
      <c r="L232" t="s">
        <v>29</v>
      </c>
      <c r="M232">
        <v>343954</v>
      </c>
      <c r="N232">
        <v>2</v>
      </c>
      <c r="O232">
        <v>2</v>
      </c>
      <c r="P232">
        <v>3</v>
      </c>
      <c r="Q232">
        <v>2</v>
      </c>
      <c r="R232">
        <v>3930</v>
      </c>
      <c r="S232" t="s">
        <v>3134</v>
      </c>
      <c r="T232" t="s">
        <v>3135</v>
      </c>
      <c r="U232" t="s">
        <v>3136</v>
      </c>
      <c r="X232" t="s">
        <v>1568</v>
      </c>
    </row>
    <row r="233" spans="1:24" ht="12.75">
      <c r="A233" s="1" t="str">
        <f>HYPERLINK("http://www.ofsted.gov.uk/inspection-reports/find-inspection-report/provider/ELS/52859","Ofsted FES Webpage")</f>
        <v>Ofsted FES Webpage</v>
      </c>
      <c r="B233" t="s">
        <v>381</v>
      </c>
      <c r="C233">
        <v>52859</v>
      </c>
      <c r="D233">
        <v>106358</v>
      </c>
      <c r="E233" t="s">
        <v>106</v>
      </c>
      <c r="F233" t="s">
        <v>49</v>
      </c>
      <c r="G233" t="s">
        <v>17</v>
      </c>
      <c r="H233" s="2">
        <v>41759</v>
      </c>
      <c r="I233" s="2">
        <v>41761</v>
      </c>
      <c r="J233" t="s">
        <v>27</v>
      </c>
      <c r="K233" s="2">
        <v>41796.13548336805</v>
      </c>
      <c r="L233" t="s">
        <v>60</v>
      </c>
      <c r="M233">
        <v>429224</v>
      </c>
      <c r="N233">
        <v>2</v>
      </c>
      <c r="O233">
        <v>2</v>
      </c>
      <c r="P233">
        <v>3</v>
      </c>
      <c r="Q233">
        <v>2</v>
      </c>
      <c r="R233">
        <v>135</v>
      </c>
      <c r="T233" t="s">
        <v>3137</v>
      </c>
      <c r="U233" t="s">
        <v>3138</v>
      </c>
      <c r="W233" t="s">
        <v>106</v>
      </c>
      <c r="X233" t="s">
        <v>1569</v>
      </c>
    </row>
    <row r="234" spans="1:24" ht="12.75">
      <c r="A234" s="1" t="str">
        <f>HYPERLINK("http://www.ofsted.gov.uk/inspection-reports/find-inspection-report/provider/ELS/52867","Ofsted FES Webpage")</f>
        <v>Ofsted FES Webpage</v>
      </c>
      <c r="B234" t="s">
        <v>382</v>
      </c>
      <c r="C234">
        <v>52867</v>
      </c>
      <c r="D234">
        <v>106273</v>
      </c>
      <c r="E234" t="s">
        <v>216</v>
      </c>
      <c r="F234" t="s">
        <v>26</v>
      </c>
      <c r="G234" t="s">
        <v>40</v>
      </c>
      <c r="H234" s="2">
        <v>41653</v>
      </c>
      <c r="I234" s="2">
        <v>41656</v>
      </c>
      <c r="J234" t="s">
        <v>27</v>
      </c>
      <c r="K234" s="2">
        <v>41688.13547364583</v>
      </c>
      <c r="L234" t="s">
        <v>36</v>
      </c>
      <c r="M234">
        <v>429111</v>
      </c>
      <c r="N234">
        <v>2</v>
      </c>
      <c r="O234">
        <v>2</v>
      </c>
      <c r="P234">
        <v>3</v>
      </c>
      <c r="Q234">
        <v>3</v>
      </c>
      <c r="R234">
        <v>300</v>
      </c>
      <c r="S234" t="s">
        <v>3139</v>
      </c>
      <c r="T234" t="s">
        <v>3140</v>
      </c>
      <c r="W234" t="s">
        <v>3141</v>
      </c>
      <c r="X234" t="s">
        <v>1570</v>
      </c>
    </row>
    <row r="235" spans="1:24" ht="12.75">
      <c r="A235" s="1" t="str">
        <f>HYPERLINK("http://www.ofsted.gov.uk/inspection-reports/find-inspection-report/provider/ELS/52870","Ofsted FES Webpage")</f>
        <v>Ofsted FES Webpage</v>
      </c>
      <c r="B235" t="s">
        <v>383</v>
      </c>
      <c r="C235">
        <v>52870</v>
      </c>
      <c r="D235">
        <v>115465</v>
      </c>
      <c r="E235" t="s">
        <v>137</v>
      </c>
      <c r="F235" t="s">
        <v>26</v>
      </c>
      <c r="G235" t="s">
        <v>40</v>
      </c>
      <c r="H235" s="2">
        <v>41603</v>
      </c>
      <c r="I235" s="2">
        <v>41605</v>
      </c>
      <c r="J235" t="s">
        <v>27</v>
      </c>
      <c r="K235" s="2">
        <v>41626.13547673611</v>
      </c>
      <c r="L235" t="s">
        <v>45</v>
      </c>
      <c r="M235">
        <v>423417</v>
      </c>
      <c r="N235">
        <v>1</v>
      </c>
      <c r="O235">
        <v>1</v>
      </c>
      <c r="P235">
        <v>1</v>
      </c>
      <c r="Q235">
        <v>1</v>
      </c>
      <c r="R235">
        <v>1208</v>
      </c>
      <c r="S235" t="s">
        <v>3143</v>
      </c>
      <c r="T235" t="s">
        <v>3144</v>
      </c>
      <c r="U235" t="s">
        <v>3145</v>
      </c>
      <c r="V235" t="s">
        <v>3146</v>
      </c>
      <c r="W235" t="s">
        <v>2495</v>
      </c>
      <c r="X235" t="s">
        <v>1571</v>
      </c>
    </row>
    <row r="236" spans="1:24" ht="12.75">
      <c r="A236" s="1" t="str">
        <f>HYPERLINK("http://www.ofsted.gov.uk/inspection-reports/find-inspection-report/provider/ELS/52883","Ofsted FES Webpage")</f>
        <v>Ofsted FES Webpage</v>
      </c>
      <c r="B236" t="s">
        <v>384</v>
      </c>
      <c r="C236">
        <v>52883</v>
      </c>
      <c r="D236">
        <v>108057</v>
      </c>
      <c r="E236" t="s">
        <v>385</v>
      </c>
      <c r="F236" t="s">
        <v>68</v>
      </c>
      <c r="G236" t="s">
        <v>40</v>
      </c>
      <c r="H236" s="2">
        <v>41303</v>
      </c>
      <c r="I236" s="2">
        <v>41306</v>
      </c>
      <c r="J236" t="s">
        <v>32</v>
      </c>
      <c r="K236" s="2">
        <v>41339.135530555555</v>
      </c>
      <c r="L236" t="s">
        <v>45</v>
      </c>
      <c r="M236">
        <v>404215</v>
      </c>
      <c r="N236">
        <v>2</v>
      </c>
      <c r="O236">
        <v>2</v>
      </c>
      <c r="P236">
        <v>3</v>
      </c>
      <c r="Q236">
        <v>3</v>
      </c>
      <c r="R236">
        <v>2661</v>
      </c>
      <c r="S236" t="s">
        <v>3147</v>
      </c>
      <c r="T236" t="s">
        <v>3148</v>
      </c>
      <c r="U236" t="s">
        <v>3100</v>
      </c>
      <c r="X236" t="s">
        <v>1572</v>
      </c>
    </row>
    <row r="237" spans="1:24" ht="12.75">
      <c r="A237" s="1" t="str">
        <f>HYPERLINK("http://www.ofsted.gov.uk/inspection-reports/find-inspection-report/provider/ELS/52896","Ofsted FES Webpage")</f>
        <v>Ofsted FES Webpage</v>
      </c>
      <c r="B237" t="s">
        <v>386</v>
      </c>
      <c r="C237">
        <v>52896</v>
      </c>
      <c r="D237">
        <v>110078</v>
      </c>
      <c r="E237" t="s">
        <v>109</v>
      </c>
      <c r="F237" t="s">
        <v>16</v>
      </c>
      <c r="G237" t="s">
        <v>160</v>
      </c>
      <c r="H237" s="2">
        <v>41575</v>
      </c>
      <c r="I237" s="2">
        <v>41579</v>
      </c>
      <c r="J237" t="s">
        <v>27</v>
      </c>
      <c r="K237" s="2">
        <v>41610.13544857639</v>
      </c>
      <c r="L237" t="s">
        <v>29</v>
      </c>
      <c r="M237">
        <v>423719</v>
      </c>
      <c r="N237">
        <v>3</v>
      </c>
      <c r="O237">
        <v>3</v>
      </c>
      <c r="P237">
        <v>1</v>
      </c>
      <c r="Q237">
        <v>1</v>
      </c>
      <c r="R237">
        <v>604</v>
      </c>
      <c r="S237" t="s">
        <v>3150</v>
      </c>
      <c r="T237" t="s">
        <v>3151</v>
      </c>
      <c r="U237" t="s">
        <v>3152</v>
      </c>
      <c r="V237" t="s">
        <v>109</v>
      </c>
      <c r="X237" t="s">
        <v>1573</v>
      </c>
    </row>
    <row r="238" spans="1:24" ht="12.75">
      <c r="A238" s="1" t="str">
        <f>HYPERLINK("http://www.ofsted.gov.uk/inspection-reports/find-inspection-report/provider/ELS/52902","Ofsted FES Webpage")</f>
        <v>Ofsted FES Webpage</v>
      </c>
      <c r="B238" t="s">
        <v>387</v>
      </c>
      <c r="C238">
        <v>52902</v>
      </c>
      <c r="D238">
        <v>108718</v>
      </c>
      <c r="E238" t="s">
        <v>234</v>
      </c>
      <c r="F238" t="s">
        <v>16</v>
      </c>
      <c r="G238" t="s">
        <v>17</v>
      </c>
      <c r="H238" s="2">
        <v>41023</v>
      </c>
      <c r="I238" s="2">
        <v>41026</v>
      </c>
      <c r="J238" t="s">
        <v>23</v>
      </c>
      <c r="K238" s="2">
        <v>41066.13549383102</v>
      </c>
      <c r="L238" t="s">
        <v>29</v>
      </c>
      <c r="M238">
        <v>388128</v>
      </c>
      <c r="N238">
        <v>2</v>
      </c>
      <c r="O238">
        <v>2</v>
      </c>
      <c r="P238">
        <v>2</v>
      </c>
      <c r="Q238">
        <v>2</v>
      </c>
      <c r="R238">
        <v>516</v>
      </c>
      <c r="S238" t="s">
        <v>3153</v>
      </c>
      <c r="T238" t="s">
        <v>3154</v>
      </c>
      <c r="U238" t="s">
        <v>2469</v>
      </c>
      <c r="X238" t="s">
        <v>1574</v>
      </c>
    </row>
    <row r="239" spans="1:24" ht="12.75">
      <c r="A239" s="1" t="str">
        <f>HYPERLINK("http://www.ofsted.gov.uk/inspection-reports/find-inspection-report/provider/ELS/52911","Ofsted FES Webpage")</f>
        <v>Ofsted FES Webpage</v>
      </c>
      <c r="B239" t="s">
        <v>388</v>
      </c>
      <c r="C239">
        <v>52911</v>
      </c>
      <c r="D239">
        <v>108153</v>
      </c>
      <c r="E239" t="s">
        <v>170</v>
      </c>
      <c r="F239" t="s">
        <v>68</v>
      </c>
      <c r="G239" t="s">
        <v>40</v>
      </c>
      <c r="H239" s="2">
        <v>39846</v>
      </c>
      <c r="I239" s="2">
        <v>39850</v>
      </c>
      <c r="J239" t="s">
        <v>44</v>
      </c>
      <c r="K239" s="2">
        <v>39892.13557322916</v>
      </c>
      <c r="L239" t="s">
        <v>45</v>
      </c>
      <c r="M239">
        <v>330961</v>
      </c>
      <c r="N239">
        <v>2</v>
      </c>
      <c r="O239">
        <v>2</v>
      </c>
      <c r="P239" t="s">
        <v>20</v>
      </c>
      <c r="Q239" t="s">
        <v>20</v>
      </c>
      <c r="R239">
        <v>23534</v>
      </c>
      <c r="S239" t="s">
        <v>3158</v>
      </c>
      <c r="T239" t="s">
        <v>2655</v>
      </c>
      <c r="X239" t="s">
        <v>1576</v>
      </c>
    </row>
    <row r="240" spans="1:24" ht="12.75">
      <c r="A240" s="1" t="str">
        <f>HYPERLINK("http://www.ofsted.gov.uk/inspection-reports/find-inspection-report/provider/ELS/52923","Ofsted FES Webpage")</f>
        <v>Ofsted FES Webpage</v>
      </c>
      <c r="B240" t="s">
        <v>389</v>
      </c>
      <c r="C240">
        <v>52923</v>
      </c>
      <c r="D240">
        <v>106467</v>
      </c>
      <c r="E240" t="s">
        <v>170</v>
      </c>
      <c r="F240" t="s">
        <v>68</v>
      </c>
      <c r="G240" t="s">
        <v>40</v>
      </c>
      <c r="H240" s="2">
        <v>40805</v>
      </c>
      <c r="I240" s="2">
        <v>40808</v>
      </c>
      <c r="J240" t="s">
        <v>23</v>
      </c>
      <c r="K240" s="2">
        <v>40836.13548287037</v>
      </c>
      <c r="L240" t="s">
        <v>19</v>
      </c>
      <c r="M240">
        <v>376223</v>
      </c>
      <c r="N240">
        <v>2</v>
      </c>
      <c r="O240">
        <v>2</v>
      </c>
      <c r="P240">
        <v>2</v>
      </c>
      <c r="Q240">
        <v>2</v>
      </c>
      <c r="R240">
        <v>82</v>
      </c>
      <c r="S240" t="s">
        <v>3160</v>
      </c>
      <c r="T240" t="s">
        <v>3161</v>
      </c>
      <c r="U240" t="s">
        <v>3162</v>
      </c>
      <c r="X240" t="s">
        <v>1577</v>
      </c>
    </row>
    <row r="241" spans="1:24" ht="12.75">
      <c r="A241" s="1" t="str">
        <f>HYPERLINK("http://www.ofsted.gov.uk/inspection-reports/find-inspection-report/provider/ELS/52924","Ofsted FES Webpage")</f>
        <v>Ofsted FES Webpage</v>
      </c>
      <c r="B241" t="s">
        <v>390</v>
      </c>
      <c r="C241">
        <v>52924</v>
      </c>
      <c r="D241">
        <v>116980</v>
      </c>
      <c r="E241" t="s">
        <v>335</v>
      </c>
      <c r="F241" t="s">
        <v>49</v>
      </c>
      <c r="G241" t="s">
        <v>160</v>
      </c>
      <c r="H241" s="2">
        <v>41240</v>
      </c>
      <c r="I241" s="2">
        <v>41243</v>
      </c>
      <c r="J241" t="s">
        <v>32</v>
      </c>
      <c r="K241" s="2">
        <v>41283.13551241898</v>
      </c>
      <c r="L241" t="s">
        <v>29</v>
      </c>
      <c r="M241">
        <v>399108</v>
      </c>
      <c r="N241">
        <v>2</v>
      </c>
      <c r="O241">
        <v>2</v>
      </c>
      <c r="P241">
        <v>2</v>
      </c>
      <c r="Q241">
        <v>2</v>
      </c>
      <c r="R241">
        <v>246</v>
      </c>
      <c r="S241" t="s">
        <v>3163</v>
      </c>
      <c r="T241" t="s">
        <v>3164</v>
      </c>
      <c r="U241" t="s">
        <v>2858</v>
      </c>
      <c r="X241" t="s">
        <v>1578</v>
      </c>
    </row>
    <row r="242" spans="1:24" ht="12.75">
      <c r="A242" s="1" t="str">
        <f>HYPERLINK("http://www.ofsted.gov.uk/inspection-reports/find-inspection-report/provider/ELS/52928","Ofsted FES Webpage")</f>
        <v>Ofsted FES Webpage</v>
      </c>
      <c r="B242" t="s">
        <v>391</v>
      </c>
      <c r="C242">
        <v>52928</v>
      </c>
      <c r="D242">
        <v>116052</v>
      </c>
      <c r="E242" t="s">
        <v>91</v>
      </c>
      <c r="F242" t="s">
        <v>43</v>
      </c>
      <c r="G242" t="s">
        <v>17</v>
      </c>
      <c r="H242" s="2">
        <v>41792</v>
      </c>
      <c r="I242" s="2">
        <v>41795</v>
      </c>
      <c r="J242" t="s">
        <v>27</v>
      </c>
      <c r="K242" s="2">
        <v>41830.135491168985</v>
      </c>
      <c r="L242" t="s">
        <v>36</v>
      </c>
      <c r="M242">
        <v>434063</v>
      </c>
      <c r="N242">
        <v>3</v>
      </c>
      <c r="O242">
        <v>3</v>
      </c>
      <c r="P242">
        <v>3</v>
      </c>
      <c r="Q242">
        <v>3</v>
      </c>
      <c r="R242">
        <v>59</v>
      </c>
      <c r="S242" t="s">
        <v>3165</v>
      </c>
      <c r="T242" t="s">
        <v>2531</v>
      </c>
      <c r="W242" t="s">
        <v>3089</v>
      </c>
      <c r="X242" t="s">
        <v>1579</v>
      </c>
    </row>
    <row r="243" spans="1:24" ht="12.75">
      <c r="A243" s="1" t="str">
        <f>HYPERLINK("http://www.ofsted.gov.uk/inspection-reports/find-inspection-report/provider/ELS/52949","Ofsted FES Webpage")</f>
        <v>Ofsted FES Webpage</v>
      </c>
      <c r="B243" t="s">
        <v>392</v>
      </c>
      <c r="C243">
        <v>52949</v>
      </c>
      <c r="D243">
        <v>116979</v>
      </c>
      <c r="E243" t="s">
        <v>170</v>
      </c>
      <c r="F243" t="s">
        <v>68</v>
      </c>
      <c r="G243" t="s">
        <v>40</v>
      </c>
      <c r="H243" s="2">
        <v>41015</v>
      </c>
      <c r="I243" s="2">
        <v>41019</v>
      </c>
      <c r="J243" t="s">
        <v>23</v>
      </c>
      <c r="K243" s="2">
        <v>41057.13552804398</v>
      </c>
      <c r="L243" t="s">
        <v>29</v>
      </c>
      <c r="M243">
        <v>386017</v>
      </c>
      <c r="N243">
        <v>1</v>
      </c>
      <c r="O243">
        <v>1</v>
      </c>
      <c r="P243">
        <v>2</v>
      </c>
      <c r="Q243">
        <v>2</v>
      </c>
      <c r="R243">
        <v>1747</v>
      </c>
      <c r="S243" t="s">
        <v>3167</v>
      </c>
      <c r="T243" t="s">
        <v>3168</v>
      </c>
      <c r="U243" t="s">
        <v>3169</v>
      </c>
      <c r="W243" t="s">
        <v>2655</v>
      </c>
      <c r="X243" t="s">
        <v>1581</v>
      </c>
    </row>
    <row r="244" spans="1:24" ht="12.75">
      <c r="A244" s="1" t="str">
        <f>HYPERLINK("http://www.ofsted.gov.uk/inspection-reports/find-inspection-report/provider/ELS/52954","Ofsted FES Webpage")</f>
        <v>Ofsted FES Webpage</v>
      </c>
      <c r="B244" t="s">
        <v>393</v>
      </c>
      <c r="C244">
        <v>52954</v>
      </c>
      <c r="D244">
        <v>118925</v>
      </c>
      <c r="E244" t="s">
        <v>99</v>
      </c>
      <c r="F244" t="s">
        <v>43</v>
      </c>
      <c r="G244" t="s">
        <v>40</v>
      </c>
      <c r="H244" s="2">
        <v>40351</v>
      </c>
      <c r="I244" s="2">
        <v>40354</v>
      </c>
      <c r="J244" t="s">
        <v>18</v>
      </c>
      <c r="K244" s="2">
        <v>40389.13553353009</v>
      </c>
      <c r="L244" t="s">
        <v>141</v>
      </c>
      <c r="M244">
        <v>345929</v>
      </c>
      <c r="N244">
        <v>2</v>
      </c>
      <c r="O244">
        <v>2</v>
      </c>
      <c r="P244">
        <v>3</v>
      </c>
      <c r="Q244">
        <v>3</v>
      </c>
      <c r="R244">
        <v>1578</v>
      </c>
      <c r="S244" t="s">
        <v>3170</v>
      </c>
      <c r="T244" t="s">
        <v>3171</v>
      </c>
      <c r="U244" t="s">
        <v>3172</v>
      </c>
      <c r="V244" t="s">
        <v>99</v>
      </c>
      <c r="X244" t="s">
        <v>1582</v>
      </c>
    </row>
    <row r="245" spans="1:24" ht="12.75">
      <c r="A245" s="1" t="str">
        <f>HYPERLINK("http://www.ofsted.gov.uk/inspection-reports/find-inspection-report/provider/ELS/52983","Ofsted FES Webpage")</f>
        <v>Ofsted FES Webpage</v>
      </c>
      <c r="B245" t="s">
        <v>394</v>
      </c>
      <c r="C245">
        <v>52983</v>
      </c>
      <c r="D245">
        <v>115916</v>
      </c>
      <c r="E245" t="s">
        <v>249</v>
      </c>
      <c r="F245" t="s">
        <v>63</v>
      </c>
      <c r="G245" t="s">
        <v>40</v>
      </c>
      <c r="H245" s="2">
        <v>40141</v>
      </c>
      <c r="I245" s="2">
        <v>40144</v>
      </c>
      <c r="J245" t="s">
        <v>18</v>
      </c>
      <c r="K245" s="2">
        <v>40186.13550200232</v>
      </c>
      <c r="L245" t="s">
        <v>45</v>
      </c>
      <c r="M245">
        <v>343087</v>
      </c>
      <c r="N245">
        <v>2</v>
      </c>
      <c r="O245">
        <v>2</v>
      </c>
      <c r="P245">
        <v>3</v>
      </c>
      <c r="Q245">
        <v>3</v>
      </c>
      <c r="R245">
        <v>1956</v>
      </c>
      <c r="S245" t="s">
        <v>3173</v>
      </c>
      <c r="T245" t="s">
        <v>3174</v>
      </c>
      <c r="U245" t="s">
        <v>3175</v>
      </c>
      <c r="V245" t="s">
        <v>2720</v>
      </c>
      <c r="X245" t="s">
        <v>1583</v>
      </c>
    </row>
    <row r="246" spans="1:24" ht="12.75">
      <c r="A246" s="1" t="str">
        <f>HYPERLINK("http://www.ofsted.gov.uk/inspection-reports/find-inspection-report/provider/ELS/52985","Ofsted FES Webpage")</f>
        <v>Ofsted FES Webpage</v>
      </c>
      <c r="B246" t="s">
        <v>395</v>
      </c>
      <c r="C246">
        <v>52985</v>
      </c>
      <c r="D246">
        <v>115315</v>
      </c>
      <c r="E246" t="s">
        <v>201</v>
      </c>
      <c r="F246" t="s">
        <v>26</v>
      </c>
      <c r="G246" t="s">
        <v>40</v>
      </c>
      <c r="H246" s="2">
        <v>41379</v>
      </c>
      <c r="I246" s="2">
        <v>41383</v>
      </c>
      <c r="J246" t="s">
        <v>32</v>
      </c>
      <c r="K246" s="2">
        <v>41417.13572572917</v>
      </c>
      <c r="L246" t="s">
        <v>45</v>
      </c>
      <c r="M246">
        <v>410634</v>
      </c>
      <c r="N246">
        <v>2</v>
      </c>
      <c r="O246">
        <v>2</v>
      </c>
      <c r="P246">
        <v>3</v>
      </c>
      <c r="Q246">
        <v>3</v>
      </c>
      <c r="R246">
        <v>6849</v>
      </c>
      <c r="T246" t="s">
        <v>2462</v>
      </c>
      <c r="U246" t="s">
        <v>3176</v>
      </c>
      <c r="V246" t="s">
        <v>3177</v>
      </c>
      <c r="W246" t="s">
        <v>201</v>
      </c>
      <c r="X246" t="s">
        <v>1584</v>
      </c>
    </row>
    <row r="247" spans="1:24" ht="12.75">
      <c r="A247" s="1" t="str">
        <f>HYPERLINK("http://www.ofsted.gov.uk/inspection-reports/find-inspection-report/provider/ELS/52994","Ofsted FES Webpage")</f>
        <v>Ofsted FES Webpage</v>
      </c>
      <c r="B247" t="s">
        <v>396</v>
      </c>
      <c r="C247">
        <v>52994</v>
      </c>
      <c r="D247">
        <v>112414</v>
      </c>
      <c r="E247" t="s">
        <v>397</v>
      </c>
      <c r="F247" t="s">
        <v>16</v>
      </c>
      <c r="G247" t="s">
        <v>40</v>
      </c>
      <c r="H247" s="2">
        <v>41603</v>
      </c>
      <c r="I247" s="2">
        <v>41607</v>
      </c>
      <c r="J247" t="s">
        <v>27</v>
      </c>
      <c r="K247" s="2">
        <v>41647.13585003472</v>
      </c>
      <c r="L247" t="s">
        <v>45</v>
      </c>
      <c r="M247">
        <v>427779</v>
      </c>
      <c r="N247">
        <v>2</v>
      </c>
      <c r="O247">
        <v>1</v>
      </c>
      <c r="P247">
        <v>2</v>
      </c>
      <c r="Q247">
        <v>2</v>
      </c>
      <c r="R247">
        <v>6063</v>
      </c>
      <c r="S247" t="s">
        <v>3178</v>
      </c>
      <c r="T247" t="s">
        <v>397</v>
      </c>
      <c r="X247" t="s">
        <v>1585</v>
      </c>
    </row>
    <row r="248" spans="1:24" ht="12.75">
      <c r="A248" s="1" t="str">
        <f>HYPERLINK("http://www.ofsted.gov.uk/inspection-reports/find-inspection-report/provider/ELS/52998","Ofsted FES Webpage")</f>
        <v>Ofsted FES Webpage</v>
      </c>
      <c r="B248" t="s">
        <v>398</v>
      </c>
      <c r="C248">
        <v>52998</v>
      </c>
      <c r="D248">
        <v>106769</v>
      </c>
      <c r="E248" t="s">
        <v>399</v>
      </c>
      <c r="F248" t="s">
        <v>16</v>
      </c>
      <c r="G248" t="s">
        <v>40</v>
      </c>
      <c r="H248" s="2">
        <v>41190</v>
      </c>
      <c r="I248" s="2">
        <v>41194</v>
      </c>
      <c r="J248" t="s">
        <v>32</v>
      </c>
      <c r="K248" s="2">
        <v>41229.1355133912</v>
      </c>
      <c r="L248" t="s">
        <v>45</v>
      </c>
      <c r="M248">
        <v>399151</v>
      </c>
      <c r="N248">
        <v>2</v>
      </c>
      <c r="O248">
        <v>2</v>
      </c>
      <c r="P248">
        <v>2</v>
      </c>
      <c r="Q248">
        <v>2</v>
      </c>
      <c r="R248">
        <v>6395</v>
      </c>
      <c r="S248" t="s">
        <v>3179</v>
      </c>
      <c r="T248" t="s">
        <v>3180</v>
      </c>
      <c r="U248" t="s">
        <v>3181</v>
      </c>
      <c r="V248" t="s">
        <v>397</v>
      </c>
      <c r="X248" t="s">
        <v>1586</v>
      </c>
    </row>
    <row r="249" spans="1:24" ht="12.75">
      <c r="A249" s="1" t="str">
        <f>HYPERLINK("http://www.ofsted.gov.uk/inspection-reports/find-inspection-report/provider/ELS/53006","Ofsted FES Webpage")</f>
        <v>Ofsted FES Webpage</v>
      </c>
      <c r="B249" t="s">
        <v>400</v>
      </c>
      <c r="C249">
        <v>53006</v>
      </c>
      <c r="D249">
        <v>117498</v>
      </c>
      <c r="E249" t="s">
        <v>401</v>
      </c>
      <c r="F249" t="s">
        <v>39</v>
      </c>
      <c r="G249" t="s">
        <v>160</v>
      </c>
      <c r="H249" s="2">
        <v>40407</v>
      </c>
      <c r="I249" s="2">
        <v>40410</v>
      </c>
      <c r="J249" t="s">
        <v>18</v>
      </c>
      <c r="K249" s="2">
        <v>40451.13555324074</v>
      </c>
      <c r="L249" t="s">
        <v>29</v>
      </c>
      <c r="M249">
        <v>345895</v>
      </c>
      <c r="N249">
        <v>2</v>
      </c>
      <c r="O249">
        <v>2</v>
      </c>
      <c r="P249">
        <v>2</v>
      </c>
      <c r="Q249">
        <v>2</v>
      </c>
      <c r="R249">
        <v>384</v>
      </c>
      <c r="S249" t="s">
        <v>3182</v>
      </c>
      <c r="T249" t="s">
        <v>3183</v>
      </c>
      <c r="U249" t="s">
        <v>3184</v>
      </c>
      <c r="V249" t="s">
        <v>3185</v>
      </c>
      <c r="X249" t="s">
        <v>1587</v>
      </c>
    </row>
    <row r="250" spans="1:24" ht="12.75">
      <c r="A250" s="1" t="str">
        <f>HYPERLINK("http://www.ofsted.gov.uk/inspection-reports/find-inspection-report/provider/ELS/53010","Ofsted FES Webpage")</f>
        <v>Ofsted FES Webpage</v>
      </c>
      <c r="B250" t="s">
        <v>402</v>
      </c>
      <c r="C250">
        <v>53010</v>
      </c>
      <c r="D250">
        <v>107027</v>
      </c>
      <c r="E250" t="s">
        <v>174</v>
      </c>
      <c r="F250" t="s">
        <v>26</v>
      </c>
      <c r="G250" t="s">
        <v>17</v>
      </c>
      <c r="H250" s="2">
        <v>41540</v>
      </c>
      <c r="I250" s="2">
        <v>41543</v>
      </c>
      <c r="J250" t="s">
        <v>27</v>
      </c>
      <c r="K250" s="2">
        <v>41578.135462847225</v>
      </c>
      <c r="L250" t="s">
        <v>36</v>
      </c>
      <c r="M250">
        <v>423776</v>
      </c>
      <c r="N250">
        <v>2</v>
      </c>
      <c r="O250">
        <v>2</v>
      </c>
      <c r="P250">
        <v>2</v>
      </c>
      <c r="Q250">
        <v>2</v>
      </c>
      <c r="R250">
        <v>188</v>
      </c>
      <c r="T250" t="s">
        <v>3186</v>
      </c>
      <c r="W250" t="s">
        <v>174</v>
      </c>
      <c r="X250" t="s">
        <v>1588</v>
      </c>
    </row>
    <row r="251" spans="1:24" ht="12.75">
      <c r="A251" s="1" t="str">
        <f>HYPERLINK("http://www.ofsted.gov.uk/inspection-reports/find-inspection-report/provider/ELS/53025","Ofsted FES Webpage")</f>
        <v>Ofsted FES Webpage</v>
      </c>
      <c r="B251" t="s">
        <v>403</v>
      </c>
      <c r="C251">
        <v>53025</v>
      </c>
      <c r="D251">
        <v>116638</v>
      </c>
      <c r="E251" t="s">
        <v>230</v>
      </c>
      <c r="F251" t="s">
        <v>39</v>
      </c>
      <c r="G251" t="s">
        <v>17</v>
      </c>
      <c r="H251" s="2">
        <v>41771</v>
      </c>
      <c r="I251" s="2">
        <v>41775</v>
      </c>
      <c r="J251" t="s">
        <v>27</v>
      </c>
      <c r="K251" s="2">
        <v>41808.135455358795</v>
      </c>
      <c r="L251" t="s">
        <v>60</v>
      </c>
      <c r="M251">
        <v>429231</v>
      </c>
      <c r="N251">
        <v>2</v>
      </c>
      <c r="O251">
        <v>2</v>
      </c>
      <c r="P251">
        <v>3</v>
      </c>
      <c r="Q251">
        <v>2</v>
      </c>
      <c r="R251">
        <v>992</v>
      </c>
      <c r="S251" t="s">
        <v>3187</v>
      </c>
      <c r="T251" t="s">
        <v>3188</v>
      </c>
      <c r="U251" t="s">
        <v>2953</v>
      </c>
      <c r="X251" t="s">
        <v>1589</v>
      </c>
    </row>
    <row r="252" spans="1:24" ht="12.75">
      <c r="A252" s="1" t="str">
        <f>HYPERLINK("http://www.ofsted.gov.uk/inspection-reports/find-inspection-report/provider/ELS/53032","Ofsted FES Webpage")</f>
        <v>Ofsted FES Webpage</v>
      </c>
      <c r="B252" t="s">
        <v>404</v>
      </c>
      <c r="C252">
        <v>53032</v>
      </c>
      <c r="D252">
        <v>116639</v>
      </c>
      <c r="E252" t="s">
        <v>95</v>
      </c>
      <c r="F252" t="s">
        <v>39</v>
      </c>
      <c r="G252" t="s">
        <v>17</v>
      </c>
      <c r="H252" s="8">
        <v>41869</v>
      </c>
      <c r="I252" s="9">
        <v>41873</v>
      </c>
      <c r="J252" s="8" t="s">
        <v>27</v>
      </c>
      <c r="K252" s="9">
        <v>41911.13547369213</v>
      </c>
      <c r="L252" s="10" t="s">
        <v>29</v>
      </c>
      <c r="M252" s="10">
        <v>434059</v>
      </c>
      <c r="N252">
        <v>3</v>
      </c>
      <c r="O252">
        <v>3</v>
      </c>
      <c r="P252">
        <v>2</v>
      </c>
      <c r="Q252">
        <v>2</v>
      </c>
      <c r="R252">
        <v>2439</v>
      </c>
      <c r="S252" t="s">
        <v>3190</v>
      </c>
      <c r="T252" t="s">
        <v>3191</v>
      </c>
      <c r="W252" t="s">
        <v>2953</v>
      </c>
      <c r="X252" t="s">
        <v>1590</v>
      </c>
    </row>
    <row r="253" spans="1:24" ht="12.75">
      <c r="A253" s="1" t="str">
        <f>HYPERLINK("http://www.ofsted.gov.uk/inspection-reports/find-inspection-report/provider/ELS/53042","Ofsted FES Webpage")</f>
        <v>Ofsted FES Webpage</v>
      </c>
      <c r="B253" t="s">
        <v>405</v>
      </c>
      <c r="C253">
        <v>53042</v>
      </c>
      <c r="D253">
        <v>110172</v>
      </c>
      <c r="E253" t="s">
        <v>234</v>
      </c>
      <c r="F253" t="s">
        <v>16</v>
      </c>
      <c r="G253" t="s">
        <v>40</v>
      </c>
      <c r="H253" s="2">
        <v>41316</v>
      </c>
      <c r="I253" s="2">
        <v>41320</v>
      </c>
      <c r="J253" t="s">
        <v>32</v>
      </c>
      <c r="K253" s="2">
        <v>41355.13586099537</v>
      </c>
      <c r="L253" t="s">
        <v>45</v>
      </c>
      <c r="M253">
        <v>410125</v>
      </c>
      <c r="N253">
        <v>2</v>
      </c>
      <c r="O253">
        <v>2</v>
      </c>
      <c r="P253">
        <v>3</v>
      </c>
      <c r="Q253">
        <v>3</v>
      </c>
      <c r="R253">
        <v>8947</v>
      </c>
      <c r="T253" t="s">
        <v>3193</v>
      </c>
      <c r="U253" t="s">
        <v>3194</v>
      </c>
      <c r="W253" t="s">
        <v>2469</v>
      </c>
      <c r="X253" t="s">
        <v>1592</v>
      </c>
    </row>
    <row r="254" spans="1:24" ht="12.75">
      <c r="A254" s="1" t="str">
        <f>HYPERLINK("http://www.ofsted.gov.uk/inspection-reports/find-inspection-report/provider/ELS/53068","Ofsted FES Webpage")</f>
        <v>Ofsted FES Webpage</v>
      </c>
      <c r="B254" t="s">
        <v>406</v>
      </c>
      <c r="C254">
        <v>53068</v>
      </c>
      <c r="D254">
        <v>116017</v>
      </c>
      <c r="E254" t="s">
        <v>126</v>
      </c>
      <c r="F254" t="s">
        <v>68</v>
      </c>
      <c r="G254" t="s">
        <v>17</v>
      </c>
      <c r="H254" s="2">
        <v>39538</v>
      </c>
      <c r="I254" s="2">
        <v>39540</v>
      </c>
      <c r="J254" t="s">
        <v>154</v>
      </c>
      <c r="K254" s="2">
        <v>39583.13558587963</v>
      </c>
      <c r="L254" t="s">
        <v>19</v>
      </c>
      <c r="M254">
        <v>319225</v>
      </c>
      <c r="N254">
        <v>1</v>
      </c>
      <c r="O254">
        <v>1</v>
      </c>
      <c r="P254" t="s">
        <v>20</v>
      </c>
      <c r="Q254" t="s">
        <v>20</v>
      </c>
      <c r="R254">
        <v>226</v>
      </c>
      <c r="T254" t="s">
        <v>3195</v>
      </c>
      <c r="W254" t="s">
        <v>126</v>
      </c>
      <c r="X254" t="s">
        <v>1593</v>
      </c>
    </row>
    <row r="255" spans="1:24" ht="12.75">
      <c r="A255" s="1" t="str">
        <f>HYPERLINK("http://www.ofsted.gov.uk/inspection-reports/find-inspection-report/provider/ELS/53069","Ofsted FES Webpage")</f>
        <v>Ofsted FES Webpage</v>
      </c>
      <c r="B255" t="s">
        <v>407</v>
      </c>
      <c r="C255">
        <v>53069</v>
      </c>
      <c r="D255">
        <v>105607</v>
      </c>
      <c r="E255" t="s">
        <v>294</v>
      </c>
      <c r="F255" t="s">
        <v>35</v>
      </c>
      <c r="G255" t="s">
        <v>17</v>
      </c>
      <c r="H255" s="8">
        <v>41842</v>
      </c>
      <c r="I255" s="9">
        <v>41845</v>
      </c>
      <c r="J255" s="8" t="s">
        <v>27</v>
      </c>
      <c r="K255" s="9">
        <v>41883.13546936343</v>
      </c>
      <c r="L255" s="10" t="s">
        <v>29</v>
      </c>
      <c r="M255" s="10">
        <v>434045</v>
      </c>
      <c r="N255">
        <v>3</v>
      </c>
      <c r="O255">
        <v>3</v>
      </c>
      <c r="P255">
        <v>3</v>
      </c>
      <c r="Q255">
        <v>3</v>
      </c>
      <c r="R255">
        <v>170</v>
      </c>
      <c r="T255" t="s">
        <v>3196</v>
      </c>
      <c r="U255" t="s">
        <v>3197</v>
      </c>
      <c r="V255" t="s">
        <v>3122</v>
      </c>
      <c r="W255" t="s">
        <v>99</v>
      </c>
      <c r="X255" t="s">
        <v>1594</v>
      </c>
    </row>
    <row r="256" spans="1:24" ht="12.75">
      <c r="A256" s="1" t="str">
        <f>HYPERLINK("http://www.ofsted.gov.uk/inspection-reports/find-inspection-report/provider/ELS/53073","Ofsted FES Webpage")</f>
        <v>Ofsted FES Webpage</v>
      </c>
      <c r="B256" t="s">
        <v>408</v>
      </c>
      <c r="C256">
        <v>53073</v>
      </c>
      <c r="D256">
        <v>108048</v>
      </c>
      <c r="E256" t="s">
        <v>67</v>
      </c>
      <c r="F256" t="s">
        <v>68</v>
      </c>
      <c r="G256" t="s">
        <v>40</v>
      </c>
      <c r="H256" s="2">
        <v>40294</v>
      </c>
      <c r="I256" s="2">
        <v>40298</v>
      </c>
      <c r="J256" t="s">
        <v>18</v>
      </c>
      <c r="K256" s="2">
        <v>40339.13553070602</v>
      </c>
      <c r="L256" t="s">
        <v>45</v>
      </c>
      <c r="M256">
        <v>345778</v>
      </c>
      <c r="N256">
        <v>2</v>
      </c>
      <c r="O256">
        <v>2</v>
      </c>
      <c r="P256">
        <v>3</v>
      </c>
      <c r="Q256">
        <v>3</v>
      </c>
      <c r="R256">
        <v>12472</v>
      </c>
      <c r="S256" t="s">
        <v>3198</v>
      </c>
      <c r="T256" t="s">
        <v>3199</v>
      </c>
      <c r="W256" t="s">
        <v>67</v>
      </c>
      <c r="X256" t="s">
        <v>1595</v>
      </c>
    </row>
    <row r="257" spans="1:24" ht="12.75">
      <c r="A257" s="1" t="str">
        <f>HYPERLINK("http://www.ofsted.gov.uk/inspection-reports/find-inspection-report/provider/ELS/53094","Ofsted FES Webpage")</f>
        <v>Ofsted FES Webpage</v>
      </c>
      <c r="B257" t="s">
        <v>409</v>
      </c>
      <c r="C257">
        <v>53094</v>
      </c>
      <c r="D257">
        <v>106537</v>
      </c>
      <c r="E257" t="s">
        <v>410</v>
      </c>
      <c r="F257" t="s">
        <v>63</v>
      </c>
      <c r="G257" t="s">
        <v>17</v>
      </c>
      <c r="H257" s="2">
        <v>40252</v>
      </c>
      <c r="I257" s="2">
        <v>40256</v>
      </c>
      <c r="J257" t="s">
        <v>18</v>
      </c>
      <c r="K257" s="2">
        <v>40284.13553599537</v>
      </c>
      <c r="L257" t="s">
        <v>19</v>
      </c>
      <c r="M257">
        <v>345937</v>
      </c>
      <c r="N257">
        <v>2</v>
      </c>
      <c r="O257">
        <v>2</v>
      </c>
      <c r="P257">
        <v>2</v>
      </c>
      <c r="Q257">
        <v>2</v>
      </c>
      <c r="R257">
        <v>1614</v>
      </c>
      <c r="S257" t="s">
        <v>3200</v>
      </c>
      <c r="T257" t="s">
        <v>3201</v>
      </c>
      <c r="W257" t="s">
        <v>410</v>
      </c>
      <c r="X257" t="s">
        <v>1596</v>
      </c>
    </row>
    <row r="258" spans="1:24" ht="12.75">
      <c r="A258" s="1" t="str">
        <f>HYPERLINK("http://www.ofsted.gov.uk/inspection-reports/find-inspection-report/provider/ELS/53100","Ofsted FES Webpage")</f>
        <v>Ofsted FES Webpage</v>
      </c>
      <c r="B258" t="s">
        <v>411</v>
      </c>
      <c r="C258">
        <v>53100</v>
      </c>
      <c r="D258">
        <v>108156</v>
      </c>
      <c r="E258" t="s">
        <v>412</v>
      </c>
      <c r="F258" t="s">
        <v>35</v>
      </c>
      <c r="G258" t="s">
        <v>40</v>
      </c>
      <c r="H258" s="2">
        <v>41386</v>
      </c>
      <c r="I258" s="2">
        <v>41390</v>
      </c>
      <c r="J258" t="s">
        <v>32</v>
      </c>
      <c r="K258" s="2">
        <v>41429.13544209491</v>
      </c>
      <c r="L258" t="s">
        <v>83</v>
      </c>
      <c r="M258">
        <v>399158</v>
      </c>
      <c r="N258">
        <v>2</v>
      </c>
      <c r="O258">
        <v>2</v>
      </c>
      <c r="P258">
        <v>2</v>
      </c>
      <c r="Q258">
        <v>2</v>
      </c>
      <c r="R258">
        <v>2848</v>
      </c>
      <c r="S258" t="s">
        <v>3202</v>
      </c>
      <c r="T258" t="s">
        <v>2418</v>
      </c>
      <c r="X258" t="s">
        <v>1597</v>
      </c>
    </row>
    <row r="259" spans="1:24" ht="12.75">
      <c r="A259" s="1" t="str">
        <f>HYPERLINK("http://www.ofsted.gov.uk/inspection-reports/find-inspection-report/provider/ELS/53104","Ofsted FES Webpage")</f>
        <v>Ofsted FES Webpage</v>
      </c>
      <c r="B259" t="s">
        <v>413</v>
      </c>
      <c r="C259">
        <v>53104</v>
      </c>
      <c r="D259">
        <v>108155</v>
      </c>
      <c r="E259" t="s">
        <v>34</v>
      </c>
      <c r="F259" t="s">
        <v>35</v>
      </c>
      <c r="G259" t="s">
        <v>40</v>
      </c>
      <c r="H259" s="2">
        <v>41449</v>
      </c>
      <c r="I259" s="2">
        <v>41453</v>
      </c>
      <c r="J259" t="s">
        <v>32</v>
      </c>
      <c r="K259" s="2">
        <v>41488.13546724537</v>
      </c>
      <c r="L259" t="s">
        <v>45</v>
      </c>
      <c r="M259">
        <v>410629</v>
      </c>
      <c r="N259">
        <v>2</v>
      </c>
      <c r="O259">
        <v>2</v>
      </c>
      <c r="P259">
        <v>3</v>
      </c>
      <c r="Q259">
        <v>3</v>
      </c>
      <c r="R259">
        <v>5152</v>
      </c>
      <c r="S259" t="s">
        <v>3203</v>
      </c>
      <c r="T259" t="s">
        <v>3204</v>
      </c>
      <c r="W259" t="s">
        <v>2674</v>
      </c>
      <c r="X259" t="s">
        <v>1598</v>
      </c>
    </row>
    <row r="260" spans="1:24" ht="12.75">
      <c r="A260" s="1" t="str">
        <f>HYPERLINK("http://www.ofsted.gov.uk/inspection-reports/find-inspection-report/provider/ELS/53106","Ofsted FES Webpage")</f>
        <v>Ofsted FES Webpage</v>
      </c>
      <c r="B260" t="s">
        <v>414</v>
      </c>
      <c r="C260">
        <v>53106</v>
      </c>
      <c r="D260">
        <v>108130</v>
      </c>
      <c r="E260" t="s">
        <v>232</v>
      </c>
      <c r="F260" t="s">
        <v>35</v>
      </c>
      <c r="G260" t="s">
        <v>40</v>
      </c>
      <c r="H260" s="2">
        <v>40987</v>
      </c>
      <c r="I260" s="2">
        <v>40991</v>
      </c>
      <c r="J260" t="s">
        <v>23</v>
      </c>
      <c r="K260" s="2">
        <v>41030.13559675926</v>
      </c>
      <c r="L260" t="s">
        <v>45</v>
      </c>
      <c r="M260">
        <v>385052</v>
      </c>
      <c r="N260">
        <v>2</v>
      </c>
      <c r="O260">
        <v>2</v>
      </c>
      <c r="P260">
        <v>3</v>
      </c>
      <c r="Q260">
        <v>3</v>
      </c>
      <c r="R260">
        <v>4422</v>
      </c>
      <c r="S260" t="s">
        <v>3205</v>
      </c>
      <c r="T260" t="s">
        <v>2888</v>
      </c>
      <c r="X260" t="s">
        <v>1599</v>
      </c>
    </row>
    <row r="261" spans="1:24" ht="12.75">
      <c r="A261" s="1" t="str">
        <f>HYPERLINK("http://www.ofsted.gov.uk/inspection-reports/find-inspection-report/provider/ELS/53108","Ofsted FES Webpage")</f>
        <v>Ofsted FES Webpage</v>
      </c>
      <c r="B261" t="s">
        <v>415</v>
      </c>
      <c r="C261">
        <v>53108</v>
      </c>
      <c r="D261">
        <v>115154</v>
      </c>
      <c r="E261" t="s">
        <v>294</v>
      </c>
      <c r="F261" t="s">
        <v>35</v>
      </c>
      <c r="G261" t="s">
        <v>40</v>
      </c>
      <c r="H261" s="2">
        <v>40217</v>
      </c>
      <c r="I261" s="2">
        <v>40221</v>
      </c>
      <c r="J261" t="s">
        <v>18</v>
      </c>
      <c r="K261" s="2">
        <v>40255.13552476852</v>
      </c>
      <c r="L261" t="s">
        <v>45</v>
      </c>
      <c r="M261">
        <v>342323</v>
      </c>
      <c r="N261">
        <v>2</v>
      </c>
      <c r="O261">
        <v>2</v>
      </c>
      <c r="P261">
        <v>2</v>
      </c>
      <c r="Q261">
        <v>2</v>
      </c>
      <c r="R261">
        <v>6376</v>
      </c>
      <c r="S261" t="s">
        <v>3206</v>
      </c>
      <c r="T261" t="s">
        <v>3207</v>
      </c>
      <c r="U261" t="s">
        <v>294</v>
      </c>
      <c r="X261" t="s">
        <v>1600</v>
      </c>
    </row>
    <row r="262" spans="1:24" ht="12.75">
      <c r="A262" s="1" t="str">
        <f>HYPERLINK("http://www.ofsted.gov.uk/inspection-reports/find-inspection-report/provider/ELS/53110","Ofsted FES Webpage")</f>
        <v>Ofsted FES Webpage</v>
      </c>
      <c r="B262" t="s">
        <v>416</v>
      </c>
      <c r="C262">
        <v>53110</v>
      </c>
      <c r="D262">
        <v>111617</v>
      </c>
      <c r="E262" t="s">
        <v>291</v>
      </c>
      <c r="F262" t="s">
        <v>35</v>
      </c>
      <c r="G262" t="s">
        <v>40</v>
      </c>
      <c r="H262" s="2">
        <v>40672</v>
      </c>
      <c r="I262" s="2">
        <v>40676</v>
      </c>
      <c r="J262" t="s">
        <v>56</v>
      </c>
      <c r="K262" s="2">
        <v>40714.13544679398</v>
      </c>
      <c r="L262" t="s">
        <v>45</v>
      </c>
      <c r="M262">
        <v>366691</v>
      </c>
      <c r="N262">
        <v>2</v>
      </c>
      <c r="O262">
        <v>2</v>
      </c>
      <c r="P262">
        <v>3</v>
      </c>
      <c r="Q262">
        <v>3</v>
      </c>
      <c r="R262">
        <v>4394</v>
      </c>
      <c r="T262" t="s">
        <v>2462</v>
      </c>
      <c r="U262" t="s">
        <v>3208</v>
      </c>
      <c r="V262" t="s">
        <v>3209</v>
      </c>
      <c r="W262" t="s">
        <v>35</v>
      </c>
      <c r="X262" t="s">
        <v>1601</v>
      </c>
    </row>
    <row r="263" spans="1:24" ht="12.75">
      <c r="A263" s="1" t="str">
        <f>HYPERLINK("http://www.ofsted.gov.uk/inspection-reports/find-inspection-report/provider/ELS/53112","Ofsted FES Webpage")</f>
        <v>Ofsted FES Webpage</v>
      </c>
      <c r="B263" t="s">
        <v>417</v>
      </c>
      <c r="C263">
        <v>53112</v>
      </c>
      <c r="D263">
        <v>108123</v>
      </c>
      <c r="E263" t="s">
        <v>240</v>
      </c>
      <c r="F263" t="s">
        <v>35</v>
      </c>
      <c r="G263" t="s">
        <v>40</v>
      </c>
      <c r="H263" s="2">
        <v>40336</v>
      </c>
      <c r="I263" s="2">
        <v>40340</v>
      </c>
      <c r="J263" t="s">
        <v>18</v>
      </c>
      <c r="K263" s="2">
        <v>40375.13554082176</v>
      </c>
      <c r="L263" t="s">
        <v>45</v>
      </c>
      <c r="M263">
        <v>345784</v>
      </c>
      <c r="N263">
        <v>2</v>
      </c>
      <c r="O263">
        <v>2</v>
      </c>
      <c r="P263">
        <v>2</v>
      </c>
      <c r="Q263">
        <v>2</v>
      </c>
      <c r="R263">
        <v>5186</v>
      </c>
      <c r="S263" t="s">
        <v>3210</v>
      </c>
      <c r="T263" t="s">
        <v>3211</v>
      </c>
      <c r="U263" t="s">
        <v>3212</v>
      </c>
      <c r="V263" t="s">
        <v>3213</v>
      </c>
      <c r="W263" t="s">
        <v>240</v>
      </c>
      <c r="X263" t="s">
        <v>1602</v>
      </c>
    </row>
    <row r="264" spans="1:24" ht="12.75">
      <c r="A264" s="1" t="str">
        <f>HYPERLINK("http://www.ofsted.gov.uk/inspection-reports/find-inspection-report/provider/ELS/53116","Ofsted FES Webpage")</f>
        <v>Ofsted FES Webpage</v>
      </c>
      <c r="B264" t="s">
        <v>418</v>
      </c>
      <c r="C264">
        <v>53116</v>
      </c>
      <c r="D264">
        <v>109443</v>
      </c>
      <c r="E264" t="s">
        <v>301</v>
      </c>
      <c r="F264" t="s">
        <v>35</v>
      </c>
      <c r="G264" t="s">
        <v>40</v>
      </c>
      <c r="H264" s="2">
        <v>40630</v>
      </c>
      <c r="I264" s="2">
        <v>40634</v>
      </c>
      <c r="J264" t="s">
        <v>56</v>
      </c>
      <c r="K264" s="2">
        <v>40673.135457094904</v>
      </c>
      <c r="L264" t="s">
        <v>45</v>
      </c>
      <c r="M264">
        <v>366693</v>
      </c>
      <c r="N264">
        <v>2</v>
      </c>
      <c r="O264">
        <v>2</v>
      </c>
      <c r="P264">
        <v>3</v>
      </c>
      <c r="Q264">
        <v>3</v>
      </c>
      <c r="R264">
        <v>1629</v>
      </c>
      <c r="S264" t="s">
        <v>2862</v>
      </c>
      <c r="T264" t="s">
        <v>3214</v>
      </c>
      <c r="U264" t="s">
        <v>3215</v>
      </c>
      <c r="V264" t="s">
        <v>35</v>
      </c>
      <c r="X264" t="s">
        <v>1603</v>
      </c>
    </row>
    <row r="265" spans="1:24" ht="12.75">
      <c r="A265" s="1" t="str">
        <f>HYPERLINK("http://www.ofsted.gov.uk/inspection-reports/find-inspection-report/provider/ELS/53117","Ofsted FES Webpage")</f>
        <v>Ofsted FES Webpage</v>
      </c>
      <c r="B265" t="s">
        <v>419</v>
      </c>
      <c r="C265">
        <v>53117</v>
      </c>
      <c r="D265">
        <v>115752</v>
      </c>
      <c r="E265" t="s">
        <v>420</v>
      </c>
      <c r="F265" t="s">
        <v>35</v>
      </c>
      <c r="G265" t="s">
        <v>40</v>
      </c>
      <c r="H265" s="2">
        <v>41408</v>
      </c>
      <c r="I265" s="2">
        <v>41411</v>
      </c>
      <c r="J265" t="s">
        <v>32</v>
      </c>
      <c r="K265" s="2">
        <v>41449.13552109954</v>
      </c>
      <c r="L265" t="s">
        <v>45</v>
      </c>
      <c r="M265">
        <v>410635</v>
      </c>
      <c r="N265">
        <v>2</v>
      </c>
      <c r="O265">
        <v>2</v>
      </c>
      <c r="P265">
        <v>3</v>
      </c>
      <c r="Q265">
        <v>3</v>
      </c>
      <c r="R265">
        <v>7032</v>
      </c>
      <c r="S265" t="s">
        <v>2569</v>
      </c>
      <c r="T265" t="s">
        <v>2687</v>
      </c>
      <c r="W265" t="s">
        <v>35</v>
      </c>
      <c r="X265" t="s">
        <v>1604</v>
      </c>
    </row>
    <row r="266" spans="1:24" ht="12.75">
      <c r="A266" s="1" t="str">
        <f>HYPERLINK("http://www.ofsted.gov.uk/inspection-reports/find-inspection-report/provider/ELS/53121","Ofsted FES Webpage")</f>
        <v>Ofsted FES Webpage</v>
      </c>
      <c r="B266" t="s">
        <v>421</v>
      </c>
      <c r="C266">
        <v>53121</v>
      </c>
      <c r="D266">
        <v>115106</v>
      </c>
      <c r="E266" t="s">
        <v>209</v>
      </c>
      <c r="F266" t="s">
        <v>35</v>
      </c>
      <c r="G266" t="s">
        <v>40</v>
      </c>
      <c r="H266" s="2">
        <v>40350</v>
      </c>
      <c r="I266" s="2">
        <v>40354</v>
      </c>
      <c r="J266" t="s">
        <v>18</v>
      </c>
      <c r="K266" s="2">
        <v>40389.13553313658</v>
      </c>
      <c r="L266" t="s">
        <v>45</v>
      </c>
      <c r="M266">
        <v>345786</v>
      </c>
      <c r="N266">
        <v>2</v>
      </c>
      <c r="O266">
        <v>1</v>
      </c>
      <c r="P266">
        <v>3</v>
      </c>
      <c r="Q266">
        <v>3</v>
      </c>
      <c r="R266">
        <v>5858</v>
      </c>
      <c r="S266" t="s">
        <v>3216</v>
      </c>
      <c r="T266" t="s">
        <v>3217</v>
      </c>
      <c r="W266" t="s">
        <v>35</v>
      </c>
      <c r="X266" t="s">
        <v>1605</v>
      </c>
    </row>
    <row r="267" spans="1:24" ht="12.75">
      <c r="A267" s="1" t="str">
        <f>HYPERLINK("http://www.ofsted.gov.uk/inspection-reports/find-inspection-report/provider/ELS/53124","Ofsted FES Webpage")</f>
        <v>Ofsted FES Webpage</v>
      </c>
      <c r="B267" t="s">
        <v>422</v>
      </c>
      <c r="C267">
        <v>53124</v>
      </c>
      <c r="D267">
        <v>107480</v>
      </c>
      <c r="E267" t="s">
        <v>135</v>
      </c>
      <c r="F267" t="s">
        <v>35</v>
      </c>
      <c r="G267" t="s">
        <v>40</v>
      </c>
      <c r="H267" s="2">
        <v>41407</v>
      </c>
      <c r="I267" s="2">
        <v>41411</v>
      </c>
      <c r="J267" t="s">
        <v>32</v>
      </c>
      <c r="K267" s="2">
        <v>41449.13551539352</v>
      </c>
      <c r="L267" t="s">
        <v>45</v>
      </c>
      <c r="M267">
        <v>410633</v>
      </c>
      <c r="N267">
        <v>3</v>
      </c>
      <c r="O267">
        <v>3</v>
      </c>
      <c r="P267">
        <v>3</v>
      </c>
      <c r="Q267">
        <v>3</v>
      </c>
      <c r="R267">
        <v>2288</v>
      </c>
      <c r="S267" t="s">
        <v>3218</v>
      </c>
      <c r="W267" t="s">
        <v>35</v>
      </c>
      <c r="X267" t="s">
        <v>1606</v>
      </c>
    </row>
    <row r="268" spans="1:24" ht="12.75">
      <c r="A268" s="1" t="str">
        <f>HYPERLINK("http://www.ofsted.gov.uk/inspection-reports/find-inspection-report/provider/ELS/53127","Ofsted FES Webpage")</f>
        <v>Ofsted FES Webpage</v>
      </c>
      <c r="B268" t="s">
        <v>423</v>
      </c>
      <c r="C268">
        <v>53127</v>
      </c>
      <c r="D268">
        <v>108069</v>
      </c>
      <c r="E268" t="s">
        <v>238</v>
      </c>
      <c r="F268" t="s">
        <v>35</v>
      </c>
      <c r="G268" t="s">
        <v>40</v>
      </c>
      <c r="H268" s="2">
        <v>41029</v>
      </c>
      <c r="I268" s="2">
        <v>41033</v>
      </c>
      <c r="J268" t="s">
        <v>23</v>
      </c>
      <c r="K268" s="2">
        <v>41073.1355996875</v>
      </c>
      <c r="L268" t="s">
        <v>45</v>
      </c>
      <c r="M268">
        <v>387987</v>
      </c>
      <c r="N268">
        <v>3</v>
      </c>
      <c r="O268">
        <v>3</v>
      </c>
      <c r="P268">
        <v>3</v>
      </c>
      <c r="Q268">
        <v>3</v>
      </c>
      <c r="R268">
        <v>2177</v>
      </c>
      <c r="S268" t="s">
        <v>2569</v>
      </c>
      <c r="T268" t="s">
        <v>2521</v>
      </c>
      <c r="U268" t="s">
        <v>2776</v>
      </c>
      <c r="V268" t="s">
        <v>95</v>
      </c>
      <c r="X268" t="s">
        <v>1607</v>
      </c>
    </row>
    <row r="269" spans="1:24" ht="12.75">
      <c r="A269" s="1" t="str">
        <f>HYPERLINK("http://www.ofsted.gov.uk/inspection-reports/find-inspection-report/provider/ELS/53129","Ofsted FES Webpage")</f>
        <v>Ofsted FES Webpage</v>
      </c>
      <c r="B269" t="s">
        <v>424</v>
      </c>
      <c r="C269">
        <v>53129</v>
      </c>
      <c r="D269">
        <v>108078</v>
      </c>
      <c r="E269" t="s">
        <v>340</v>
      </c>
      <c r="F269" t="s">
        <v>35</v>
      </c>
      <c r="G269" t="s">
        <v>40</v>
      </c>
      <c r="H269" s="2">
        <v>40588</v>
      </c>
      <c r="I269" s="2">
        <v>40592</v>
      </c>
      <c r="J269" t="s">
        <v>56</v>
      </c>
      <c r="K269" s="2">
        <v>40627.13550077546</v>
      </c>
      <c r="L269" t="s">
        <v>45</v>
      </c>
      <c r="M269">
        <v>363140</v>
      </c>
      <c r="N269">
        <v>2</v>
      </c>
      <c r="O269">
        <v>2</v>
      </c>
      <c r="P269">
        <v>2</v>
      </c>
      <c r="Q269">
        <v>2</v>
      </c>
      <c r="R269">
        <v>3228</v>
      </c>
      <c r="S269" t="s">
        <v>3220</v>
      </c>
      <c r="T269" t="s">
        <v>2404</v>
      </c>
      <c r="U269" t="s">
        <v>3221</v>
      </c>
      <c r="X269" t="s">
        <v>1608</v>
      </c>
    </row>
    <row r="270" spans="1:24" ht="12.75">
      <c r="A270" s="1" t="str">
        <f>HYPERLINK("http://www.ofsted.gov.uk/inspection-reports/find-inspection-report/provider/ELS/53132","Ofsted FES Webpage")</f>
        <v>Ofsted FES Webpage</v>
      </c>
      <c r="B270" t="s">
        <v>425</v>
      </c>
      <c r="C270">
        <v>53132</v>
      </c>
      <c r="D270">
        <v>107138</v>
      </c>
      <c r="E270" t="s">
        <v>331</v>
      </c>
      <c r="F270" t="s">
        <v>35</v>
      </c>
      <c r="G270" t="s">
        <v>40</v>
      </c>
      <c r="H270" s="2">
        <v>39783</v>
      </c>
      <c r="I270" s="2">
        <v>39787</v>
      </c>
      <c r="J270" t="s">
        <v>44</v>
      </c>
      <c r="K270" s="2">
        <v>39833.135567592595</v>
      </c>
      <c r="L270" t="s">
        <v>45</v>
      </c>
      <c r="M270">
        <v>329193</v>
      </c>
      <c r="N270">
        <v>2</v>
      </c>
      <c r="O270">
        <v>2</v>
      </c>
      <c r="P270" t="s">
        <v>20</v>
      </c>
      <c r="Q270" t="s">
        <v>20</v>
      </c>
      <c r="R270">
        <v>4283</v>
      </c>
      <c r="T270" t="s">
        <v>2490</v>
      </c>
      <c r="U270" t="s">
        <v>3222</v>
      </c>
      <c r="W270" t="s">
        <v>331</v>
      </c>
      <c r="X270" t="s">
        <v>1609</v>
      </c>
    </row>
    <row r="271" spans="1:24" ht="12.75">
      <c r="A271" s="1" t="str">
        <f>HYPERLINK("http://www.ofsted.gov.uk/inspection-reports/find-inspection-report/provider/ELS/53133","Ofsted FES Webpage")</f>
        <v>Ofsted FES Webpage</v>
      </c>
      <c r="B271" t="s">
        <v>426</v>
      </c>
      <c r="C271">
        <v>53133</v>
      </c>
      <c r="D271">
        <v>115525</v>
      </c>
      <c r="E271" t="s">
        <v>122</v>
      </c>
      <c r="F271" t="s">
        <v>35</v>
      </c>
      <c r="G271" t="s">
        <v>40</v>
      </c>
      <c r="H271" s="2">
        <v>40588</v>
      </c>
      <c r="I271" s="2">
        <v>40592</v>
      </c>
      <c r="J271" t="s">
        <v>56</v>
      </c>
      <c r="K271" s="2">
        <v>40627.13550096065</v>
      </c>
      <c r="L271" t="s">
        <v>45</v>
      </c>
      <c r="M271">
        <v>363142</v>
      </c>
      <c r="N271">
        <v>2</v>
      </c>
      <c r="O271">
        <v>2</v>
      </c>
      <c r="P271">
        <v>3</v>
      </c>
      <c r="Q271">
        <v>3</v>
      </c>
      <c r="R271">
        <v>2648</v>
      </c>
      <c r="S271" t="s">
        <v>2462</v>
      </c>
      <c r="T271" t="s">
        <v>3223</v>
      </c>
      <c r="W271" t="s">
        <v>35</v>
      </c>
      <c r="X271" t="s">
        <v>1610</v>
      </c>
    </row>
    <row r="272" spans="1:24" ht="12.75">
      <c r="A272" s="1" t="str">
        <f>HYPERLINK("http://www.ofsted.gov.uk/inspection-reports/find-inspection-report/provider/ELS/53135","Ofsted FES Webpage")</f>
        <v>Ofsted FES Webpage</v>
      </c>
      <c r="B272" t="s">
        <v>427</v>
      </c>
      <c r="C272">
        <v>53135</v>
      </c>
      <c r="D272">
        <v>111722</v>
      </c>
      <c r="E272" t="s">
        <v>85</v>
      </c>
      <c r="F272" t="s">
        <v>35</v>
      </c>
      <c r="G272" t="s">
        <v>40</v>
      </c>
      <c r="H272" s="2">
        <v>40497</v>
      </c>
      <c r="I272" s="2">
        <v>40501</v>
      </c>
      <c r="J272" t="s">
        <v>56</v>
      </c>
      <c r="K272" s="2">
        <v>40534.135483101854</v>
      </c>
      <c r="L272" t="s">
        <v>45</v>
      </c>
      <c r="M272">
        <v>354478</v>
      </c>
      <c r="N272">
        <v>2</v>
      </c>
      <c r="O272">
        <v>2</v>
      </c>
      <c r="P272">
        <v>3</v>
      </c>
      <c r="Q272">
        <v>3</v>
      </c>
      <c r="R272">
        <v>6878</v>
      </c>
      <c r="S272" t="s">
        <v>3224</v>
      </c>
      <c r="T272" t="s">
        <v>3225</v>
      </c>
      <c r="W272" t="s">
        <v>35</v>
      </c>
      <c r="X272" t="s">
        <v>1611</v>
      </c>
    </row>
    <row r="273" spans="1:24" ht="12.75">
      <c r="A273" s="1" t="str">
        <f>HYPERLINK("http://www.ofsted.gov.uk/inspection-reports/find-inspection-report/provider/ELS/53137","Ofsted FES Webpage")</f>
        <v>Ofsted FES Webpage</v>
      </c>
      <c r="B273" t="s">
        <v>428</v>
      </c>
      <c r="C273">
        <v>53137</v>
      </c>
      <c r="D273">
        <v>108119</v>
      </c>
      <c r="E273" t="s">
        <v>429</v>
      </c>
      <c r="F273" t="s">
        <v>35</v>
      </c>
      <c r="G273" t="s">
        <v>40</v>
      </c>
      <c r="H273" s="2">
        <v>41673</v>
      </c>
      <c r="I273" s="2">
        <v>41677</v>
      </c>
      <c r="J273" t="s">
        <v>27</v>
      </c>
      <c r="K273" s="2">
        <v>41712.13548429398</v>
      </c>
      <c r="L273" t="s">
        <v>45</v>
      </c>
      <c r="M273">
        <v>429148</v>
      </c>
      <c r="N273">
        <v>2</v>
      </c>
      <c r="O273">
        <v>2</v>
      </c>
      <c r="P273">
        <v>3</v>
      </c>
      <c r="Q273">
        <v>2</v>
      </c>
      <c r="R273">
        <v>3456</v>
      </c>
      <c r="S273" t="s">
        <v>3226</v>
      </c>
      <c r="T273" t="s">
        <v>3227</v>
      </c>
      <c r="U273" t="s">
        <v>35</v>
      </c>
      <c r="X273" t="s">
        <v>1612</v>
      </c>
    </row>
    <row r="274" spans="1:24" ht="12.75">
      <c r="A274" s="1" t="str">
        <f>HYPERLINK("http://www.ofsted.gov.uk/inspection-reports/find-inspection-report/provider/ELS/53139","Ofsted FES Webpage")</f>
        <v>Ofsted FES Webpage</v>
      </c>
      <c r="B274" t="s">
        <v>430</v>
      </c>
      <c r="C274">
        <v>53139</v>
      </c>
      <c r="D274">
        <v>108036</v>
      </c>
      <c r="E274" t="s">
        <v>207</v>
      </c>
      <c r="F274" t="s">
        <v>35</v>
      </c>
      <c r="G274" t="s">
        <v>40</v>
      </c>
      <c r="H274" s="2">
        <v>40336</v>
      </c>
      <c r="I274" s="2">
        <v>40340</v>
      </c>
      <c r="J274" t="s">
        <v>18</v>
      </c>
      <c r="K274" s="2">
        <v>40375.13554135417</v>
      </c>
      <c r="L274" t="s">
        <v>45</v>
      </c>
      <c r="M274">
        <v>345787</v>
      </c>
      <c r="N274">
        <v>2</v>
      </c>
      <c r="O274">
        <v>3</v>
      </c>
      <c r="P274" t="s">
        <v>20</v>
      </c>
      <c r="Q274" t="s">
        <v>20</v>
      </c>
      <c r="R274">
        <v>6000</v>
      </c>
      <c r="S274" t="s">
        <v>3230</v>
      </c>
      <c r="T274" t="s">
        <v>3231</v>
      </c>
      <c r="W274" t="s">
        <v>35</v>
      </c>
      <c r="X274" t="s">
        <v>1613</v>
      </c>
    </row>
    <row r="275" spans="1:24" ht="12.75">
      <c r="A275" s="1" t="str">
        <f>HYPERLINK("http://www.ofsted.gov.uk/inspection-reports/find-inspection-report/provider/ELS/53141","Ofsted FES Webpage")</f>
        <v>Ofsted FES Webpage</v>
      </c>
      <c r="B275" t="s">
        <v>431</v>
      </c>
      <c r="C275">
        <v>53141</v>
      </c>
      <c r="D275">
        <v>108009</v>
      </c>
      <c r="E275" t="s">
        <v>222</v>
      </c>
      <c r="F275" t="s">
        <v>35</v>
      </c>
      <c r="G275" t="s">
        <v>40</v>
      </c>
      <c r="H275" s="2">
        <v>39881</v>
      </c>
      <c r="I275" s="2">
        <v>39885</v>
      </c>
      <c r="J275" t="s">
        <v>44</v>
      </c>
      <c r="K275" s="2">
        <v>39924.13547056713</v>
      </c>
      <c r="L275" t="s">
        <v>45</v>
      </c>
      <c r="M275">
        <v>330815</v>
      </c>
      <c r="N275">
        <v>2</v>
      </c>
      <c r="O275">
        <v>2</v>
      </c>
      <c r="P275" t="s">
        <v>20</v>
      </c>
      <c r="Q275" t="s">
        <v>20</v>
      </c>
      <c r="R275">
        <v>4787</v>
      </c>
      <c r="S275" t="s">
        <v>2462</v>
      </c>
      <c r="T275" t="s">
        <v>3232</v>
      </c>
      <c r="U275" t="s">
        <v>3233</v>
      </c>
      <c r="W275" t="s">
        <v>3234</v>
      </c>
      <c r="X275" t="s">
        <v>1614</v>
      </c>
    </row>
    <row r="276" spans="1:24" ht="12.75">
      <c r="A276" s="1" t="str">
        <f>HYPERLINK("http://www.ofsted.gov.uk/inspection-reports/find-inspection-report/provider/ELS/53144","Ofsted FES Webpage")</f>
        <v>Ofsted FES Webpage</v>
      </c>
      <c r="B276" t="s">
        <v>432</v>
      </c>
      <c r="C276">
        <v>53144</v>
      </c>
      <c r="D276">
        <v>116192</v>
      </c>
      <c r="E276" t="s">
        <v>328</v>
      </c>
      <c r="F276" t="s">
        <v>35</v>
      </c>
      <c r="G276" t="s">
        <v>40</v>
      </c>
      <c r="H276" s="2">
        <v>40315</v>
      </c>
      <c r="I276" s="2">
        <v>40319</v>
      </c>
      <c r="J276" t="s">
        <v>18</v>
      </c>
      <c r="K276" s="2">
        <v>40357.13552820602</v>
      </c>
      <c r="L276" t="s">
        <v>45</v>
      </c>
      <c r="M276">
        <v>345788</v>
      </c>
      <c r="N276">
        <v>2</v>
      </c>
      <c r="O276">
        <v>2</v>
      </c>
      <c r="P276">
        <v>3</v>
      </c>
      <c r="Q276">
        <v>3</v>
      </c>
      <c r="R276">
        <v>827</v>
      </c>
      <c r="S276" t="s">
        <v>2490</v>
      </c>
      <c r="T276" t="s">
        <v>3236</v>
      </c>
      <c r="U276" t="s">
        <v>2363</v>
      </c>
      <c r="X276" t="s">
        <v>1615</v>
      </c>
    </row>
    <row r="277" spans="1:24" ht="12.75">
      <c r="A277" s="1" t="str">
        <f>HYPERLINK("http://www.ofsted.gov.uk/inspection-reports/find-inspection-report/provider/ELS/53145","Ofsted FES Webpage")</f>
        <v>Ofsted FES Webpage</v>
      </c>
      <c r="B277" t="s">
        <v>433</v>
      </c>
      <c r="C277">
        <v>53145</v>
      </c>
      <c r="D277">
        <v>110176</v>
      </c>
      <c r="E277" t="s">
        <v>188</v>
      </c>
      <c r="F277" t="s">
        <v>35</v>
      </c>
      <c r="G277" t="s">
        <v>40</v>
      </c>
      <c r="H277" s="2">
        <v>40973</v>
      </c>
      <c r="I277" s="2">
        <v>40977</v>
      </c>
      <c r="J277" t="s">
        <v>23</v>
      </c>
      <c r="K277" s="2">
        <v>41016.13546096065</v>
      </c>
      <c r="L277" t="s">
        <v>45</v>
      </c>
      <c r="M277">
        <v>375509</v>
      </c>
      <c r="N277">
        <v>2</v>
      </c>
      <c r="O277">
        <v>2</v>
      </c>
      <c r="P277">
        <v>3</v>
      </c>
      <c r="Q277">
        <v>3</v>
      </c>
      <c r="R277">
        <v>3544</v>
      </c>
      <c r="S277" t="s">
        <v>3237</v>
      </c>
      <c r="T277" t="s">
        <v>3238</v>
      </c>
      <c r="U277" t="s">
        <v>35</v>
      </c>
      <c r="X277" t="s">
        <v>1616</v>
      </c>
    </row>
    <row r="278" spans="1:24" ht="12.75">
      <c r="A278" s="1" t="str">
        <f>HYPERLINK("http://www.ofsted.gov.uk/inspection-reports/find-inspection-report/provider/ELS/53146","Ofsted FES Webpage")</f>
        <v>Ofsted FES Webpage</v>
      </c>
      <c r="B278" t="s">
        <v>434</v>
      </c>
      <c r="C278">
        <v>53146</v>
      </c>
      <c r="D278">
        <v>115153</v>
      </c>
      <c r="E278" t="s">
        <v>372</v>
      </c>
      <c r="F278" t="s">
        <v>35</v>
      </c>
      <c r="G278" t="s">
        <v>40</v>
      </c>
      <c r="H278" s="2">
        <v>41815</v>
      </c>
      <c r="I278" s="2">
        <v>41817</v>
      </c>
      <c r="J278" t="s">
        <v>27</v>
      </c>
      <c r="K278" s="2">
        <v>41858.135461921294</v>
      </c>
      <c r="L278" t="s">
        <v>45</v>
      </c>
      <c r="M278">
        <v>441287</v>
      </c>
      <c r="N278">
        <v>2</v>
      </c>
      <c r="O278">
        <v>2</v>
      </c>
      <c r="P278">
        <v>3</v>
      </c>
      <c r="Q278">
        <v>2</v>
      </c>
      <c r="R278">
        <v>3432</v>
      </c>
      <c r="S278" t="s">
        <v>3239</v>
      </c>
      <c r="T278" t="s">
        <v>3240</v>
      </c>
      <c r="U278" t="s">
        <v>372</v>
      </c>
      <c r="X278" t="s">
        <v>1617</v>
      </c>
    </row>
    <row r="279" spans="1:24" ht="12.75">
      <c r="A279" s="1" t="str">
        <f>HYPERLINK("http://www.ofsted.gov.uk/inspection-reports/find-inspection-report/provider/ELS/53148","Ofsted FES Webpage")</f>
        <v>Ofsted FES Webpage</v>
      </c>
      <c r="B279" t="s">
        <v>435</v>
      </c>
      <c r="C279">
        <v>53148</v>
      </c>
      <c r="D279">
        <v>107980</v>
      </c>
      <c r="E279" t="s">
        <v>436</v>
      </c>
      <c r="F279" t="s">
        <v>35</v>
      </c>
      <c r="G279" t="s">
        <v>40</v>
      </c>
      <c r="H279" s="2">
        <v>41330</v>
      </c>
      <c r="I279" s="2">
        <v>41334</v>
      </c>
      <c r="J279" t="s">
        <v>32</v>
      </c>
      <c r="K279" s="2">
        <v>41373.13550636574</v>
      </c>
      <c r="L279" t="s">
        <v>45</v>
      </c>
      <c r="M279">
        <v>408470</v>
      </c>
      <c r="N279">
        <v>2</v>
      </c>
      <c r="O279">
        <v>2</v>
      </c>
      <c r="P279">
        <v>3</v>
      </c>
      <c r="Q279">
        <v>3</v>
      </c>
      <c r="R279">
        <v>4722</v>
      </c>
      <c r="S279" t="s">
        <v>3241</v>
      </c>
      <c r="T279" t="s">
        <v>35</v>
      </c>
      <c r="X279" t="s">
        <v>1618</v>
      </c>
    </row>
    <row r="280" spans="1:24" ht="12.75">
      <c r="A280" s="1" t="str">
        <f>HYPERLINK("http://www.ofsted.gov.uk/inspection-reports/find-inspection-report/provider/ELS/53150","Ofsted FES Webpage")</f>
        <v>Ofsted FES Webpage</v>
      </c>
      <c r="B280" t="s">
        <v>437</v>
      </c>
      <c r="C280">
        <v>53150</v>
      </c>
      <c r="D280">
        <v>109899</v>
      </c>
      <c r="E280" t="s">
        <v>278</v>
      </c>
      <c r="F280" t="s">
        <v>35</v>
      </c>
      <c r="G280" t="s">
        <v>40</v>
      </c>
      <c r="H280" s="2">
        <v>41071</v>
      </c>
      <c r="I280" s="2">
        <v>41075</v>
      </c>
      <c r="J280" t="s">
        <v>23</v>
      </c>
      <c r="K280" s="2">
        <v>41110.13559950231</v>
      </c>
      <c r="L280" t="s">
        <v>45</v>
      </c>
      <c r="M280">
        <v>387989</v>
      </c>
      <c r="N280">
        <v>2</v>
      </c>
      <c r="O280">
        <v>2</v>
      </c>
      <c r="P280">
        <v>2</v>
      </c>
      <c r="Q280">
        <v>2</v>
      </c>
      <c r="R280">
        <v>5205</v>
      </c>
      <c r="S280" t="s">
        <v>3242</v>
      </c>
      <c r="T280" t="s">
        <v>35</v>
      </c>
      <c r="X280" t="s">
        <v>1619</v>
      </c>
    </row>
    <row r="281" spans="1:24" ht="12.75">
      <c r="A281" s="1" t="str">
        <f>HYPERLINK("http://www.ofsted.gov.uk/inspection-reports/find-inspection-report/provider/ELS/53152","Ofsted FES Webpage")</f>
        <v>Ofsted FES Webpage</v>
      </c>
      <c r="B281" t="s">
        <v>438</v>
      </c>
      <c r="C281">
        <v>53152</v>
      </c>
      <c r="D281">
        <v>108973</v>
      </c>
      <c r="E281" t="s">
        <v>439</v>
      </c>
      <c r="F281" t="s">
        <v>35</v>
      </c>
      <c r="G281" t="s">
        <v>40</v>
      </c>
      <c r="H281" s="2">
        <v>40294</v>
      </c>
      <c r="I281" s="2">
        <v>40298</v>
      </c>
      <c r="J281" t="s">
        <v>18</v>
      </c>
      <c r="K281" s="2">
        <v>40337.135534988425</v>
      </c>
      <c r="L281" t="s">
        <v>45</v>
      </c>
      <c r="M281">
        <v>345790</v>
      </c>
      <c r="N281">
        <v>2</v>
      </c>
      <c r="O281">
        <v>2</v>
      </c>
      <c r="P281">
        <v>3</v>
      </c>
      <c r="Q281">
        <v>2</v>
      </c>
      <c r="R281">
        <v>9789</v>
      </c>
      <c r="S281" t="s">
        <v>3243</v>
      </c>
      <c r="T281" t="s">
        <v>3244</v>
      </c>
      <c r="W281" t="s">
        <v>35</v>
      </c>
      <c r="X281" t="s">
        <v>1620</v>
      </c>
    </row>
    <row r="282" spans="1:24" ht="12.75">
      <c r="A282" s="1" t="str">
        <f>HYPERLINK("http://www.ofsted.gov.uk/inspection-reports/find-inspection-report/provider/ELS/53160","Ofsted FES Webpage")</f>
        <v>Ofsted FES Webpage</v>
      </c>
      <c r="B282" t="s">
        <v>440</v>
      </c>
      <c r="C282">
        <v>53160</v>
      </c>
      <c r="D282">
        <v>112691</v>
      </c>
      <c r="E282" t="s">
        <v>185</v>
      </c>
      <c r="F282" t="s">
        <v>35</v>
      </c>
      <c r="G282" t="s">
        <v>17</v>
      </c>
      <c r="H282" s="2">
        <v>41442</v>
      </c>
      <c r="I282" s="2">
        <v>41446</v>
      </c>
      <c r="J282" t="s">
        <v>32</v>
      </c>
      <c r="K282" s="2">
        <v>41481.13551894676</v>
      </c>
      <c r="L282" t="s">
        <v>29</v>
      </c>
      <c r="M282">
        <v>410656</v>
      </c>
      <c r="N282">
        <v>2</v>
      </c>
      <c r="O282">
        <v>2</v>
      </c>
      <c r="P282">
        <v>2</v>
      </c>
      <c r="Q282">
        <v>2</v>
      </c>
      <c r="R282">
        <v>3934</v>
      </c>
      <c r="T282" t="s">
        <v>3246</v>
      </c>
      <c r="W282" t="s">
        <v>35</v>
      </c>
      <c r="X282" t="s">
        <v>1621</v>
      </c>
    </row>
    <row r="283" spans="1:24" ht="12.75">
      <c r="A283" s="1" t="str">
        <f>HYPERLINK("http://www.ofsted.gov.uk/inspection-reports/find-inspection-report/provider/ELS/53168","Ofsted FES Webpage")</f>
        <v>Ofsted FES Webpage</v>
      </c>
      <c r="B283" t="s">
        <v>441</v>
      </c>
      <c r="C283">
        <v>53168</v>
      </c>
      <c r="D283">
        <v>108050</v>
      </c>
      <c r="E283" t="s">
        <v>442</v>
      </c>
      <c r="F283" t="s">
        <v>35</v>
      </c>
      <c r="G283" t="s">
        <v>17</v>
      </c>
      <c r="H283" s="2">
        <v>41801</v>
      </c>
      <c r="I283" s="2">
        <v>41803</v>
      </c>
      <c r="J283" t="s">
        <v>27</v>
      </c>
      <c r="K283" s="2">
        <v>41838.135523460645</v>
      </c>
      <c r="L283" t="s">
        <v>45</v>
      </c>
      <c r="M283">
        <v>434065</v>
      </c>
      <c r="N283">
        <v>3</v>
      </c>
      <c r="O283">
        <v>3</v>
      </c>
      <c r="P283">
        <v>2</v>
      </c>
      <c r="Q283">
        <v>2</v>
      </c>
      <c r="R283">
        <v>134</v>
      </c>
      <c r="T283" t="s">
        <v>3247</v>
      </c>
      <c r="W283" t="s">
        <v>35</v>
      </c>
      <c r="X283" t="s">
        <v>1622</v>
      </c>
    </row>
    <row r="284" spans="1:24" ht="12.75">
      <c r="A284" s="1" t="str">
        <f>HYPERLINK("http://www.ofsted.gov.uk/inspection-reports/find-inspection-report/provider/ELS/53201","Ofsted FES Webpage")</f>
        <v>Ofsted FES Webpage</v>
      </c>
      <c r="B284" t="s">
        <v>443</v>
      </c>
      <c r="C284">
        <v>53201</v>
      </c>
      <c r="D284">
        <v>110033</v>
      </c>
      <c r="E284" t="s">
        <v>444</v>
      </c>
      <c r="F284" t="s">
        <v>39</v>
      </c>
      <c r="G284" t="s">
        <v>40</v>
      </c>
      <c r="H284" s="2">
        <v>41071</v>
      </c>
      <c r="I284" s="2">
        <v>41075</v>
      </c>
      <c r="J284" t="s">
        <v>23</v>
      </c>
      <c r="K284" s="2">
        <v>41110.135594328705</v>
      </c>
      <c r="L284" t="s">
        <v>83</v>
      </c>
      <c r="M284">
        <v>387972</v>
      </c>
      <c r="N284">
        <v>3</v>
      </c>
      <c r="O284">
        <v>3</v>
      </c>
      <c r="P284">
        <v>2</v>
      </c>
      <c r="Q284">
        <v>3</v>
      </c>
      <c r="R284">
        <v>3770</v>
      </c>
      <c r="S284" t="s">
        <v>2569</v>
      </c>
      <c r="T284" t="s">
        <v>3251</v>
      </c>
      <c r="V284" t="s">
        <v>444</v>
      </c>
      <c r="W284" t="s">
        <v>3252</v>
      </c>
      <c r="X284" t="s">
        <v>1623</v>
      </c>
    </row>
    <row r="285" spans="1:24" ht="12.75">
      <c r="A285" s="1" t="str">
        <f>HYPERLINK("http://www.ofsted.gov.uk/inspection-reports/find-inspection-report/provider/ELS/53230","Ofsted FES Webpage")</f>
        <v>Ofsted FES Webpage</v>
      </c>
      <c r="B285" t="s">
        <v>445</v>
      </c>
      <c r="C285">
        <v>53230</v>
      </c>
      <c r="D285">
        <v>108046</v>
      </c>
      <c r="E285" t="s">
        <v>446</v>
      </c>
      <c r="F285" t="s">
        <v>68</v>
      </c>
      <c r="G285" t="s">
        <v>40</v>
      </c>
      <c r="H285" s="2">
        <v>41568</v>
      </c>
      <c r="I285" s="2">
        <v>41572</v>
      </c>
      <c r="J285" t="s">
        <v>27</v>
      </c>
      <c r="K285" s="2">
        <v>41607.135491203706</v>
      </c>
      <c r="L285" t="s">
        <v>45</v>
      </c>
      <c r="M285">
        <v>423418</v>
      </c>
      <c r="N285">
        <v>2</v>
      </c>
      <c r="O285">
        <v>2</v>
      </c>
      <c r="P285">
        <v>2</v>
      </c>
      <c r="Q285">
        <v>2</v>
      </c>
      <c r="R285">
        <v>9994</v>
      </c>
      <c r="S285" t="s">
        <v>3254</v>
      </c>
      <c r="T285" t="s">
        <v>446</v>
      </c>
      <c r="X285" t="s">
        <v>1624</v>
      </c>
    </row>
    <row r="286" spans="1:24" ht="12.75">
      <c r="A286" s="1" t="str">
        <f>HYPERLINK("http://www.ofsted.gov.uk/inspection-reports/find-inspection-report/provider/ELS/53232","Ofsted FES Webpage")</f>
        <v>Ofsted FES Webpage</v>
      </c>
      <c r="B286" t="s">
        <v>447</v>
      </c>
      <c r="C286">
        <v>53232</v>
      </c>
      <c r="D286">
        <v>109219</v>
      </c>
      <c r="E286" t="s">
        <v>446</v>
      </c>
      <c r="F286" t="s">
        <v>68</v>
      </c>
      <c r="G286" t="s">
        <v>225</v>
      </c>
      <c r="H286" s="2">
        <v>41533</v>
      </c>
      <c r="I286" s="2">
        <v>41537</v>
      </c>
      <c r="J286" t="s">
        <v>27</v>
      </c>
      <c r="K286" s="2">
        <v>41570.13550251158</v>
      </c>
      <c r="L286" t="s">
        <v>226</v>
      </c>
      <c r="M286">
        <v>422625</v>
      </c>
      <c r="N286">
        <v>2</v>
      </c>
      <c r="O286">
        <v>2</v>
      </c>
      <c r="P286">
        <v>3</v>
      </c>
      <c r="Q286">
        <v>3</v>
      </c>
      <c r="R286">
        <v>11197</v>
      </c>
      <c r="S286" t="s">
        <v>2759</v>
      </c>
      <c r="T286" t="s">
        <v>2760</v>
      </c>
      <c r="U286" t="s">
        <v>446</v>
      </c>
      <c r="X286" t="s">
        <v>1432</v>
      </c>
    </row>
    <row r="287" spans="1:24" ht="12.75">
      <c r="A287" s="1" t="str">
        <f>HYPERLINK("http://www.ofsted.gov.uk/inspection-reports/find-inspection-report/provider/ELS/53233","Ofsted FES Webpage")</f>
        <v>Ofsted FES Webpage</v>
      </c>
      <c r="B287" t="s">
        <v>448</v>
      </c>
      <c r="C287">
        <v>53233</v>
      </c>
      <c r="D287">
        <v>109219</v>
      </c>
      <c r="E287" t="s">
        <v>446</v>
      </c>
      <c r="F287" t="s">
        <v>68</v>
      </c>
      <c r="G287" t="s">
        <v>17</v>
      </c>
      <c r="H287" s="2">
        <v>41085</v>
      </c>
      <c r="I287" s="2">
        <v>41089</v>
      </c>
      <c r="J287" t="s">
        <v>23</v>
      </c>
      <c r="K287" s="2">
        <v>41117.135462962964</v>
      </c>
      <c r="L287" t="s">
        <v>29</v>
      </c>
      <c r="M287">
        <v>388120</v>
      </c>
      <c r="N287">
        <v>2</v>
      </c>
      <c r="O287">
        <v>2</v>
      </c>
      <c r="P287">
        <v>2</v>
      </c>
      <c r="Q287">
        <v>2</v>
      </c>
      <c r="R287">
        <v>11197</v>
      </c>
      <c r="S287" t="s">
        <v>2759</v>
      </c>
      <c r="T287" t="s">
        <v>2760</v>
      </c>
      <c r="W287" t="s">
        <v>446</v>
      </c>
      <c r="X287" t="s">
        <v>1432</v>
      </c>
    </row>
    <row r="288" spans="1:24" ht="12.75">
      <c r="A288" s="1" t="str">
        <f>HYPERLINK("http://www.ofsted.gov.uk/inspection-reports/find-inspection-report/provider/ELS/53237","Ofsted FES Webpage")</f>
        <v>Ofsted FES Webpage</v>
      </c>
      <c r="B288" t="s">
        <v>449</v>
      </c>
      <c r="C288">
        <v>53237</v>
      </c>
      <c r="D288">
        <v>105804</v>
      </c>
      <c r="E288" t="s">
        <v>450</v>
      </c>
      <c r="F288" t="s">
        <v>68</v>
      </c>
      <c r="G288" t="s">
        <v>17</v>
      </c>
      <c r="H288" s="2">
        <v>41708</v>
      </c>
      <c r="I288" s="2">
        <v>41712</v>
      </c>
      <c r="J288" t="s">
        <v>27</v>
      </c>
      <c r="K288" s="2">
        <v>41745.135496215276</v>
      </c>
      <c r="L288" t="s">
        <v>29</v>
      </c>
      <c r="M288">
        <v>433721</v>
      </c>
      <c r="N288">
        <v>2</v>
      </c>
      <c r="O288">
        <v>2</v>
      </c>
      <c r="P288">
        <v>1</v>
      </c>
      <c r="Q288">
        <v>1</v>
      </c>
      <c r="R288">
        <v>1520</v>
      </c>
      <c r="T288" t="s">
        <v>3255</v>
      </c>
      <c r="U288" t="s">
        <v>3256</v>
      </c>
      <c r="W288" t="s">
        <v>446</v>
      </c>
      <c r="X288" t="s">
        <v>1625</v>
      </c>
    </row>
    <row r="289" spans="1:24" ht="12.75">
      <c r="A289" s="1" t="str">
        <f>HYPERLINK("http://www.ofsted.gov.uk/inspection-reports/find-inspection-report/provider/ELS/53239","Ofsted FES Webpage")</f>
        <v>Ofsted FES Webpage</v>
      </c>
      <c r="B289" t="s">
        <v>451</v>
      </c>
      <c r="C289">
        <v>53239</v>
      </c>
      <c r="D289">
        <v>108041</v>
      </c>
      <c r="E289" t="s">
        <v>25</v>
      </c>
      <c r="F289" t="s">
        <v>26</v>
      </c>
      <c r="G289" t="s">
        <v>40</v>
      </c>
      <c r="H289" s="2">
        <v>40491</v>
      </c>
      <c r="I289" s="2">
        <v>40494</v>
      </c>
      <c r="J289" t="s">
        <v>56</v>
      </c>
      <c r="K289" s="2">
        <v>40529.13545081019</v>
      </c>
      <c r="L289" t="s">
        <v>45</v>
      </c>
      <c r="M289">
        <v>363486</v>
      </c>
      <c r="N289">
        <v>2</v>
      </c>
      <c r="O289">
        <v>2</v>
      </c>
      <c r="P289">
        <v>3</v>
      </c>
      <c r="Q289">
        <v>3</v>
      </c>
      <c r="R289">
        <v>30</v>
      </c>
      <c r="T289" t="s">
        <v>3257</v>
      </c>
      <c r="W289" t="s">
        <v>25</v>
      </c>
      <c r="X289" t="s">
        <v>1626</v>
      </c>
    </row>
    <row r="290" spans="1:24" ht="12.75">
      <c r="A290" s="1" t="str">
        <f>HYPERLINK("http://www.ofsted.gov.uk/inspection-reports/find-inspection-report/provider/ELS/53259","Ofsted FES Webpage")</f>
        <v>Ofsted FES Webpage</v>
      </c>
      <c r="B290" t="s">
        <v>452</v>
      </c>
      <c r="C290">
        <v>53259</v>
      </c>
      <c r="D290">
        <v>107613</v>
      </c>
      <c r="E290" t="s">
        <v>213</v>
      </c>
      <c r="F290" t="s">
        <v>49</v>
      </c>
      <c r="G290" t="s">
        <v>17</v>
      </c>
      <c r="H290" s="2">
        <v>41618</v>
      </c>
      <c r="I290" s="2">
        <v>41621</v>
      </c>
      <c r="J290" t="s">
        <v>27</v>
      </c>
      <c r="K290" s="2">
        <v>41653.13546172454</v>
      </c>
      <c r="L290" t="s">
        <v>29</v>
      </c>
      <c r="M290">
        <v>424459</v>
      </c>
      <c r="N290">
        <v>2</v>
      </c>
      <c r="O290">
        <v>2</v>
      </c>
      <c r="P290">
        <v>2</v>
      </c>
      <c r="Q290">
        <v>2</v>
      </c>
      <c r="R290">
        <v>145</v>
      </c>
      <c r="T290" t="s">
        <v>2841</v>
      </c>
      <c r="V290" t="s">
        <v>2894</v>
      </c>
      <c r="W290" t="s">
        <v>213</v>
      </c>
      <c r="X290" t="s">
        <v>1628</v>
      </c>
    </row>
    <row r="291" spans="1:24" ht="12.75">
      <c r="A291" s="1" t="str">
        <f>HYPERLINK("http://www.ofsted.gov.uk/inspection-reports/find-inspection-report/provider/ELS/53268","Ofsted FES Webpage")</f>
        <v>Ofsted FES Webpage</v>
      </c>
      <c r="B291" t="s">
        <v>453</v>
      </c>
      <c r="C291">
        <v>53268</v>
      </c>
      <c r="D291">
        <v>112654</v>
      </c>
      <c r="E291" t="s">
        <v>48</v>
      </c>
      <c r="F291" t="s">
        <v>49</v>
      </c>
      <c r="G291" t="s">
        <v>17</v>
      </c>
      <c r="H291" s="2">
        <v>39461</v>
      </c>
      <c r="I291" s="2">
        <v>39465</v>
      </c>
      <c r="J291" t="s">
        <v>154</v>
      </c>
      <c r="K291" s="2">
        <v>39507.135547604164</v>
      </c>
      <c r="L291" t="s">
        <v>19</v>
      </c>
      <c r="M291">
        <v>318303</v>
      </c>
      <c r="N291">
        <v>2</v>
      </c>
      <c r="O291">
        <v>2</v>
      </c>
      <c r="P291" t="s">
        <v>20</v>
      </c>
      <c r="Q291" t="s">
        <v>20</v>
      </c>
      <c r="R291">
        <v>21</v>
      </c>
      <c r="S291" t="s">
        <v>3260</v>
      </c>
      <c r="T291" t="s">
        <v>3261</v>
      </c>
      <c r="U291" t="s">
        <v>2434</v>
      </c>
      <c r="V291" t="s">
        <v>572</v>
      </c>
      <c r="X291" t="s">
        <v>1630</v>
      </c>
    </row>
    <row r="292" spans="1:24" ht="12.75">
      <c r="A292" s="1" t="str">
        <f>HYPERLINK("http://www.ofsted.gov.uk/inspection-reports/find-inspection-report/provider/ELS/53280","Ofsted FES Webpage")</f>
        <v>Ofsted FES Webpage</v>
      </c>
      <c r="B292" t="s">
        <v>454</v>
      </c>
      <c r="C292">
        <v>53280</v>
      </c>
      <c r="D292">
        <v>106702</v>
      </c>
      <c r="E292" t="s">
        <v>236</v>
      </c>
      <c r="F292" t="s">
        <v>26</v>
      </c>
      <c r="G292" t="s">
        <v>17</v>
      </c>
      <c r="H292" s="2">
        <v>41254</v>
      </c>
      <c r="I292" s="2">
        <v>41257</v>
      </c>
      <c r="J292" t="s">
        <v>32</v>
      </c>
      <c r="K292" s="2">
        <v>41291.13551072917</v>
      </c>
      <c r="L292" t="s">
        <v>36</v>
      </c>
      <c r="M292">
        <v>406811</v>
      </c>
      <c r="N292">
        <v>2</v>
      </c>
      <c r="O292">
        <v>2</v>
      </c>
      <c r="P292">
        <v>3</v>
      </c>
      <c r="Q292">
        <v>3</v>
      </c>
      <c r="R292">
        <v>488</v>
      </c>
      <c r="S292" t="s">
        <v>3263</v>
      </c>
      <c r="T292" t="s">
        <v>2617</v>
      </c>
      <c r="U292" t="s">
        <v>2675</v>
      </c>
      <c r="X292" t="s">
        <v>1631</v>
      </c>
    </row>
    <row r="293" spans="1:24" ht="12.75">
      <c r="A293" s="1" t="str">
        <f>HYPERLINK("http://www.ofsted.gov.uk/inspection-reports/find-inspection-report/provider/ELS/53281","Ofsted FES Webpage")</f>
        <v>Ofsted FES Webpage</v>
      </c>
      <c r="B293" t="s">
        <v>455</v>
      </c>
      <c r="C293">
        <v>53281</v>
      </c>
      <c r="D293">
        <v>117946</v>
      </c>
      <c r="E293" t="s">
        <v>456</v>
      </c>
      <c r="F293" t="s">
        <v>35</v>
      </c>
      <c r="G293" t="s">
        <v>160</v>
      </c>
      <c r="H293" s="2">
        <v>40469</v>
      </c>
      <c r="I293" s="2">
        <v>40473</v>
      </c>
      <c r="J293" t="s">
        <v>56</v>
      </c>
      <c r="K293" s="2">
        <v>40508.135443136576</v>
      </c>
      <c r="L293" t="s">
        <v>29</v>
      </c>
      <c r="M293">
        <v>345918</v>
      </c>
      <c r="N293">
        <v>2</v>
      </c>
      <c r="O293">
        <v>2</v>
      </c>
      <c r="P293" t="s">
        <v>20</v>
      </c>
      <c r="Q293" t="s">
        <v>20</v>
      </c>
      <c r="R293">
        <v>4967</v>
      </c>
      <c r="S293" t="s">
        <v>3264</v>
      </c>
      <c r="T293" t="s">
        <v>3265</v>
      </c>
      <c r="U293" t="s">
        <v>35</v>
      </c>
      <c r="X293" t="s">
        <v>1632</v>
      </c>
    </row>
    <row r="294" spans="1:24" ht="12.75">
      <c r="A294" s="1" t="str">
        <f>HYPERLINK("http://www.ofsted.gov.uk/inspection-reports/find-inspection-report/provider/ELS/53295","Ofsted FES Webpage")</f>
        <v>Ofsted FES Webpage</v>
      </c>
      <c r="B294" t="s">
        <v>457</v>
      </c>
      <c r="C294">
        <v>53295</v>
      </c>
      <c r="D294">
        <v>108044</v>
      </c>
      <c r="E294" t="s">
        <v>358</v>
      </c>
      <c r="F294" t="s">
        <v>43</v>
      </c>
      <c r="G294" t="s">
        <v>40</v>
      </c>
      <c r="H294" s="2">
        <v>41673</v>
      </c>
      <c r="I294" s="2">
        <v>41677</v>
      </c>
      <c r="J294" t="s">
        <v>27</v>
      </c>
      <c r="K294" s="2">
        <v>41712.13547094908</v>
      </c>
      <c r="L294" t="s">
        <v>275</v>
      </c>
      <c r="M294">
        <v>422200</v>
      </c>
      <c r="N294">
        <v>3</v>
      </c>
      <c r="O294">
        <v>3</v>
      </c>
      <c r="P294">
        <v>4</v>
      </c>
      <c r="Q294">
        <v>4</v>
      </c>
      <c r="R294">
        <v>3713</v>
      </c>
      <c r="T294" t="s">
        <v>3267</v>
      </c>
      <c r="U294" t="s">
        <v>2531</v>
      </c>
      <c r="V294" t="s">
        <v>3038</v>
      </c>
      <c r="X294" t="s">
        <v>1633</v>
      </c>
    </row>
    <row r="295" spans="1:24" ht="12.75">
      <c r="A295" s="1" t="str">
        <f>HYPERLINK("http://www.ofsted.gov.uk/inspection-reports/find-inspection-report/provider/ELS/53305","Ofsted FES Webpage")</f>
        <v>Ofsted FES Webpage</v>
      </c>
      <c r="B295" t="s">
        <v>458</v>
      </c>
      <c r="C295">
        <v>53305</v>
      </c>
      <c r="D295">
        <v>112720</v>
      </c>
      <c r="E295" t="s">
        <v>385</v>
      </c>
      <c r="F295" t="s">
        <v>68</v>
      </c>
      <c r="G295" t="s">
        <v>17</v>
      </c>
      <c r="H295" s="2">
        <v>41709</v>
      </c>
      <c r="I295" s="2">
        <v>41712</v>
      </c>
      <c r="J295" t="s">
        <v>27</v>
      </c>
      <c r="K295" s="2">
        <v>41745.135459143516</v>
      </c>
      <c r="L295" t="s">
        <v>36</v>
      </c>
      <c r="M295">
        <v>429114</v>
      </c>
      <c r="N295">
        <v>3</v>
      </c>
      <c r="O295">
        <v>3</v>
      </c>
      <c r="P295">
        <v>3</v>
      </c>
      <c r="Q295">
        <v>3</v>
      </c>
      <c r="R295">
        <v>828</v>
      </c>
      <c r="S295" t="s">
        <v>3268</v>
      </c>
      <c r="W295" t="s">
        <v>3054</v>
      </c>
      <c r="X295" t="s">
        <v>1634</v>
      </c>
    </row>
    <row r="296" spans="1:24" ht="12.75">
      <c r="A296" s="1" t="str">
        <f>HYPERLINK("http://www.ofsted.gov.uk/inspection-reports/find-inspection-report/provider/ELS/53325","Ofsted FES Webpage")</f>
        <v>Ofsted FES Webpage</v>
      </c>
      <c r="B296" t="s">
        <v>459</v>
      </c>
      <c r="C296">
        <v>53325</v>
      </c>
      <c r="D296">
        <v>115152</v>
      </c>
      <c r="E296" t="s">
        <v>460</v>
      </c>
      <c r="F296" t="s">
        <v>35</v>
      </c>
      <c r="G296" t="s">
        <v>40</v>
      </c>
      <c r="H296" s="2">
        <v>40847</v>
      </c>
      <c r="I296" s="2">
        <v>40851</v>
      </c>
      <c r="J296" t="s">
        <v>23</v>
      </c>
      <c r="K296" s="2">
        <v>40886.135478668984</v>
      </c>
      <c r="L296" t="s">
        <v>45</v>
      </c>
      <c r="M296">
        <v>375506</v>
      </c>
      <c r="N296">
        <v>2</v>
      </c>
      <c r="O296">
        <v>2</v>
      </c>
      <c r="P296">
        <v>3</v>
      </c>
      <c r="Q296">
        <v>3</v>
      </c>
      <c r="R296">
        <v>3929</v>
      </c>
      <c r="S296" t="s">
        <v>3228</v>
      </c>
      <c r="T296" t="s">
        <v>2841</v>
      </c>
      <c r="W296" t="s">
        <v>3229</v>
      </c>
      <c r="X296" t="s">
        <v>1635</v>
      </c>
    </row>
    <row r="297" spans="1:24" ht="12.75">
      <c r="A297" s="1" t="str">
        <f>HYPERLINK("http://www.ofsted.gov.uk/inspection-reports/find-inspection-report/provider/ELS/53330","Ofsted FES Webpage")</f>
        <v>Ofsted FES Webpage</v>
      </c>
      <c r="B297" t="s">
        <v>461</v>
      </c>
      <c r="C297">
        <v>53330</v>
      </c>
      <c r="D297">
        <v>106007</v>
      </c>
      <c r="E297" t="s">
        <v>25</v>
      </c>
      <c r="F297" t="s">
        <v>26</v>
      </c>
      <c r="G297" t="s">
        <v>40</v>
      </c>
      <c r="H297" s="2">
        <v>40946</v>
      </c>
      <c r="I297" s="2">
        <v>40949</v>
      </c>
      <c r="J297" t="s">
        <v>23</v>
      </c>
      <c r="K297" s="2">
        <v>40983.13581061343</v>
      </c>
      <c r="L297" t="s">
        <v>29</v>
      </c>
      <c r="M297">
        <v>385747</v>
      </c>
      <c r="N297">
        <v>2</v>
      </c>
      <c r="O297">
        <v>2</v>
      </c>
      <c r="P297">
        <v>2</v>
      </c>
      <c r="Q297">
        <v>2</v>
      </c>
      <c r="R297">
        <v>1122</v>
      </c>
      <c r="S297" t="s">
        <v>3269</v>
      </c>
      <c r="T297" t="s">
        <v>3270</v>
      </c>
      <c r="W297" t="s">
        <v>25</v>
      </c>
      <c r="X297" t="s">
        <v>1636</v>
      </c>
    </row>
    <row r="298" spans="1:24" ht="12.75">
      <c r="A298" s="1" t="str">
        <f>HYPERLINK("http://www.ofsted.gov.uk/inspection-reports/find-inspection-report/provider/ELS/53349","Ofsted FES Webpage")</f>
        <v>Ofsted FES Webpage</v>
      </c>
      <c r="B298" t="s">
        <v>462</v>
      </c>
      <c r="C298">
        <v>53349</v>
      </c>
      <c r="D298">
        <v>105810</v>
      </c>
      <c r="E298" t="s">
        <v>446</v>
      </c>
      <c r="F298" t="s">
        <v>68</v>
      </c>
      <c r="G298" t="s">
        <v>17</v>
      </c>
      <c r="H298" s="2">
        <v>40791</v>
      </c>
      <c r="I298" s="2">
        <v>40794</v>
      </c>
      <c r="J298" t="s">
        <v>23</v>
      </c>
      <c r="K298" s="2">
        <v>40826.13544244213</v>
      </c>
      <c r="L298" t="s">
        <v>29</v>
      </c>
      <c r="M298">
        <v>366028</v>
      </c>
      <c r="N298">
        <v>2</v>
      </c>
      <c r="O298">
        <v>2</v>
      </c>
      <c r="P298">
        <v>2</v>
      </c>
      <c r="Q298">
        <v>2</v>
      </c>
      <c r="R298">
        <v>366</v>
      </c>
      <c r="S298" t="s">
        <v>3273</v>
      </c>
      <c r="T298" t="s">
        <v>3274</v>
      </c>
      <c r="W298" t="s">
        <v>446</v>
      </c>
      <c r="X298" t="s">
        <v>1637</v>
      </c>
    </row>
    <row r="299" spans="1:24" ht="12.75">
      <c r="A299" s="1" t="str">
        <f>HYPERLINK("http://www.ofsted.gov.uk/inspection-reports/find-inspection-report/provider/ELS/53373","Ofsted FES Webpage")</f>
        <v>Ofsted FES Webpage</v>
      </c>
      <c r="B299" t="s">
        <v>463</v>
      </c>
      <c r="C299">
        <v>53373</v>
      </c>
      <c r="D299">
        <v>105318</v>
      </c>
      <c r="E299" t="s">
        <v>203</v>
      </c>
      <c r="F299" t="s">
        <v>49</v>
      </c>
      <c r="G299" t="s">
        <v>17</v>
      </c>
      <c r="H299" s="2">
        <v>41596</v>
      </c>
      <c r="I299" s="2">
        <v>41600</v>
      </c>
      <c r="J299" t="s">
        <v>27</v>
      </c>
      <c r="K299" s="2">
        <v>41627.13589039352</v>
      </c>
      <c r="L299" t="s">
        <v>29</v>
      </c>
      <c r="M299">
        <v>429002</v>
      </c>
      <c r="N299">
        <v>2</v>
      </c>
      <c r="O299">
        <v>2</v>
      </c>
      <c r="P299">
        <v>1</v>
      </c>
      <c r="Q299">
        <v>1</v>
      </c>
      <c r="R299">
        <v>569</v>
      </c>
      <c r="T299" t="s">
        <v>3278</v>
      </c>
      <c r="W299" t="s">
        <v>203</v>
      </c>
      <c r="X299" t="s">
        <v>1639</v>
      </c>
    </row>
    <row r="300" spans="1:24" ht="12.75">
      <c r="A300" s="1" t="str">
        <f>HYPERLINK("http://www.ofsted.gov.uk/inspection-reports/find-inspection-report/provider/ELS/53388","Ofsted FES Webpage")</f>
        <v>Ofsted FES Webpage</v>
      </c>
      <c r="B300" t="s">
        <v>464</v>
      </c>
      <c r="C300">
        <v>53388</v>
      </c>
      <c r="D300">
        <v>107850</v>
      </c>
      <c r="E300" t="s">
        <v>97</v>
      </c>
      <c r="F300" t="s">
        <v>26</v>
      </c>
      <c r="G300" t="s">
        <v>17</v>
      </c>
      <c r="H300" s="2">
        <v>41443</v>
      </c>
      <c r="I300" s="2">
        <v>41446</v>
      </c>
      <c r="J300" t="s">
        <v>32</v>
      </c>
      <c r="K300" s="2">
        <v>41479.13560517361</v>
      </c>
      <c r="L300" t="s">
        <v>36</v>
      </c>
      <c r="M300">
        <v>410686</v>
      </c>
      <c r="N300">
        <v>2</v>
      </c>
      <c r="O300">
        <v>2</v>
      </c>
      <c r="P300">
        <v>3</v>
      </c>
      <c r="Q300">
        <v>3</v>
      </c>
      <c r="R300">
        <v>295</v>
      </c>
      <c r="S300" t="s">
        <v>3279</v>
      </c>
      <c r="T300" t="s">
        <v>3280</v>
      </c>
      <c r="W300" t="s">
        <v>97</v>
      </c>
      <c r="X300" t="s">
        <v>1640</v>
      </c>
    </row>
    <row r="301" spans="1:24" ht="12.75">
      <c r="A301" s="1" t="str">
        <f>HYPERLINK("http://www.ofsted.gov.uk/inspection-reports/find-inspection-report/provider/ELS/53392","Ofsted FES Webpage")</f>
        <v>Ofsted FES Webpage</v>
      </c>
      <c r="B301" t="s">
        <v>465</v>
      </c>
      <c r="C301">
        <v>53392</v>
      </c>
      <c r="D301">
        <v>108652</v>
      </c>
      <c r="E301" t="s">
        <v>82</v>
      </c>
      <c r="F301" t="s">
        <v>43</v>
      </c>
      <c r="G301" t="s">
        <v>40</v>
      </c>
      <c r="H301" s="2">
        <v>41799</v>
      </c>
      <c r="I301" s="2">
        <v>41802</v>
      </c>
      <c r="J301" t="s">
        <v>27</v>
      </c>
      <c r="K301" s="2">
        <v>41837.13548765046</v>
      </c>
      <c r="L301" t="s">
        <v>60</v>
      </c>
      <c r="M301">
        <v>429273</v>
      </c>
      <c r="N301">
        <v>2</v>
      </c>
      <c r="O301">
        <v>2</v>
      </c>
      <c r="P301">
        <v>3</v>
      </c>
      <c r="Q301">
        <v>3</v>
      </c>
      <c r="R301">
        <v>91</v>
      </c>
      <c r="T301" t="s">
        <v>3281</v>
      </c>
      <c r="U301" t="s">
        <v>3282</v>
      </c>
      <c r="W301" t="s">
        <v>82</v>
      </c>
      <c r="X301" t="s">
        <v>1641</v>
      </c>
    </row>
    <row r="302" spans="1:24" ht="12.75">
      <c r="A302" s="1" t="str">
        <f>HYPERLINK("http://www.ofsted.gov.uk/inspection-reports/find-inspection-report/provider/ELS/53404","Ofsted FES Webpage")</f>
        <v>Ofsted FES Webpage</v>
      </c>
      <c r="B302" t="s">
        <v>466</v>
      </c>
      <c r="C302">
        <v>53404</v>
      </c>
      <c r="D302">
        <v>116012</v>
      </c>
      <c r="E302" t="s">
        <v>179</v>
      </c>
      <c r="F302" t="s">
        <v>49</v>
      </c>
      <c r="G302" t="s">
        <v>160</v>
      </c>
      <c r="H302" s="2">
        <v>41142</v>
      </c>
      <c r="I302" s="2">
        <v>41145</v>
      </c>
      <c r="J302" t="s">
        <v>23</v>
      </c>
      <c r="K302" s="2">
        <v>41183.13544675926</v>
      </c>
      <c r="L302" t="s">
        <v>19</v>
      </c>
      <c r="M302">
        <v>388103</v>
      </c>
      <c r="N302">
        <v>2</v>
      </c>
      <c r="O302">
        <v>2</v>
      </c>
      <c r="P302">
        <v>2</v>
      </c>
      <c r="Q302">
        <v>2</v>
      </c>
      <c r="R302">
        <v>270</v>
      </c>
      <c r="S302" t="s">
        <v>3283</v>
      </c>
      <c r="T302" t="s">
        <v>3284</v>
      </c>
      <c r="X302" t="s">
        <v>1642</v>
      </c>
    </row>
    <row r="303" spans="1:24" ht="12.75">
      <c r="A303" s="1" t="str">
        <f>HYPERLINK("http://www.ofsted.gov.uk/inspection-reports/find-inspection-report/provider/ELS/53407","Ofsted FES Webpage")</f>
        <v>Ofsted FES Webpage</v>
      </c>
      <c r="B303" t="s">
        <v>467</v>
      </c>
      <c r="C303">
        <v>53407</v>
      </c>
      <c r="D303">
        <v>107108</v>
      </c>
      <c r="E303" t="s">
        <v>166</v>
      </c>
      <c r="F303" t="s">
        <v>26</v>
      </c>
      <c r="G303" t="s">
        <v>17</v>
      </c>
      <c r="H303" s="2">
        <v>41288</v>
      </c>
      <c r="I303" s="2">
        <v>41292</v>
      </c>
      <c r="J303" t="s">
        <v>32</v>
      </c>
      <c r="K303" s="2">
        <v>41327.13558163194</v>
      </c>
      <c r="L303" t="s">
        <v>36</v>
      </c>
      <c r="M303">
        <v>408502</v>
      </c>
      <c r="N303">
        <v>2</v>
      </c>
      <c r="O303">
        <v>2</v>
      </c>
      <c r="P303">
        <v>3</v>
      </c>
      <c r="Q303">
        <v>3</v>
      </c>
      <c r="R303">
        <v>1402</v>
      </c>
      <c r="T303" t="s">
        <v>3285</v>
      </c>
      <c r="W303" t="s">
        <v>2648</v>
      </c>
      <c r="X303" t="s">
        <v>1643</v>
      </c>
    </row>
    <row r="304" spans="1:24" ht="12.75">
      <c r="A304" s="1" t="str">
        <f>HYPERLINK("http://www.ofsted.gov.uk/inspection-reports/find-inspection-report/provider/ELS/53422","Ofsted FES Webpage")</f>
        <v>Ofsted FES Webpage</v>
      </c>
      <c r="B304" t="s">
        <v>468</v>
      </c>
      <c r="C304">
        <v>53422</v>
      </c>
      <c r="D304">
        <v>107028</v>
      </c>
      <c r="E304" t="s">
        <v>124</v>
      </c>
      <c r="F304" t="s">
        <v>26</v>
      </c>
      <c r="G304" t="s">
        <v>40</v>
      </c>
      <c r="H304" s="2">
        <v>40868</v>
      </c>
      <c r="I304" s="2">
        <v>40872</v>
      </c>
      <c r="J304" t="s">
        <v>23</v>
      </c>
      <c r="K304" s="2">
        <v>40898.13544667824</v>
      </c>
      <c r="L304" t="s">
        <v>19</v>
      </c>
      <c r="M304">
        <v>363209</v>
      </c>
      <c r="N304">
        <v>2</v>
      </c>
      <c r="O304">
        <v>2</v>
      </c>
      <c r="P304">
        <v>2</v>
      </c>
      <c r="Q304">
        <v>2</v>
      </c>
      <c r="R304">
        <v>522</v>
      </c>
      <c r="S304" t="s">
        <v>3286</v>
      </c>
      <c r="T304" t="s">
        <v>3287</v>
      </c>
      <c r="W304" t="s">
        <v>124</v>
      </c>
      <c r="X304" t="s">
        <v>1644</v>
      </c>
    </row>
    <row r="305" spans="1:24" ht="12.75">
      <c r="A305" s="1" t="str">
        <f>HYPERLINK("http://www.ofsted.gov.uk/inspection-reports/find-inspection-report/provider/ELS/53429","Ofsted FES Webpage")</f>
        <v>Ofsted FES Webpage</v>
      </c>
      <c r="B305" t="s">
        <v>469</v>
      </c>
      <c r="C305">
        <v>53429</v>
      </c>
      <c r="D305">
        <v>108786</v>
      </c>
      <c r="E305" t="s">
        <v>350</v>
      </c>
      <c r="F305" t="s">
        <v>43</v>
      </c>
      <c r="G305" t="s">
        <v>17</v>
      </c>
      <c r="H305" s="2">
        <v>41680</v>
      </c>
      <c r="I305" s="2">
        <v>41684</v>
      </c>
      <c r="J305" t="s">
        <v>27</v>
      </c>
      <c r="K305" s="2">
        <v>41719.13551030093</v>
      </c>
      <c r="L305" t="s">
        <v>60</v>
      </c>
      <c r="M305">
        <v>429232</v>
      </c>
      <c r="N305">
        <v>2</v>
      </c>
      <c r="O305">
        <v>2</v>
      </c>
      <c r="P305">
        <v>3</v>
      </c>
      <c r="Q305">
        <v>3</v>
      </c>
      <c r="R305">
        <v>2063</v>
      </c>
      <c r="S305" t="s">
        <v>3288</v>
      </c>
      <c r="T305" t="s">
        <v>3289</v>
      </c>
      <c r="U305" t="s">
        <v>3290</v>
      </c>
      <c r="V305" t="s">
        <v>350</v>
      </c>
      <c r="X305" t="s">
        <v>1645</v>
      </c>
    </row>
    <row r="306" spans="1:24" ht="12.75">
      <c r="A306" s="1" t="str">
        <f>HYPERLINK("http://www.ofsted.gov.uk/inspection-reports/find-inspection-report/provider/ELS/53446","Ofsted FES Webpage")</f>
        <v>Ofsted FES Webpage</v>
      </c>
      <c r="B306" t="s">
        <v>470</v>
      </c>
      <c r="C306">
        <v>53446</v>
      </c>
      <c r="D306">
        <v>107765</v>
      </c>
      <c r="E306" t="s">
        <v>350</v>
      </c>
      <c r="F306" t="s">
        <v>43</v>
      </c>
      <c r="G306" t="s">
        <v>17</v>
      </c>
      <c r="H306" s="2">
        <v>39037</v>
      </c>
      <c r="I306" s="2">
        <v>39037</v>
      </c>
      <c r="J306" t="s">
        <v>100</v>
      </c>
      <c r="K306" s="2">
        <v>39073</v>
      </c>
      <c r="L306" t="s">
        <v>102</v>
      </c>
      <c r="M306">
        <v>307164</v>
      </c>
      <c r="N306">
        <v>3</v>
      </c>
      <c r="O306">
        <v>3</v>
      </c>
      <c r="P306" t="s">
        <v>20</v>
      </c>
      <c r="Q306" t="s">
        <v>20</v>
      </c>
      <c r="R306">
        <v>13</v>
      </c>
      <c r="S306" t="s">
        <v>2910</v>
      </c>
      <c r="T306" t="s">
        <v>3291</v>
      </c>
      <c r="U306" t="s">
        <v>2381</v>
      </c>
      <c r="V306" t="s">
        <v>350</v>
      </c>
      <c r="X306" t="s">
        <v>1646</v>
      </c>
    </row>
    <row r="307" spans="1:24" ht="12.75">
      <c r="A307" s="1" t="str">
        <f>HYPERLINK("http://www.ofsted.gov.uk/inspection-reports/find-inspection-report/provider/ELS/53451","Ofsted FES Webpage")</f>
        <v>Ofsted FES Webpage</v>
      </c>
      <c r="B307" t="s">
        <v>471</v>
      </c>
      <c r="C307">
        <v>53451</v>
      </c>
      <c r="D307">
        <v>107164</v>
      </c>
      <c r="E307" t="s">
        <v>137</v>
      </c>
      <c r="F307" t="s">
        <v>26</v>
      </c>
      <c r="G307" t="s">
        <v>17</v>
      </c>
      <c r="H307" s="2">
        <v>40071</v>
      </c>
      <c r="I307" s="2">
        <v>40074</v>
      </c>
      <c r="J307" t="s">
        <v>18</v>
      </c>
      <c r="K307" s="2">
        <v>40137.13550575232</v>
      </c>
      <c r="L307" t="s">
        <v>19</v>
      </c>
      <c r="M307">
        <v>343430</v>
      </c>
      <c r="N307">
        <v>2</v>
      </c>
      <c r="O307">
        <v>2</v>
      </c>
      <c r="P307" t="s">
        <v>20</v>
      </c>
      <c r="Q307" t="s">
        <v>20</v>
      </c>
      <c r="R307">
        <v>317</v>
      </c>
      <c r="T307" t="s">
        <v>3292</v>
      </c>
      <c r="W307" t="s">
        <v>2495</v>
      </c>
      <c r="X307" t="s">
        <v>1647</v>
      </c>
    </row>
    <row r="308" spans="1:24" ht="12.75">
      <c r="A308" s="1" t="str">
        <f>HYPERLINK("http://www.ofsted.gov.uk/inspection-reports/find-inspection-report/provider/ELS/53454","Ofsted FES Webpage")</f>
        <v>Ofsted FES Webpage</v>
      </c>
      <c r="B308" t="s">
        <v>472</v>
      </c>
      <c r="C308">
        <v>53454</v>
      </c>
      <c r="D308">
        <v>114831</v>
      </c>
      <c r="E308" t="s">
        <v>350</v>
      </c>
      <c r="F308" t="s">
        <v>43</v>
      </c>
      <c r="G308" t="s">
        <v>473</v>
      </c>
      <c r="H308" s="2">
        <v>41660</v>
      </c>
      <c r="I308" s="2">
        <v>41663</v>
      </c>
      <c r="J308" t="s">
        <v>27</v>
      </c>
      <c r="K308" s="2">
        <v>41698.13547835648</v>
      </c>
      <c r="L308" t="s">
        <v>474</v>
      </c>
      <c r="M308">
        <v>429197</v>
      </c>
      <c r="N308">
        <v>2</v>
      </c>
      <c r="O308">
        <v>2</v>
      </c>
      <c r="P308">
        <v>3</v>
      </c>
      <c r="Q308">
        <v>3</v>
      </c>
      <c r="R308">
        <v>114</v>
      </c>
      <c r="S308" t="s">
        <v>3293</v>
      </c>
      <c r="T308" t="s">
        <v>3294</v>
      </c>
      <c r="X308" t="s">
        <v>1648</v>
      </c>
    </row>
    <row r="309" spans="1:24" ht="12.75">
      <c r="A309" s="1" t="str">
        <f>HYPERLINK("http://www.ofsted.gov.uk/inspection-reports/find-inspection-report/provider/ELS/53457","Ofsted FES Webpage")</f>
        <v>Ofsted FES Webpage</v>
      </c>
      <c r="B309" t="s">
        <v>476</v>
      </c>
      <c r="C309">
        <v>53457</v>
      </c>
      <c r="D309">
        <v>108663</v>
      </c>
      <c r="E309" t="s">
        <v>51</v>
      </c>
      <c r="F309" t="s">
        <v>16</v>
      </c>
      <c r="G309" t="s">
        <v>160</v>
      </c>
      <c r="H309" s="2">
        <v>40197</v>
      </c>
      <c r="I309" s="2">
        <v>40200</v>
      </c>
      <c r="J309" t="s">
        <v>18</v>
      </c>
      <c r="K309" s="2">
        <v>40235.135556712965</v>
      </c>
      <c r="L309" t="s">
        <v>29</v>
      </c>
      <c r="M309">
        <v>345454</v>
      </c>
      <c r="N309">
        <v>1</v>
      </c>
      <c r="O309">
        <v>1</v>
      </c>
      <c r="P309">
        <v>1</v>
      </c>
      <c r="Q309">
        <v>1</v>
      </c>
      <c r="R309">
        <v>143</v>
      </c>
      <c r="S309" t="s">
        <v>3295</v>
      </c>
      <c r="T309" t="s">
        <v>3296</v>
      </c>
      <c r="U309" t="s">
        <v>3053</v>
      </c>
      <c r="V309" t="s">
        <v>2889</v>
      </c>
      <c r="X309" t="s">
        <v>1649</v>
      </c>
    </row>
    <row r="310" spans="1:24" ht="12.75">
      <c r="A310" s="1" t="str">
        <f>HYPERLINK("http://www.ofsted.gov.uk/inspection-reports/find-inspection-report/provider/ELS/53465","Ofsted FES Webpage")</f>
        <v>Ofsted FES Webpage</v>
      </c>
      <c r="B310" t="s">
        <v>477</v>
      </c>
      <c r="C310">
        <v>53465</v>
      </c>
      <c r="D310">
        <v>106927</v>
      </c>
      <c r="E310" t="s">
        <v>126</v>
      </c>
      <c r="F310" t="s">
        <v>68</v>
      </c>
      <c r="G310" t="s">
        <v>160</v>
      </c>
      <c r="H310" s="2">
        <v>40190</v>
      </c>
      <c r="I310" s="2">
        <v>40193</v>
      </c>
      <c r="J310" t="s">
        <v>18</v>
      </c>
      <c r="K310" s="2">
        <v>40234.13555960648</v>
      </c>
      <c r="L310" t="s">
        <v>19</v>
      </c>
      <c r="M310">
        <v>345356</v>
      </c>
      <c r="N310">
        <v>2</v>
      </c>
      <c r="O310">
        <v>2</v>
      </c>
      <c r="P310" t="s">
        <v>20</v>
      </c>
      <c r="Q310" t="s">
        <v>20</v>
      </c>
      <c r="R310">
        <v>53</v>
      </c>
      <c r="S310" t="s">
        <v>3006</v>
      </c>
      <c r="T310" t="s">
        <v>3298</v>
      </c>
      <c r="U310" t="s">
        <v>126</v>
      </c>
      <c r="X310" t="s">
        <v>1650</v>
      </c>
    </row>
    <row r="311" spans="1:24" ht="12.75">
      <c r="A311" s="1" t="str">
        <f>HYPERLINK("http://www.ofsted.gov.uk/inspection-reports/find-inspection-report/provider/ELS/53477","Ofsted FES Webpage")</f>
        <v>Ofsted FES Webpage</v>
      </c>
      <c r="B311" t="s">
        <v>478</v>
      </c>
      <c r="C311">
        <v>53477</v>
      </c>
      <c r="D311">
        <v>117951</v>
      </c>
      <c r="E311" t="s">
        <v>59</v>
      </c>
      <c r="F311" t="s">
        <v>43</v>
      </c>
      <c r="G311" t="s">
        <v>160</v>
      </c>
      <c r="H311" s="2">
        <v>41288</v>
      </c>
      <c r="I311" s="2">
        <v>41292</v>
      </c>
      <c r="J311" t="s">
        <v>32</v>
      </c>
      <c r="K311" s="2">
        <v>41327.13562149306</v>
      </c>
      <c r="L311" t="s">
        <v>29</v>
      </c>
      <c r="M311">
        <v>410638</v>
      </c>
      <c r="N311">
        <v>2</v>
      </c>
      <c r="O311">
        <v>2</v>
      </c>
      <c r="P311">
        <v>2</v>
      </c>
      <c r="Q311">
        <v>2</v>
      </c>
      <c r="R311">
        <v>744</v>
      </c>
      <c r="S311" t="s">
        <v>3299</v>
      </c>
      <c r="T311" t="s">
        <v>3300</v>
      </c>
      <c r="U311" t="s">
        <v>2846</v>
      </c>
      <c r="X311" t="s">
        <v>1651</v>
      </c>
    </row>
    <row r="312" spans="1:24" ht="12.75">
      <c r="A312" s="1" t="str">
        <f>HYPERLINK("http://www.ofsted.gov.uk/inspection-reports/find-inspection-report/provider/ELS/53504","Ofsted FES Webpage")</f>
        <v>Ofsted FES Webpage</v>
      </c>
      <c r="B312" t="s">
        <v>479</v>
      </c>
      <c r="C312">
        <v>53504</v>
      </c>
      <c r="D312">
        <v>108039</v>
      </c>
      <c r="E312" t="s">
        <v>166</v>
      </c>
      <c r="F312" t="s">
        <v>26</v>
      </c>
      <c r="G312" t="s">
        <v>40</v>
      </c>
      <c r="H312" s="2">
        <v>41778</v>
      </c>
      <c r="I312" s="2">
        <v>41782</v>
      </c>
      <c r="J312" t="s">
        <v>27</v>
      </c>
      <c r="K312" s="2">
        <v>41815.13549270833</v>
      </c>
      <c r="L312" t="s">
        <v>83</v>
      </c>
      <c r="M312">
        <v>434070</v>
      </c>
      <c r="N312">
        <v>2</v>
      </c>
      <c r="O312">
        <v>2</v>
      </c>
      <c r="P312">
        <v>2</v>
      </c>
      <c r="Q312">
        <v>2</v>
      </c>
      <c r="R312">
        <v>6968</v>
      </c>
      <c r="S312" t="s">
        <v>3304</v>
      </c>
      <c r="T312" t="s">
        <v>3305</v>
      </c>
      <c r="W312" t="s">
        <v>2648</v>
      </c>
      <c r="X312" t="s">
        <v>1654</v>
      </c>
    </row>
    <row r="313" spans="1:24" ht="12.75">
      <c r="A313" s="1" t="str">
        <f>HYPERLINK("http://www.ofsted.gov.uk/inspection-reports/find-inspection-report/provider/ELS/53508","Ofsted FES Webpage")</f>
        <v>Ofsted FES Webpage</v>
      </c>
      <c r="B313" t="s">
        <v>480</v>
      </c>
      <c r="C313">
        <v>53508</v>
      </c>
      <c r="D313">
        <v>108035</v>
      </c>
      <c r="E313" t="s">
        <v>207</v>
      </c>
      <c r="F313" t="s">
        <v>35</v>
      </c>
      <c r="G313" t="s">
        <v>40</v>
      </c>
      <c r="H313" s="2">
        <v>41318</v>
      </c>
      <c r="I313" s="2">
        <v>41320</v>
      </c>
      <c r="J313" t="s">
        <v>32</v>
      </c>
      <c r="K313" s="2">
        <v>41355.13565694445</v>
      </c>
      <c r="L313" t="s">
        <v>45</v>
      </c>
      <c r="M313">
        <v>404219</v>
      </c>
      <c r="N313">
        <v>2</v>
      </c>
      <c r="O313">
        <v>1</v>
      </c>
      <c r="P313">
        <v>3</v>
      </c>
      <c r="Q313">
        <v>2</v>
      </c>
      <c r="R313">
        <v>360</v>
      </c>
      <c r="S313" t="s">
        <v>3306</v>
      </c>
      <c r="T313" t="s">
        <v>3307</v>
      </c>
      <c r="W313" t="s">
        <v>35</v>
      </c>
      <c r="X313" t="s">
        <v>1655</v>
      </c>
    </row>
    <row r="314" spans="1:24" ht="12.75">
      <c r="A314" s="1" t="str">
        <f>HYPERLINK("http://www.ofsted.gov.uk/inspection-reports/find-inspection-report/provider/ELS/53534","Ofsted FES Webpage")</f>
        <v>Ofsted FES Webpage</v>
      </c>
      <c r="B314" t="s">
        <v>481</v>
      </c>
      <c r="C314">
        <v>53534</v>
      </c>
      <c r="D314">
        <v>106968</v>
      </c>
      <c r="E314" t="s">
        <v>89</v>
      </c>
      <c r="F314" t="s">
        <v>16</v>
      </c>
      <c r="G314" t="s">
        <v>17</v>
      </c>
      <c r="H314" s="2">
        <v>41254</v>
      </c>
      <c r="I314" s="2">
        <v>41257</v>
      </c>
      <c r="J314" t="s">
        <v>32</v>
      </c>
      <c r="K314" s="2">
        <v>41297.13548452546</v>
      </c>
      <c r="L314" t="s">
        <v>29</v>
      </c>
      <c r="M314">
        <v>399109</v>
      </c>
      <c r="N314">
        <v>2</v>
      </c>
      <c r="O314">
        <v>2</v>
      </c>
      <c r="P314">
        <v>2</v>
      </c>
      <c r="Q314">
        <v>2</v>
      </c>
      <c r="R314">
        <v>497</v>
      </c>
      <c r="S314" t="s">
        <v>3308</v>
      </c>
      <c r="T314" t="s">
        <v>3309</v>
      </c>
      <c r="U314" t="s">
        <v>3310</v>
      </c>
      <c r="W314" t="s">
        <v>3311</v>
      </c>
      <c r="X314" t="s">
        <v>1656</v>
      </c>
    </row>
    <row r="315" spans="1:24" ht="12.75">
      <c r="A315" s="1" t="str">
        <f>HYPERLINK("http://www.ofsted.gov.uk/inspection-reports/find-inspection-report/provider/ELS/53535","Ofsted FES Webpage")</f>
        <v>Ofsted FES Webpage</v>
      </c>
      <c r="B315" t="s">
        <v>482</v>
      </c>
      <c r="C315">
        <v>53535</v>
      </c>
      <c r="D315">
        <v>109052</v>
      </c>
      <c r="E315" t="s">
        <v>22</v>
      </c>
      <c r="F315" t="s">
        <v>16</v>
      </c>
      <c r="G315" t="s">
        <v>40</v>
      </c>
      <c r="H315" s="2">
        <v>41771</v>
      </c>
      <c r="I315" s="2">
        <v>41775</v>
      </c>
      <c r="J315" t="s">
        <v>27</v>
      </c>
      <c r="K315" s="2">
        <v>41807.13544795139</v>
      </c>
      <c r="L315" t="s">
        <v>60</v>
      </c>
      <c r="M315">
        <v>429263</v>
      </c>
      <c r="N315">
        <v>2</v>
      </c>
      <c r="O315">
        <v>2</v>
      </c>
      <c r="P315">
        <v>3</v>
      </c>
      <c r="Q315">
        <v>3</v>
      </c>
      <c r="R315">
        <v>465</v>
      </c>
      <c r="S315" t="s">
        <v>3312</v>
      </c>
      <c r="T315" t="s">
        <v>2560</v>
      </c>
      <c r="U315" t="s">
        <v>3313</v>
      </c>
      <c r="W315" t="s">
        <v>2443</v>
      </c>
      <c r="X315" t="s">
        <v>1657</v>
      </c>
    </row>
    <row r="316" spans="1:24" ht="12.75">
      <c r="A316" s="1" t="str">
        <f>HYPERLINK("http://www.ofsted.gov.uk/inspection-reports/find-inspection-report/provider/ELS/53545","Ofsted FES Webpage")</f>
        <v>Ofsted FES Webpage</v>
      </c>
      <c r="B316" t="s">
        <v>483</v>
      </c>
      <c r="C316">
        <v>53545</v>
      </c>
      <c r="D316">
        <v>108038</v>
      </c>
      <c r="E316" t="s">
        <v>38</v>
      </c>
      <c r="F316" t="s">
        <v>39</v>
      </c>
      <c r="G316" t="s">
        <v>40</v>
      </c>
      <c r="H316" s="2">
        <v>40868</v>
      </c>
      <c r="I316" s="2">
        <v>40872</v>
      </c>
      <c r="J316" t="s">
        <v>23</v>
      </c>
      <c r="K316" s="2">
        <v>40912.135464467596</v>
      </c>
      <c r="L316" t="s">
        <v>45</v>
      </c>
      <c r="M316">
        <v>375495</v>
      </c>
      <c r="N316">
        <v>2</v>
      </c>
      <c r="O316">
        <v>2</v>
      </c>
      <c r="P316">
        <v>2</v>
      </c>
      <c r="Q316">
        <v>2</v>
      </c>
      <c r="R316">
        <v>14004</v>
      </c>
      <c r="S316" t="s">
        <v>3314</v>
      </c>
      <c r="T316" t="s">
        <v>3315</v>
      </c>
      <c r="U316" t="s">
        <v>2424</v>
      </c>
      <c r="V316" t="s">
        <v>38</v>
      </c>
      <c r="X316" t="s">
        <v>1658</v>
      </c>
    </row>
    <row r="317" spans="1:24" ht="12.75">
      <c r="A317" s="1" t="str">
        <f>HYPERLINK("http://www.ofsted.gov.uk/inspection-reports/find-inspection-report/provider/ELS/53550","Ofsted FES Webpage")</f>
        <v>Ofsted FES Webpage</v>
      </c>
      <c r="B317" t="s">
        <v>484</v>
      </c>
      <c r="C317">
        <v>53550</v>
      </c>
      <c r="D317">
        <v>106952</v>
      </c>
      <c r="E317" t="s">
        <v>38</v>
      </c>
      <c r="F317" t="s">
        <v>39</v>
      </c>
      <c r="G317" t="s">
        <v>17</v>
      </c>
      <c r="H317" s="2">
        <v>40757</v>
      </c>
      <c r="I317" s="2">
        <v>40760</v>
      </c>
      <c r="J317" t="s">
        <v>56</v>
      </c>
      <c r="K317" s="2">
        <v>40798.13545223379</v>
      </c>
      <c r="L317" t="s">
        <v>19</v>
      </c>
      <c r="M317">
        <v>366019</v>
      </c>
      <c r="N317">
        <v>2</v>
      </c>
      <c r="O317">
        <v>3</v>
      </c>
      <c r="P317">
        <v>2</v>
      </c>
      <c r="Q317">
        <v>2</v>
      </c>
      <c r="R317">
        <v>1186</v>
      </c>
      <c r="S317" t="s">
        <v>3317</v>
      </c>
      <c r="T317" t="s">
        <v>3318</v>
      </c>
      <c r="W317" t="s">
        <v>2424</v>
      </c>
      <c r="X317" t="s">
        <v>1659</v>
      </c>
    </row>
    <row r="318" spans="1:24" ht="12.75">
      <c r="A318" s="1" t="str">
        <f>HYPERLINK("http://www.ofsted.gov.uk/inspection-reports/find-inspection-report/provider/ELS/53565","Ofsted FES Webpage")</f>
        <v>Ofsted FES Webpage</v>
      </c>
      <c r="B318" t="s">
        <v>485</v>
      </c>
      <c r="C318">
        <v>53565</v>
      </c>
      <c r="D318">
        <v>116072</v>
      </c>
      <c r="E318" t="s">
        <v>268</v>
      </c>
      <c r="F318" t="s">
        <v>63</v>
      </c>
      <c r="G318" t="s">
        <v>40</v>
      </c>
      <c r="H318" s="2">
        <v>41687</v>
      </c>
      <c r="I318" s="2">
        <v>41691</v>
      </c>
      <c r="J318" t="s">
        <v>27</v>
      </c>
      <c r="K318" s="2">
        <v>41726.13548379629</v>
      </c>
      <c r="L318" t="s">
        <v>36</v>
      </c>
      <c r="M318">
        <v>429122</v>
      </c>
      <c r="N318">
        <v>3</v>
      </c>
      <c r="O318">
        <v>3</v>
      </c>
      <c r="P318">
        <v>3</v>
      </c>
      <c r="Q318">
        <v>3</v>
      </c>
      <c r="R318">
        <v>608</v>
      </c>
      <c r="S318" t="s">
        <v>3320</v>
      </c>
      <c r="T318" t="s">
        <v>2616</v>
      </c>
      <c r="U318" t="s">
        <v>3321</v>
      </c>
      <c r="X318" t="s">
        <v>1660</v>
      </c>
    </row>
    <row r="319" spans="1:24" ht="12.75">
      <c r="A319" s="1" t="str">
        <f>HYPERLINK("http://www.ofsted.gov.uk/inspection-reports/find-inspection-report/provider/ELS/53569","Ofsted FES Webpage")</f>
        <v>Ofsted FES Webpage</v>
      </c>
      <c r="B319" t="s">
        <v>486</v>
      </c>
      <c r="C319">
        <v>53569</v>
      </c>
      <c r="D319">
        <v>109600</v>
      </c>
      <c r="E319" t="s">
        <v>114</v>
      </c>
      <c r="F319" t="s">
        <v>26</v>
      </c>
      <c r="G319" t="s">
        <v>17</v>
      </c>
      <c r="H319" s="2">
        <v>40070</v>
      </c>
      <c r="I319" s="2">
        <v>40074</v>
      </c>
      <c r="J319" t="s">
        <v>18</v>
      </c>
      <c r="K319" s="2">
        <v>40155.13549988426</v>
      </c>
      <c r="L319" t="s">
        <v>19</v>
      </c>
      <c r="M319">
        <v>342653</v>
      </c>
      <c r="N319">
        <v>2</v>
      </c>
      <c r="O319">
        <v>2</v>
      </c>
      <c r="P319" t="s">
        <v>20</v>
      </c>
      <c r="Q319" t="s">
        <v>20</v>
      </c>
      <c r="R319">
        <v>2555</v>
      </c>
      <c r="S319" t="s">
        <v>3322</v>
      </c>
      <c r="T319" t="s">
        <v>3323</v>
      </c>
      <c r="W319" t="s">
        <v>114</v>
      </c>
      <c r="X319" t="s">
        <v>1661</v>
      </c>
    </row>
    <row r="320" spans="1:24" ht="12.75">
      <c r="A320" s="1" t="str">
        <f>HYPERLINK("http://www.ofsted.gov.uk/inspection-reports/find-inspection-report/provider/ELS/53574","Ofsted FES Webpage")</f>
        <v>Ofsted FES Webpage</v>
      </c>
      <c r="B320" t="s">
        <v>487</v>
      </c>
      <c r="C320">
        <v>53574</v>
      </c>
      <c r="D320">
        <v>106183</v>
      </c>
      <c r="E320" t="s">
        <v>146</v>
      </c>
      <c r="F320" t="s">
        <v>26</v>
      </c>
      <c r="G320" t="s">
        <v>17</v>
      </c>
      <c r="H320" s="2">
        <v>41814</v>
      </c>
      <c r="I320" s="2">
        <v>41817</v>
      </c>
      <c r="J320" t="s">
        <v>27</v>
      </c>
      <c r="K320" s="2">
        <v>41850.13545439815</v>
      </c>
      <c r="L320" t="s">
        <v>60</v>
      </c>
      <c r="M320">
        <v>429225</v>
      </c>
      <c r="N320">
        <v>2</v>
      </c>
      <c r="O320">
        <v>2</v>
      </c>
      <c r="P320">
        <v>3</v>
      </c>
      <c r="Q320">
        <v>3</v>
      </c>
      <c r="R320">
        <v>405</v>
      </c>
      <c r="S320" t="s">
        <v>2597</v>
      </c>
      <c r="T320" t="s">
        <v>2598</v>
      </c>
      <c r="U320" t="s">
        <v>146</v>
      </c>
      <c r="X320" t="s">
        <v>1381</v>
      </c>
    </row>
    <row r="321" spans="1:24" ht="12.75">
      <c r="A321" s="1" t="str">
        <f>HYPERLINK("http://www.ofsted.gov.uk/inspection-reports/find-inspection-report/provider/ELS/53575","Ofsted FES Webpage")</f>
        <v>Ofsted FES Webpage</v>
      </c>
      <c r="B321" t="s">
        <v>488</v>
      </c>
      <c r="C321">
        <v>53575</v>
      </c>
      <c r="D321">
        <v>108070</v>
      </c>
      <c r="E321" t="s">
        <v>489</v>
      </c>
      <c r="F321" t="s">
        <v>26</v>
      </c>
      <c r="G321" t="s">
        <v>40</v>
      </c>
      <c r="H321" s="2">
        <v>41695</v>
      </c>
      <c r="I321" s="2">
        <v>41698</v>
      </c>
      <c r="J321" t="s">
        <v>27</v>
      </c>
      <c r="K321" s="2">
        <v>41731.135492824076</v>
      </c>
      <c r="L321" t="s">
        <v>45</v>
      </c>
      <c r="M321">
        <v>429149</v>
      </c>
      <c r="N321">
        <v>3</v>
      </c>
      <c r="O321">
        <v>3</v>
      </c>
      <c r="P321">
        <v>2</v>
      </c>
      <c r="Q321">
        <v>2</v>
      </c>
      <c r="R321">
        <v>2421</v>
      </c>
      <c r="S321" t="s">
        <v>3324</v>
      </c>
      <c r="T321" t="s">
        <v>3325</v>
      </c>
      <c r="U321" t="s">
        <v>2467</v>
      </c>
      <c r="X321" t="s">
        <v>1662</v>
      </c>
    </row>
    <row r="322" spans="1:24" ht="12.75">
      <c r="A322" s="1" t="str">
        <f>HYPERLINK("http://www.ofsted.gov.uk/inspection-reports/find-inspection-report/provider/ELS/53588","Ofsted FES Webpage")</f>
        <v>Ofsted FES Webpage</v>
      </c>
      <c r="B322" t="s">
        <v>490</v>
      </c>
      <c r="C322">
        <v>53588</v>
      </c>
      <c r="D322">
        <v>105819</v>
      </c>
      <c r="E322" t="s">
        <v>170</v>
      </c>
      <c r="F322" t="s">
        <v>68</v>
      </c>
      <c r="G322" t="s">
        <v>17</v>
      </c>
      <c r="H322" s="2">
        <v>41113</v>
      </c>
      <c r="I322" s="2">
        <v>41117</v>
      </c>
      <c r="J322" t="s">
        <v>23</v>
      </c>
      <c r="K322" s="2">
        <v>41145.135457488424</v>
      </c>
      <c r="L322" t="s">
        <v>29</v>
      </c>
      <c r="M322">
        <v>388121</v>
      </c>
      <c r="N322">
        <v>2</v>
      </c>
      <c r="O322">
        <v>2</v>
      </c>
      <c r="P322">
        <v>2</v>
      </c>
      <c r="Q322">
        <v>2</v>
      </c>
      <c r="R322">
        <v>6244</v>
      </c>
      <c r="S322" t="s">
        <v>3327</v>
      </c>
      <c r="T322" t="s">
        <v>3328</v>
      </c>
      <c r="W322" t="s">
        <v>2901</v>
      </c>
      <c r="X322" t="s">
        <v>1663</v>
      </c>
    </row>
    <row r="323" spans="1:24" ht="12.75">
      <c r="A323" s="1" t="str">
        <f>HYPERLINK("http://www.ofsted.gov.uk/inspection-reports/find-inspection-report/provider/ELS/53589","Ofsted FES Webpage")</f>
        <v>Ofsted FES Webpage</v>
      </c>
      <c r="B323" t="s">
        <v>491</v>
      </c>
      <c r="C323">
        <v>53589</v>
      </c>
      <c r="D323">
        <v>108071</v>
      </c>
      <c r="E323" t="s">
        <v>492</v>
      </c>
      <c r="F323" t="s">
        <v>26</v>
      </c>
      <c r="G323" t="s">
        <v>40</v>
      </c>
      <c r="H323" s="2">
        <v>41352</v>
      </c>
      <c r="I323" s="2">
        <v>41355</v>
      </c>
      <c r="J323" t="s">
        <v>32</v>
      </c>
      <c r="K323" s="2">
        <v>41382.135787962965</v>
      </c>
      <c r="L323" t="s">
        <v>45</v>
      </c>
      <c r="M323">
        <v>408464</v>
      </c>
      <c r="N323">
        <v>2</v>
      </c>
      <c r="O323">
        <v>2</v>
      </c>
      <c r="P323">
        <v>3</v>
      </c>
      <c r="Q323">
        <v>3</v>
      </c>
      <c r="R323">
        <v>1763</v>
      </c>
      <c r="S323" t="s">
        <v>3329</v>
      </c>
      <c r="T323" t="s">
        <v>3330</v>
      </c>
      <c r="U323" t="s">
        <v>2508</v>
      </c>
      <c r="W323" t="s">
        <v>492</v>
      </c>
      <c r="X323" t="s">
        <v>1664</v>
      </c>
    </row>
    <row r="324" spans="1:24" ht="12.75">
      <c r="A324" s="1" t="str">
        <f>HYPERLINK("http://www.ofsted.gov.uk/inspection-reports/find-inspection-report/provider/ELS/53603","Ofsted FES Webpage")</f>
        <v>Ofsted FES Webpage</v>
      </c>
      <c r="B324" t="s">
        <v>493</v>
      </c>
      <c r="C324">
        <v>53603</v>
      </c>
      <c r="D324">
        <v>107970</v>
      </c>
      <c r="E324" t="s">
        <v>172</v>
      </c>
      <c r="F324" t="s">
        <v>26</v>
      </c>
      <c r="G324" t="s">
        <v>40</v>
      </c>
      <c r="H324" s="2">
        <v>41407</v>
      </c>
      <c r="I324" s="2">
        <v>41411</v>
      </c>
      <c r="J324" t="s">
        <v>32</v>
      </c>
      <c r="K324" s="2">
        <v>41445.13545818287</v>
      </c>
      <c r="L324" t="s">
        <v>29</v>
      </c>
      <c r="M324">
        <v>408506</v>
      </c>
      <c r="N324">
        <v>2</v>
      </c>
      <c r="O324">
        <v>2</v>
      </c>
      <c r="P324">
        <v>2</v>
      </c>
      <c r="Q324">
        <v>2</v>
      </c>
      <c r="R324">
        <v>4283</v>
      </c>
      <c r="S324" t="s">
        <v>3331</v>
      </c>
      <c r="T324" t="s">
        <v>3332</v>
      </c>
      <c r="U324" t="s">
        <v>3333</v>
      </c>
      <c r="V324" t="s">
        <v>172</v>
      </c>
      <c r="X324" t="s">
        <v>1665</v>
      </c>
    </row>
    <row r="325" spans="1:24" ht="12.75">
      <c r="A325" s="1" t="str">
        <f>HYPERLINK("http://www.ofsted.gov.uk/inspection-reports/find-inspection-report/provider/ELS/53611","Ofsted FES Webpage")</f>
        <v>Ofsted FES Webpage</v>
      </c>
      <c r="B325" t="s">
        <v>494</v>
      </c>
      <c r="C325">
        <v>53611</v>
      </c>
      <c r="D325">
        <v>107804</v>
      </c>
      <c r="E325" t="s">
        <v>67</v>
      </c>
      <c r="F325" t="s">
        <v>68</v>
      </c>
      <c r="G325" t="s">
        <v>17</v>
      </c>
      <c r="H325" s="2">
        <v>41428</v>
      </c>
      <c r="I325" s="2">
        <v>41432</v>
      </c>
      <c r="J325" t="s">
        <v>32</v>
      </c>
      <c r="K325" s="2">
        <v>41463.13549259259</v>
      </c>
      <c r="L325" t="s">
        <v>36</v>
      </c>
      <c r="M325">
        <v>410687</v>
      </c>
      <c r="N325">
        <v>2</v>
      </c>
      <c r="O325">
        <v>2</v>
      </c>
      <c r="P325">
        <v>3</v>
      </c>
      <c r="Q325">
        <v>3</v>
      </c>
      <c r="R325">
        <v>512</v>
      </c>
      <c r="S325" t="s">
        <v>3334</v>
      </c>
      <c r="T325" t="s">
        <v>3335</v>
      </c>
      <c r="W325" t="s">
        <v>67</v>
      </c>
      <c r="X325" t="s">
        <v>1666</v>
      </c>
    </row>
    <row r="326" spans="1:24" ht="12.75">
      <c r="A326" s="1" t="str">
        <f>HYPERLINK("http://www.ofsted.gov.uk/inspection-reports/find-inspection-report/provider/ELS/53615","Ofsted FES Webpage")</f>
        <v>Ofsted FES Webpage</v>
      </c>
      <c r="B326" t="s">
        <v>495</v>
      </c>
      <c r="C326">
        <v>53615</v>
      </c>
      <c r="D326">
        <v>105892</v>
      </c>
      <c r="E326" t="s">
        <v>157</v>
      </c>
      <c r="F326" t="s">
        <v>68</v>
      </c>
      <c r="G326" t="s">
        <v>40</v>
      </c>
      <c r="H326" s="2">
        <v>41589</v>
      </c>
      <c r="I326" s="2">
        <v>41593</v>
      </c>
      <c r="J326" t="s">
        <v>27</v>
      </c>
      <c r="K326" s="2">
        <v>41626.13544675926</v>
      </c>
      <c r="L326" t="s">
        <v>28</v>
      </c>
      <c r="M326">
        <v>410920</v>
      </c>
      <c r="N326">
        <v>3</v>
      </c>
      <c r="O326">
        <v>3</v>
      </c>
      <c r="P326">
        <v>4</v>
      </c>
      <c r="Q326">
        <v>4</v>
      </c>
      <c r="R326">
        <v>1103</v>
      </c>
      <c r="T326" t="s">
        <v>3336</v>
      </c>
      <c r="W326" t="s">
        <v>2983</v>
      </c>
      <c r="X326" t="s">
        <v>1667</v>
      </c>
    </row>
    <row r="327" spans="1:24" ht="12.75">
      <c r="A327" s="1" t="str">
        <f>HYPERLINK("http://www.ofsted.gov.uk/inspection-reports/find-inspection-report/provider/ELS/53644","Ofsted FES Webpage")</f>
        <v>Ofsted FES Webpage</v>
      </c>
      <c r="B327" t="s">
        <v>496</v>
      </c>
      <c r="C327">
        <v>53644</v>
      </c>
      <c r="D327">
        <v>112727</v>
      </c>
      <c r="E327" t="s">
        <v>164</v>
      </c>
      <c r="F327" t="s">
        <v>26</v>
      </c>
      <c r="G327" t="s">
        <v>40</v>
      </c>
      <c r="H327" s="2">
        <v>41806</v>
      </c>
      <c r="I327" s="2">
        <v>41810</v>
      </c>
      <c r="J327" t="s">
        <v>27</v>
      </c>
      <c r="K327" s="2">
        <v>41843.13545760416</v>
      </c>
      <c r="L327" t="s">
        <v>45</v>
      </c>
      <c r="M327">
        <v>429150</v>
      </c>
      <c r="N327">
        <v>2</v>
      </c>
      <c r="O327">
        <v>1</v>
      </c>
      <c r="P327">
        <v>3</v>
      </c>
      <c r="Q327">
        <v>3</v>
      </c>
      <c r="R327">
        <v>4263</v>
      </c>
      <c r="S327" t="s">
        <v>2425</v>
      </c>
      <c r="T327" t="s">
        <v>3340</v>
      </c>
      <c r="U327" t="s">
        <v>2387</v>
      </c>
      <c r="W327" t="s">
        <v>164</v>
      </c>
      <c r="X327" t="s">
        <v>1669</v>
      </c>
    </row>
    <row r="328" spans="1:24" ht="12.75">
      <c r="A328" s="1" t="str">
        <f>HYPERLINK("http://www.ofsted.gov.uk/inspection-reports/find-inspection-report/provider/ELS/53664","Ofsted FES Webpage")</f>
        <v>Ofsted FES Webpage</v>
      </c>
      <c r="B328" t="s">
        <v>497</v>
      </c>
      <c r="C328">
        <v>53664</v>
      </c>
      <c r="D328">
        <v>116162</v>
      </c>
      <c r="E328" t="s">
        <v>15</v>
      </c>
      <c r="F328" t="s">
        <v>16</v>
      </c>
      <c r="G328" t="s">
        <v>40</v>
      </c>
      <c r="H328" s="2">
        <v>39776</v>
      </c>
      <c r="I328" s="2">
        <v>39780</v>
      </c>
      <c r="J328" t="s">
        <v>44</v>
      </c>
      <c r="K328" s="2">
        <v>39826.135572569445</v>
      </c>
      <c r="L328" t="s">
        <v>45</v>
      </c>
      <c r="M328">
        <v>329892</v>
      </c>
      <c r="N328">
        <v>2</v>
      </c>
      <c r="O328">
        <v>2</v>
      </c>
      <c r="P328">
        <v>3</v>
      </c>
      <c r="Q328">
        <v>3</v>
      </c>
      <c r="R328">
        <v>826</v>
      </c>
      <c r="S328" t="s">
        <v>3341</v>
      </c>
      <c r="T328" t="s">
        <v>3342</v>
      </c>
      <c r="W328" t="s">
        <v>15</v>
      </c>
      <c r="X328" t="s">
        <v>1670</v>
      </c>
    </row>
    <row r="329" spans="1:24" ht="12.75">
      <c r="A329" s="1" t="str">
        <f>HYPERLINK("http://www.ofsted.gov.uk/inspection-reports/find-inspection-report/provider/ELS/53671","Ofsted FES Webpage")</f>
        <v>Ofsted FES Webpage</v>
      </c>
      <c r="B329" t="s">
        <v>498</v>
      </c>
      <c r="C329">
        <v>53671</v>
      </c>
      <c r="D329">
        <v>108694</v>
      </c>
      <c r="E329" t="s">
        <v>15</v>
      </c>
      <c r="F329" t="s">
        <v>16</v>
      </c>
      <c r="G329" t="s">
        <v>17</v>
      </c>
      <c r="H329" s="2">
        <v>41681</v>
      </c>
      <c r="I329" s="2">
        <v>41684</v>
      </c>
      <c r="J329" t="s">
        <v>27</v>
      </c>
      <c r="K329" s="2">
        <v>41716.13547954861</v>
      </c>
      <c r="L329" t="s">
        <v>36</v>
      </c>
      <c r="M329">
        <v>429116</v>
      </c>
      <c r="N329">
        <v>3</v>
      </c>
      <c r="O329">
        <v>3</v>
      </c>
      <c r="P329">
        <v>3</v>
      </c>
      <c r="Q329">
        <v>3</v>
      </c>
      <c r="R329">
        <v>169</v>
      </c>
      <c r="T329" t="s">
        <v>3344</v>
      </c>
      <c r="U329" t="s">
        <v>3345</v>
      </c>
      <c r="W329" t="s">
        <v>15</v>
      </c>
      <c r="X329" t="s">
        <v>1671</v>
      </c>
    </row>
    <row r="330" spans="1:24" ht="12.75">
      <c r="A330" s="1" t="str">
        <f>HYPERLINK("http://www.ofsted.gov.uk/inspection-reports/find-inspection-report/provider/ELS/53674","Ofsted FES Webpage")</f>
        <v>Ofsted FES Webpage</v>
      </c>
      <c r="B330" t="s">
        <v>499</v>
      </c>
      <c r="C330">
        <v>53674</v>
      </c>
      <c r="D330">
        <v>107952</v>
      </c>
      <c r="E330" t="s">
        <v>51</v>
      </c>
      <c r="F330" t="s">
        <v>16</v>
      </c>
      <c r="G330" t="s">
        <v>40</v>
      </c>
      <c r="H330" s="2">
        <v>41225</v>
      </c>
      <c r="I330" s="2">
        <v>41229</v>
      </c>
      <c r="J330" t="s">
        <v>32</v>
      </c>
      <c r="K330" s="2">
        <v>41264.13552037037</v>
      </c>
      <c r="L330" t="s">
        <v>45</v>
      </c>
      <c r="M330">
        <v>399152</v>
      </c>
      <c r="N330">
        <v>2</v>
      </c>
      <c r="O330">
        <v>2</v>
      </c>
      <c r="P330">
        <v>2</v>
      </c>
      <c r="Q330">
        <v>2</v>
      </c>
      <c r="R330">
        <v>8441</v>
      </c>
      <c r="S330" t="s">
        <v>3346</v>
      </c>
      <c r="T330" t="s">
        <v>3347</v>
      </c>
      <c r="U330" t="s">
        <v>3348</v>
      </c>
      <c r="W330" t="s">
        <v>15</v>
      </c>
      <c r="X330" t="s">
        <v>1672</v>
      </c>
    </row>
    <row r="331" spans="1:24" ht="12.75">
      <c r="A331" s="1" t="str">
        <f>HYPERLINK("http://www.ofsted.gov.uk/inspection-reports/find-inspection-report/provider/ELS/53682","Ofsted FES Webpage")</f>
        <v>Ofsted FES Webpage</v>
      </c>
      <c r="B331" t="s">
        <v>500</v>
      </c>
      <c r="C331">
        <v>53682</v>
      </c>
      <c r="D331">
        <v>118847</v>
      </c>
      <c r="E331" t="s">
        <v>73</v>
      </c>
      <c r="F331" t="s">
        <v>49</v>
      </c>
      <c r="G331" t="s">
        <v>17</v>
      </c>
      <c r="H331" s="2">
        <v>41610</v>
      </c>
      <c r="I331" s="2">
        <v>41614</v>
      </c>
      <c r="J331" t="s">
        <v>27</v>
      </c>
      <c r="K331" s="2">
        <v>41654.13547966435</v>
      </c>
      <c r="L331" t="s">
        <v>36</v>
      </c>
      <c r="M331">
        <v>423811</v>
      </c>
      <c r="N331">
        <v>2</v>
      </c>
      <c r="O331">
        <v>2</v>
      </c>
      <c r="P331">
        <v>2</v>
      </c>
      <c r="Q331">
        <v>1</v>
      </c>
      <c r="R331">
        <v>1936</v>
      </c>
      <c r="T331" t="s">
        <v>3349</v>
      </c>
      <c r="W331" t="s">
        <v>2684</v>
      </c>
      <c r="X331" t="s">
        <v>1673</v>
      </c>
    </row>
    <row r="332" spans="1:24" ht="12.75">
      <c r="A332" s="1" t="str">
        <f>HYPERLINK("http://www.ofsted.gov.uk/inspection-reports/find-inspection-report/provider/ELS/53686","Ofsted FES Webpage")</f>
        <v>Ofsted FES Webpage</v>
      </c>
      <c r="B332" t="s">
        <v>501</v>
      </c>
      <c r="C332">
        <v>53686</v>
      </c>
      <c r="D332">
        <v>109244</v>
      </c>
      <c r="E332" t="s">
        <v>112</v>
      </c>
      <c r="F332" t="s">
        <v>49</v>
      </c>
      <c r="G332" t="s">
        <v>17</v>
      </c>
      <c r="H332" s="2">
        <v>39406</v>
      </c>
      <c r="I332" s="2">
        <v>39408</v>
      </c>
      <c r="J332" t="s">
        <v>154</v>
      </c>
      <c r="K332" s="2">
        <v>39461.13554174769</v>
      </c>
      <c r="L332" t="s">
        <v>19</v>
      </c>
      <c r="M332">
        <v>318267</v>
      </c>
      <c r="N332">
        <v>1</v>
      </c>
      <c r="O332">
        <v>1</v>
      </c>
      <c r="P332" t="s">
        <v>20</v>
      </c>
      <c r="Q332" t="s">
        <v>20</v>
      </c>
      <c r="R332">
        <v>196</v>
      </c>
      <c r="T332" t="s">
        <v>3350</v>
      </c>
      <c r="U332" t="s">
        <v>3351</v>
      </c>
      <c r="W332" t="s">
        <v>112</v>
      </c>
      <c r="X332" t="s">
        <v>1674</v>
      </c>
    </row>
    <row r="333" spans="1:24" ht="12.75">
      <c r="A333" s="1" t="str">
        <f>HYPERLINK("http://www.ofsted.gov.uk/inspection-reports/find-inspection-report/provider/ELS/53693","Ofsted FES Webpage")</f>
        <v>Ofsted FES Webpage</v>
      </c>
      <c r="B333" t="s">
        <v>502</v>
      </c>
      <c r="C333">
        <v>53693</v>
      </c>
      <c r="D333">
        <v>107679</v>
      </c>
      <c r="E333" t="s">
        <v>335</v>
      </c>
      <c r="F333" t="s">
        <v>49</v>
      </c>
      <c r="G333" t="s">
        <v>17</v>
      </c>
      <c r="H333" s="2">
        <v>41205</v>
      </c>
      <c r="I333" s="2">
        <v>41208</v>
      </c>
      <c r="J333" t="s">
        <v>32</v>
      </c>
      <c r="K333" s="2">
        <v>41243.135771099536</v>
      </c>
      <c r="L333" t="s">
        <v>36</v>
      </c>
      <c r="M333">
        <v>406792</v>
      </c>
      <c r="N333">
        <v>2</v>
      </c>
      <c r="O333">
        <v>2</v>
      </c>
      <c r="P333">
        <v>2</v>
      </c>
      <c r="Q333">
        <v>3</v>
      </c>
      <c r="R333">
        <v>56</v>
      </c>
      <c r="S333" t="s">
        <v>3355</v>
      </c>
      <c r="T333" t="s">
        <v>3356</v>
      </c>
      <c r="W333" t="s">
        <v>3357</v>
      </c>
      <c r="X333" t="s">
        <v>1676</v>
      </c>
    </row>
    <row r="334" spans="1:24" ht="12.75">
      <c r="A334" s="1" t="str">
        <f>HYPERLINK("http://www.ofsted.gov.uk/inspection-reports/find-inspection-report/provider/ELS/53697","Ofsted FES Webpage")</f>
        <v>Ofsted FES Webpage</v>
      </c>
      <c r="B334" t="s">
        <v>503</v>
      </c>
      <c r="C334">
        <v>53697</v>
      </c>
      <c r="D334">
        <v>107515</v>
      </c>
      <c r="E334" t="s">
        <v>197</v>
      </c>
      <c r="F334" t="s">
        <v>43</v>
      </c>
      <c r="G334" t="s">
        <v>17</v>
      </c>
      <c r="H334" s="2">
        <v>40715</v>
      </c>
      <c r="I334" s="2">
        <v>40718</v>
      </c>
      <c r="J334" t="s">
        <v>56</v>
      </c>
      <c r="K334" s="2">
        <v>40751.135456400465</v>
      </c>
      <c r="L334" t="s">
        <v>19</v>
      </c>
      <c r="M334">
        <v>382484</v>
      </c>
      <c r="N334">
        <v>2</v>
      </c>
      <c r="O334">
        <v>1</v>
      </c>
      <c r="P334">
        <v>2</v>
      </c>
      <c r="Q334">
        <v>2</v>
      </c>
      <c r="R334">
        <v>928</v>
      </c>
      <c r="S334" t="s">
        <v>3359</v>
      </c>
      <c r="T334" t="s">
        <v>3360</v>
      </c>
      <c r="U334" t="s">
        <v>3361</v>
      </c>
      <c r="V334" t="s">
        <v>2459</v>
      </c>
      <c r="W334" t="s">
        <v>53</v>
      </c>
      <c r="X334" t="s">
        <v>1677</v>
      </c>
    </row>
    <row r="335" spans="1:24" ht="12.75">
      <c r="A335" s="1" t="str">
        <f>HYPERLINK("http://www.ofsted.gov.uk/inspection-reports/find-inspection-report/provider/ELS/53705","Ofsted FES Webpage")</f>
        <v>Ofsted FES Webpage</v>
      </c>
      <c r="B335" t="s">
        <v>504</v>
      </c>
      <c r="C335">
        <v>53705</v>
      </c>
      <c r="D335">
        <v>106890</v>
      </c>
      <c r="E335" t="s">
        <v>67</v>
      </c>
      <c r="F335" t="s">
        <v>68</v>
      </c>
      <c r="G335" t="s">
        <v>17</v>
      </c>
      <c r="H335" s="2">
        <v>40995</v>
      </c>
      <c r="I335" s="2">
        <v>40998</v>
      </c>
      <c r="J335" t="s">
        <v>23</v>
      </c>
      <c r="K335" s="2">
        <v>41033.13551519676</v>
      </c>
      <c r="L335" t="s">
        <v>19</v>
      </c>
      <c r="M335">
        <v>385755</v>
      </c>
      <c r="N335">
        <v>2</v>
      </c>
      <c r="O335">
        <v>2</v>
      </c>
      <c r="P335">
        <v>2</v>
      </c>
      <c r="Q335">
        <v>2</v>
      </c>
      <c r="R335">
        <v>671</v>
      </c>
      <c r="S335" t="s">
        <v>3362</v>
      </c>
      <c r="T335" t="s">
        <v>3363</v>
      </c>
      <c r="W335" t="s">
        <v>67</v>
      </c>
      <c r="X335" t="s">
        <v>1678</v>
      </c>
    </row>
    <row r="336" spans="1:24" ht="12.75">
      <c r="A336" s="1" t="str">
        <f>HYPERLINK("http://www.ofsted.gov.uk/inspection-reports/find-inspection-report/provider/ELS/53721","Ofsted FES Webpage")</f>
        <v>Ofsted FES Webpage</v>
      </c>
      <c r="B336" t="s">
        <v>505</v>
      </c>
      <c r="C336">
        <v>53721</v>
      </c>
      <c r="D336">
        <v>107776</v>
      </c>
      <c r="E336" t="s">
        <v>450</v>
      </c>
      <c r="F336" t="s">
        <v>68</v>
      </c>
      <c r="G336" t="s">
        <v>40</v>
      </c>
      <c r="H336" s="2">
        <v>40819</v>
      </c>
      <c r="I336" s="2">
        <v>40822</v>
      </c>
      <c r="J336" t="s">
        <v>23</v>
      </c>
      <c r="K336" s="2">
        <v>40857.13547804398</v>
      </c>
      <c r="L336" t="s">
        <v>29</v>
      </c>
      <c r="M336">
        <v>376225</v>
      </c>
      <c r="N336">
        <v>2</v>
      </c>
      <c r="O336">
        <v>3</v>
      </c>
      <c r="P336">
        <v>2</v>
      </c>
      <c r="Q336">
        <v>2</v>
      </c>
      <c r="R336">
        <v>369</v>
      </c>
      <c r="S336" t="s">
        <v>3364</v>
      </c>
      <c r="T336" t="s">
        <v>3365</v>
      </c>
      <c r="W336" t="s">
        <v>450</v>
      </c>
      <c r="X336" t="s">
        <v>1679</v>
      </c>
    </row>
    <row r="337" spans="1:24" ht="12.75">
      <c r="A337" s="1" t="str">
        <f>HYPERLINK("http://www.ofsted.gov.uk/inspection-reports/find-inspection-report/provider/ELS/53722","Ofsted FES Webpage")</f>
        <v>Ofsted FES Webpage</v>
      </c>
      <c r="B337" t="s">
        <v>506</v>
      </c>
      <c r="C337">
        <v>53722</v>
      </c>
      <c r="D337">
        <v>108027</v>
      </c>
      <c r="E337" t="s">
        <v>450</v>
      </c>
      <c r="F337" t="s">
        <v>68</v>
      </c>
      <c r="G337" t="s">
        <v>40</v>
      </c>
      <c r="H337" s="2">
        <v>39965</v>
      </c>
      <c r="I337" s="2">
        <v>39969</v>
      </c>
      <c r="J337" t="s">
        <v>44</v>
      </c>
      <c r="K337" s="2">
        <v>40011.135480868055</v>
      </c>
      <c r="L337" t="s">
        <v>45</v>
      </c>
      <c r="M337">
        <v>333336</v>
      </c>
      <c r="N337">
        <v>1</v>
      </c>
      <c r="O337">
        <v>1</v>
      </c>
      <c r="P337" t="s">
        <v>20</v>
      </c>
      <c r="Q337" t="s">
        <v>20</v>
      </c>
      <c r="R337">
        <v>6828</v>
      </c>
      <c r="S337" t="s">
        <v>2490</v>
      </c>
      <c r="T337" t="s">
        <v>2539</v>
      </c>
      <c r="W337" t="s">
        <v>450</v>
      </c>
      <c r="X337" t="s">
        <v>1680</v>
      </c>
    </row>
    <row r="338" spans="1:24" ht="12.75">
      <c r="A338" s="1" t="str">
        <f>HYPERLINK("http://www.ofsted.gov.uk/inspection-reports/find-inspection-report/provider/ELS/53729","Ofsted FES Webpage")</f>
        <v>Ofsted FES Webpage</v>
      </c>
      <c r="B338" t="s">
        <v>507</v>
      </c>
      <c r="C338">
        <v>53729</v>
      </c>
      <c r="D338">
        <v>105065</v>
      </c>
      <c r="E338" t="s">
        <v>106</v>
      </c>
      <c r="F338" t="s">
        <v>49</v>
      </c>
      <c r="G338" t="s">
        <v>17</v>
      </c>
      <c r="H338" s="2">
        <v>41666</v>
      </c>
      <c r="I338" s="2">
        <v>41670</v>
      </c>
      <c r="J338" t="s">
        <v>27</v>
      </c>
      <c r="K338" s="2">
        <v>41698.1354602662</v>
      </c>
      <c r="L338" t="s">
        <v>29</v>
      </c>
      <c r="M338">
        <v>429133</v>
      </c>
      <c r="N338">
        <v>2</v>
      </c>
      <c r="O338">
        <v>2</v>
      </c>
      <c r="P338">
        <v>3</v>
      </c>
      <c r="Q338">
        <v>3</v>
      </c>
      <c r="R338">
        <v>1267</v>
      </c>
      <c r="S338" t="s">
        <v>3366</v>
      </c>
      <c r="T338" t="s">
        <v>3367</v>
      </c>
      <c r="U338" t="s">
        <v>3368</v>
      </c>
      <c r="V338" t="s">
        <v>106</v>
      </c>
      <c r="X338" t="s">
        <v>1681</v>
      </c>
    </row>
    <row r="339" spans="1:24" ht="12.75">
      <c r="A339" s="1" t="str">
        <f>HYPERLINK("http://www.ofsted.gov.uk/inspection-reports/find-inspection-report/provider/ELS/53746","Ofsted FES Webpage")</f>
        <v>Ofsted FES Webpage</v>
      </c>
      <c r="B339" t="s">
        <v>508</v>
      </c>
      <c r="C339">
        <v>53746</v>
      </c>
      <c r="D339">
        <v>119215</v>
      </c>
      <c r="E339" t="s">
        <v>25</v>
      </c>
      <c r="F339" t="s">
        <v>26</v>
      </c>
      <c r="G339" t="s">
        <v>40</v>
      </c>
      <c r="H339" s="2">
        <v>39470</v>
      </c>
      <c r="I339" s="2">
        <v>39472</v>
      </c>
      <c r="J339" t="s">
        <v>154</v>
      </c>
      <c r="K339" s="2">
        <v>39518.13554811342</v>
      </c>
      <c r="L339" t="s">
        <v>45</v>
      </c>
      <c r="M339">
        <v>320075</v>
      </c>
      <c r="N339">
        <v>1</v>
      </c>
      <c r="O339">
        <v>1</v>
      </c>
      <c r="P339" t="s">
        <v>20</v>
      </c>
      <c r="Q339" t="s">
        <v>20</v>
      </c>
      <c r="R339">
        <v>1194</v>
      </c>
      <c r="T339" t="s">
        <v>3369</v>
      </c>
      <c r="W339" t="s">
        <v>25</v>
      </c>
      <c r="X339" t="s">
        <v>1682</v>
      </c>
    </row>
    <row r="340" spans="1:24" ht="12.75">
      <c r="A340" s="1" t="str">
        <f>HYPERLINK("http://www.ofsted.gov.uk/inspection-reports/find-inspection-report/provider/ELS/53749","Ofsted FES Webpage")</f>
        <v>Ofsted FES Webpage</v>
      </c>
      <c r="B340" t="s">
        <v>509</v>
      </c>
      <c r="C340">
        <v>53749</v>
      </c>
      <c r="D340">
        <v>107029</v>
      </c>
      <c r="E340" t="s">
        <v>274</v>
      </c>
      <c r="F340" t="s">
        <v>26</v>
      </c>
      <c r="G340" t="s">
        <v>17</v>
      </c>
      <c r="H340" s="2">
        <v>41821</v>
      </c>
      <c r="I340" s="2">
        <v>41824</v>
      </c>
      <c r="J340" t="s">
        <v>27</v>
      </c>
      <c r="K340" s="2">
        <v>41857.13545204861</v>
      </c>
      <c r="L340" t="s">
        <v>60</v>
      </c>
      <c r="M340">
        <v>429264</v>
      </c>
      <c r="N340">
        <v>2</v>
      </c>
      <c r="O340">
        <v>2</v>
      </c>
      <c r="P340">
        <v>3</v>
      </c>
      <c r="Q340">
        <v>3</v>
      </c>
      <c r="R340">
        <v>366</v>
      </c>
      <c r="S340" t="s">
        <v>3370</v>
      </c>
      <c r="W340" t="s">
        <v>274</v>
      </c>
      <c r="X340" t="s">
        <v>1683</v>
      </c>
    </row>
    <row r="341" spans="1:24" ht="12.75">
      <c r="A341" s="1" t="str">
        <f>HYPERLINK("http://www.ofsted.gov.uk/inspection-reports/find-inspection-report/provider/ELS/53774","Ofsted FES Webpage")</f>
        <v>Ofsted FES Webpage</v>
      </c>
      <c r="B341" t="s">
        <v>510</v>
      </c>
      <c r="C341">
        <v>53774</v>
      </c>
      <c r="D341">
        <v>108852</v>
      </c>
      <c r="E341" t="s">
        <v>91</v>
      </c>
      <c r="F341" t="s">
        <v>43</v>
      </c>
      <c r="G341" t="s">
        <v>17</v>
      </c>
      <c r="H341" s="2">
        <v>41619</v>
      </c>
      <c r="I341" s="2">
        <v>41621</v>
      </c>
      <c r="J341" t="s">
        <v>27</v>
      </c>
      <c r="K341" s="2">
        <v>41661.13568225694</v>
      </c>
      <c r="L341" t="s">
        <v>36</v>
      </c>
      <c r="M341">
        <v>429108</v>
      </c>
      <c r="N341">
        <v>2</v>
      </c>
      <c r="O341">
        <v>2</v>
      </c>
      <c r="P341">
        <v>1</v>
      </c>
      <c r="Q341">
        <v>1</v>
      </c>
      <c r="R341">
        <v>44</v>
      </c>
      <c r="S341" t="s">
        <v>3372</v>
      </c>
      <c r="T341" t="s">
        <v>3373</v>
      </c>
      <c r="W341" t="s">
        <v>2515</v>
      </c>
      <c r="X341" t="s">
        <v>1684</v>
      </c>
    </row>
    <row r="342" spans="1:24" ht="12.75">
      <c r="A342" s="1" t="str">
        <f>HYPERLINK("http://www.ofsted.gov.uk/inspection-reports/find-inspection-report/provider/ELS/53792","Ofsted FES Webpage")</f>
        <v>Ofsted FES Webpage</v>
      </c>
      <c r="B342" t="s">
        <v>511</v>
      </c>
      <c r="C342">
        <v>53792</v>
      </c>
      <c r="D342">
        <v>106538</v>
      </c>
      <c r="E342" t="s">
        <v>512</v>
      </c>
      <c r="F342" t="s">
        <v>63</v>
      </c>
      <c r="G342" t="s">
        <v>17</v>
      </c>
      <c r="H342" s="8">
        <v>41848</v>
      </c>
      <c r="I342" s="9">
        <v>41852</v>
      </c>
      <c r="J342" s="8" t="s">
        <v>27</v>
      </c>
      <c r="K342" s="9">
        <v>41890.1355121875</v>
      </c>
      <c r="L342" s="10" t="s">
        <v>29</v>
      </c>
      <c r="M342" s="10">
        <v>434047</v>
      </c>
      <c r="N342">
        <v>3</v>
      </c>
      <c r="O342">
        <v>3</v>
      </c>
      <c r="P342">
        <v>2</v>
      </c>
      <c r="Q342">
        <v>2</v>
      </c>
      <c r="R342">
        <v>8972</v>
      </c>
      <c r="S342" t="s">
        <v>3375</v>
      </c>
      <c r="T342" t="s">
        <v>3376</v>
      </c>
      <c r="U342" t="s">
        <v>512</v>
      </c>
      <c r="X342" t="s">
        <v>1686</v>
      </c>
    </row>
    <row r="343" spans="1:24" ht="12.75">
      <c r="A343" s="1" t="str">
        <f>HYPERLINK("http://www.ofsted.gov.uk/inspection-reports/find-inspection-report/provider/ELS/53808","Ofsted FES Webpage")</f>
        <v>Ofsted FES Webpage</v>
      </c>
      <c r="B343" t="s">
        <v>513</v>
      </c>
      <c r="C343">
        <v>53808</v>
      </c>
      <c r="D343">
        <v>112110</v>
      </c>
      <c r="E343" t="s">
        <v>15</v>
      </c>
      <c r="F343" t="s">
        <v>16</v>
      </c>
      <c r="G343" t="s">
        <v>225</v>
      </c>
      <c r="H343" s="2">
        <v>41505</v>
      </c>
      <c r="I343" s="2">
        <v>41509</v>
      </c>
      <c r="J343" t="s">
        <v>32</v>
      </c>
      <c r="K343" s="2">
        <v>41547.135477118056</v>
      </c>
      <c r="L343" t="s">
        <v>226</v>
      </c>
      <c r="M343">
        <v>422648</v>
      </c>
      <c r="N343">
        <v>2</v>
      </c>
      <c r="O343">
        <v>2</v>
      </c>
      <c r="P343">
        <v>3</v>
      </c>
      <c r="Q343">
        <v>3</v>
      </c>
      <c r="R343" t="s">
        <v>20</v>
      </c>
      <c r="S343" t="s">
        <v>3377</v>
      </c>
      <c r="T343" t="s">
        <v>15</v>
      </c>
      <c r="X343" t="s">
        <v>1687</v>
      </c>
    </row>
    <row r="344" spans="1:24" ht="12.75">
      <c r="A344" s="1" t="str">
        <f>HYPERLINK("http://www.ofsted.gov.uk/inspection-reports/find-inspection-report/provider/ELS/53819","Ofsted FES Webpage")</f>
        <v>Ofsted FES Webpage</v>
      </c>
      <c r="B344" t="s">
        <v>514</v>
      </c>
      <c r="C344">
        <v>53819</v>
      </c>
      <c r="D344">
        <v>111795</v>
      </c>
      <c r="E344" t="s">
        <v>59</v>
      </c>
      <c r="F344" t="s">
        <v>43</v>
      </c>
      <c r="G344" t="s">
        <v>17</v>
      </c>
      <c r="H344" s="2">
        <v>41813</v>
      </c>
      <c r="I344" s="2">
        <v>41817</v>
      </c>
      <c r="J344" t="s">
        <v>27</v>
      </c>
      <c r="K344" s="2">
        <v>41858.13545598379</v>
      </c>
      <c r="L344" t="s">
        <v>29</v>
      </c>
      <c r="M344">
        <v>434048</v>
      </c>
      <c r="N344">
        <v>3</v>
      </c>
      <c r="O344">
        <v>3</v>
      </c>
      <c r="P344">
        <v>2</v>
      </c>
      <c r="Q344">
        <v>2</v>
      </c>
      <c r="R344">
        <v>4677</v>
      </c>
      <c r="S344" t="s">
        <v>3378</v>
      </c>
      <c r="T344" t="s">
        <v>3379</v>
      </c>
      <c r="W344" t="s">
        <v>2451</v>
      </c>
      <c r="X344" t="s">
        <v>1688</v>
      </c>
    </row>
    <row r="345" spans="1:24" ht="12.75">
      <c r="A345" s="1" t="str">
        <f>HYPERLINK("http://www.ofsted.gov.uk/inspection-reports/find-inspection-report/provider/ELS/53861","Ofsted FES Webpage")</f>
        <v>Ofsted FES Webpage</v>
      </c>
      <c r="B345" t="s">
        <v>515</v>
      </c>
      <c r="C345">
        <v>53861</v>
      </c>
      <c r="D345">
        <v>107696</v>
      </c>
      <c r="E345" t="s">
        <v>516</v>
      </c>
      <c r="F345" t="s">
        <v>43</v>
      </c>
      <c r="G345" t="s">
        <v>40</v>
      </c>
      <c r="H345" s="2">
        <v>41666</v>
      </c>
      <c r="I345" s="2">
        <v>41670</v>
      </c>
      <c r="J345" t="s">
        <v>27</v>
      </c>
      <c r="K345" s="2">
        <v>41705.13551855324</v>
      </c>
      <c r="L345" t="s">
        <v>36</v>
      </c>
      <c r="M345">
        <v>429859</v>
      </c>
      <c r="N345">
        <v>2</v>
      </c>
      <c r="O345">
        <v>2</v>
      </c>
      <c r="P345">
        <v>2</v>
      </c>
      <c r="Q345">
        <v>2</v>
      </c>
      <c r="R345">
        <v>655</v>
      </c>
      <c r="S345" t="s">
        <v>3382</v>
      </c>
      <c r="T345" t="s">
        <v>3383</v>
      </c>
      <c r="U345" t="s">
        <v>516</v>
      </c>
      <c r="X345" t="s">
        <v>1689</v>
      </c>
    </row>
    <row r="346" spans="1:24" ht="12.75">
      <c r="A346" s="1" t="str">
        <f>HYPERLINK("http://www.ofsted.gov.uk/inspection-reports/find-inspection-report/provider/ELS/53865","Ofsted FES Webpage")</f>
        <v>Ofsted FES Webpage</v>
      </c>
      <c r="B346" t="s">
        <v>517</v>
      </c>
      <c r="C346">
        <v>53865</v>
      </c>
      <c r="D346">
        <v>112456</v>
      </c>
      <c r="E346" t="s">
        <v>518</v>
      </c>
      <c r="F346" t="s">
        <v>39</v>
      </c>
      <c r="G346" t="s">
        <v>40</v>
      </c>
      <c r="H346" s="2">
        <v>40826</v>
      </c>
      <c r="I346" s="2">
        <v>40830</v>
      </c>
      <c r="J346" t="s">
        <v>23</v>
      </c>
      <c r="K346" s="2">
        <v>40865.1354653588</v>
      </c>
      <c r="L346" t="s">
        <v>45</v>
      </c>
      <c r="M346">
        <v>375494</v>
      </c>
      <c r="N346">
        <v>2</v>
      </c>
      <c r="O346">
        <v>2</v>
      </c>
      <c r="P346">
        <v>3</v>
      </c>
      <c r="Q346">
        <v>3</v>
      </c>
      <c r="R346">
        <v>4832</v>
      </c>
      <c r="S346" t="s">
        <v>3384</v>
      </c>
      <c r="T346" t="s">
        <v>3385</v>
      </c>
      <c r="W346" t="s">
        <v>518</v>
      </c>
      <c r="X346" t="s">
        <v>1690</v>
      </c>
    </row>
    <row r="347" spans="1:24" ht="12.75">
      <c r="A347" s="1" t="str">
        <f>HYPERLINK("http://www.ofsted.gov.uk/inspection-reports/find-inspection-report/provider/ELS/53875","Ofsted FES Webpage")</f>
        <v>Ofsted FES Webpage</v>
      </c>
      <c r="B347" t="s">
        <v>519</v>
      </c>
      <c r="C347">
        <v>53875</v>
      </c>
      <c r="D347">
        <v>117556</v>
      </c>
      <c r="E347" t="s">
        <v>268</v>
      </c>
      <c r="F347" t="s">
        <v>63</v>
      </c>
      <c r="G347" t="s">
        <v>17</v>
      </c>
      <c r="H347" s="2">
        <v>41471</v>
      </c>
      <c r="I347" s="2">
        <v>41474</v>
      </c>
      <c r="J347" t="s">
        <v>32</v>
      </c>
      <c r="K347" s="2">
        <v>41509.13546643518</v>
      </c>
      <c r="L347" t="s">
        <v>36</v>
      </c>
      <c r="M347">
        <v>423825</v>
      </c>
      <c r="N347">
        <v>2</v>
      </c>
      <c r="O347">
        <v>2</v>
      </c>
      <c r="P347">
        <v>2</v>
      </c>
      <c r="Q347">
        <v>2</v>
      </c>
      <c r="R347">
        <v>298</v>
      </c>
      <c r="S347" t="s">
        <v>3387</v>
      </c>
      <c r="T347" t="s">
        <v>3388</v>
      </c>
      <c r="U347" t="s">
        <v>3389</v>
      </c>
      <c r="W347" t="s">
        <v>2595</v>
      </c>
      <c r="X347" t="s">
        <v>1691</v>
      </c>
    </row>
    <row r="348" spans="1:24" ht="12.75">
      <c r="A348" s="1" t="str">
        <f>HYPERLINK("http://www.ofsted.gov.uk/inspection-reports/find-inspection-report/provider/ELS/53879","Ofsted FES Webpage")</f>
        <v>Ofsted FES Webpage</v>
      </c>
      <c r="B348" t="s">
        <v>520</v>
      </c>
      <c r="C348">
        <v>53879</v>
      </c>
      <c r="D348">
        <v>107166</v>
      </c>
      <c r="E348" t="s">
        <v>521</v>
      </c>
      <c r="F348" t="s">
        <v>26</v>
      </c>
      <c r="G348" t="s">
        <v>17</v>
      </c>
      <c r="H348" s="2">
        <v>40855</v>
      </c>
      <c r="I348" s="2">
        <v>40858</v>
      </c>
      <c r="J348" t="s">
        <v>23</v>
      </c>
      <c r="K348" s="2">
        <v>40892.135955289355</v>
      </c>
      <c r="L348" t="s">
        <v>19</v>
      </c>
      <c r="M348">
        <v>385307</v>
      </c>
      <c r="N348">
        <v>2</v>
      </c>
      <c r="O348">
        <v>2</v>
      </c>
      <c r="P348">
        <v>2</v>
      </c>
      <c r="Q348">
        <v>3</v>
      </c>
      <c r="R348">
        <v>221</v>
      </c>
      <c r="T348" t="s">
        <v>3390</v>
      </c>
      <c r="W348" t="s">
        <v>521</v>
      </c>
      <c r="X348" t="s">
        <v>1692</v>
      </c>
    </row>
    <row r="349" spans="1:24" ht="12.75">
      <c r="A349" s="1" t="str">
        <f>HYPERLINK("http://www.ofsted.gov.uk/inspection-reports/find-inspection-report/provider/ELS/53895","Ofsted FES Webpage")</f>
        <v>Ofsted FES Webpage</v>
      </c>
      <c r="B349" t="s">
        <v>522</v>
      </c>
      <c r="C349">
        <v>53895</v>
      </c>
      <c r="D349">
        <v>116333</v>
      </c>
      <c r="E349" t="s">
        <v>106</v>
      </c>
      <c r="F349" t="s">
        <v>49</v>
      </c>
      <c r="G349" t="s">
        <v>17</v>
      </c>
      <c r="H349" s="2">
        <v>41806</v>
      </c>
      <c r="I349" s="2">
        <v>41809</v>
      </c>
      <c r="J349" t="s">
        <v>27</v>
      </c>
      <c r="K349" s="2">
        <v>41843.13551493055</v>
      </c>
      <c r="L349" t="s">
        <v>29</v>
      </c>
      <c r="M349">
        <v>434049</v>
      </c>
      <c r="N349">
        <v>3</v>
      </c>
      <c r="O349">
        <v>3</v>
      </c>
      <c r="P349">
        <v>3</v>
      </c>
      <c r="Q349">
        <v>3</v>
      </c>
      <c r="R349">
        <v>1070</v>
      </c>
      <c r="S349" t="s">
        <v>3392</v>
      </c>
      <c r="T349" t="s">
        <v>106</v>
      </c>
      <c r="X349" t="s">
        <v>1693</v>
      </c>
    </row>
    <row r="350" spans="1:24" ht="12.75">
      <c r="A350" s="1" t="str">
        <f>HYPERLINK("http://www.ofsted.gov.uk/inspection-reports/find-inspection-report/provider/ELS/53927","Ofsted FES Webpage")</f>
        <v>Ofsted FES Webpage</v>
      </c>
      <c r="B350" t="s">
        <v>523</v>
      </c>
      <c r="C350">
        <v>53927</v>
      </c>
      <c r="D350">
        <v>114820</v>
      </c>
      <c r="E350" t="s">
        <v>62</v>
      </c>
      <c r="F350" t="s">
        <v>63</v>
      </c>
      <c r="G350" t="s">
        <v>40</v>
      </c>
      <c r="H350" s="2">
        <v>41590</v>
      </c>
      <c r="I350" s="2">
        <v>41593</v>
      </c>
      <c r="J350" t="s">
        <v>27</v>
      </c>
      <c r="K350" s="2">
        <v>41628.13549525463</v>
      </c>
      <c r="L350" t="s">
        <v>45</v>
      </c>
      <c r="M350">
        <v>423420</v>
      </c>
      <c r="N350">
        <v>2</v>
      </c>
      <c r="O350">
        <v>2</v>
      </c>
      <c r="P350">
        <v>3</v>
      </c>
      <c r="Q350">
        <v>3</v>
      </c>
      <c r="R350">
        <v>4287</v>
      </c>
      <c r="S350" t="s">
        <v>2490</v>
      </c>
      <c r="T350" t="s">
        <v>3394</v>
      </c>
      <c r="U350" t="s">
        <v>62</v>
      </c>
      <c r="X350" t="s">
        <v>1694</v>
      </c>
    </row>
    <row r="351" spans="1:24" ht="12.75">
      <c r="A351" s="1" t="str">
        <f>HYPERLINK("http://www.ofsted.gov.uk/inspection-reports/find-inspection-report/provider/ELS/53936","Ofsted FES Webpage")</f>
        <v>Ofsted FES Webpage</v>
      </c>
      <c r="B351" t="s">
        <v>524</v>
      </c>
      <c r="C351">
        <v>53936</v>
      </c>
      <c r="D351">
        <v>108022</v>
      </c>
      <c r="E351" t="s">
        <v>410</v>
      </c>
      <c r="F351" t="s">
        <v>63</v>
      </c>
      <c r="G351" t="s">
        <v>40</v>
      </c>
      <c r="H351" s="2">
        <v>40966</v>
      </c>
      <c r="I351" s="2">
        <v>40970</v>
      </c>
      <c r="J351" t="s">
        <v>23</v>
      </c>
      <c r="K351" s="2">
        <v>41005.13548082176</v>
      </c>
      <c r="L351" t="s">
        <v>45</v>
      </c>
      <c r="M351">
        <v>385054</v>
      </c>
      <c r="N351">
        <v>2</v>
      </c>
      <c r="O351">
        <v>2</v>
      </c>
      <c r="P351">
        <v>3</v>
      </c>
      <c r="Q351">
        <v>3</v>
      </c>
      <c r="R351">
        <v>5527</v>
      </c>
      <c r="T351" t="s">
        <v>3396</v>
      </c>
      <c r="U351" t="s">
        <v>3397</v>
      </c>
      <c r="V351" t="s">
        <v>3398</v>
      </c>
      <c r="W351" t="s">
        <v>410</v>
      </c>
      <c r="X351" t="s">
        <v>1695</v>
      </c>
    </row>
    <row r="352" spans="1:24" ht="12.75">
      <c r="A352" s="1" t="str">
        <f>HYPERLINK("http://www.ofsted.gov.uk/inspection-reports/find-inspection-report/provider/ELS/53941","Ofsted FES Webpage")</f>
        <v>Ofsted FES Webpage</v>
      </c>
      <c r="B352" t="s">
        <v>525</v>
      </c>
      <c r="C352">
        <v>53941</v>
      </c>
      <c r="D352">
        <v>110208</v>
      </c>
      <c r="E352" t="s">
        <v>516</v>
      </c>
      <c r="F352" t="s">
        <v>43</v>
      </c>
      <c r="G352" t="s">
        <v>40</v>
      </c>
      <c r="H352" s="2">
        <v>41583</v>
      </c>
      <c r="I352" s="2">
        <v>41585</v>
      </c>
      <c r="J352" t="s">
        <v>27</v>
      </c>
      <c r="K352" s="2">
        <v>41620.04895686343</v>
      </c>
      <c r="L352" t="s">
        <v>45</v>
      </c>
      <c r="M352">
        <v>423421</v>
      </c>
      <c r="N352">
        <v>2</v>
      </c>
      <c r="O352">
        <v>2</v>
      </c>
      <c r="P352">
        <v>1</v>
      </c>
      <c r="Q352">
        <v>1</v>
      </c>
      <c r="R352">
        <v>2840</v>
      </c>
      <c r="T352" t="s">
        <v>2462</v>
      </c>
      <c r="U352" t="s">
        <v>3239</v>
      </c>
      <c r="V352" t="s">
        <v>3399</v>
      </c>
      <c r="W352" t="s">
        <v>516</v>
      </c>
      <c r="X352" t="s">
        <v>1696</v>
      </c>
    </row>
    <row r="353" spans="1:24" ht="12.75">
      <c r="A353" s="1" t="str">
        <f>HYPERLINK("http://www.ofsted.gov.uk/inspection-reports/find-inspection-report/provider/ELS/53948","Ofsted FES Webpage")</f>
        <v>Ofsted FES Webpage</v>
      </c>
      <c r="B353" t="s">
        <v>526</v>
      </c>
      <c r="C353">
        <v>53948</v>
      </c>
      <c r="D353">
        <v>109936</v>
      </c>
      <c r="E353" t="s">
        <v>22</v>
      </c>
      <c r="F353" t="s">
        <v>16</v>
      </c>
      <c r="G353" t="s">
        <v>17</v>
      </c>
      <c r="H353" s="2">
        <v>41302</v>
      </c>
      <c r="I353" s="2">
        <v>41306</v>
      </c>
      <c r="J353" t="s">
        <v>32</v>
      </c>
      <c r="K353" s="2">
        <v>41341.13582978009</v>
      </c>
      <c r="L353" t="s">
        <v>29</v>
      </c>
      <c r="M353">
        <v>408536</v>
      </c>
      <c r="N353">
        <v>2</v>
      </c>
      <c r="O353">
        <v>2</v>
      </c>
      <c r="P353">
        <v>3</v>
      </c>
      <c r="Q353">
        <v>3</v>
      </c>
      <c r="R353">
        <v>4406</v>
      </c>
      <c r="S353">
        <v>2</v>
      </c>
      <c r="T353" t="s">
        <v>3400</v>
      </c>
      <c r="U353" t="s">
        <v>3401</v>
      </c>
      <c r="W353" t="s">
        <v>3402</v>
      </c>
      <c r="X353" t="s">
        <v>1697</v>
      </c>
    </row>
    <row r="354" spans="1:24" ht="12.75">
      <c r="A354" s="1" t="str">
        <f>HYPERLINK("http://www.ofsted.gov.uk/inspection-reports/find-inspection-report/provider/ELS/53951","Ofsted FES Webpage")</f>
        <v>Ofsted FES Webpage</v>
      </c>
      <c r="B354" t="s">
        <v>527</v>
      </c>
      <c r="C354">
        <v>53951</v>
      </c>
      <c r="D354">
        <v>106953</v>
      </c>
      <c r="E354" t="s">
        <v>38</v>
      </c>
      <c r="F354" t="s">
        <v>39</v>
      </c>
      <c r="G354" t="s">
        <v>17</v>
      </c>
      <c r="H354" s="2">
        <v>40728</v>
      </c>
      <c r="I354" s="2">
        <v>40732</v>
      </c>
      <c r="J354" t="s">
        <v>56</v>
      </c>
      <c r="K354" s="2">
        <v>40768.13550640046</v>
      </c>
      <c r="L354" t="s">
        <v>29</v>
      </c>
      <c r="M354">
        <v>363195</v>
      </c>
      <c r="N354">
        <v>2</v>
      </c>
      <c r="O354">
        <v>2</v>
      </c>
      <c r="P354">
        <v>2</v>
      </c>
      <c r="Q354">
        <v>2</v>
      </c>
      <c r="R354">
        <v>1476</v>
      </c>
      <c r="S354" t="s">
        <v>3403</v>
      </c>
      <c r="T354" t="s">
        <v>3404</v>
      </c>
      <c r="U354" t="s">
        <v>3405</v>
      </c>
      <c r="W354" t="s">
        <v>3406</v>
      </c>
      <c r="X354" t="s">
        <v>1698</v>
      </c>
    </row>
    <row r="355" spans="1:24" ht="12.75">
      <c r="A355" s="1" t="str">
        <f>HYPERLINK("http://www.ofsted.gov.uk/inspection-reports/find-inspection-report/provider/ELS/53981","Ofsted FES Webpage")</f>
        <v>Ofsted FES Webpage</v>
      </c>
      <c r="B355" t="s">
        <v>528</v>
      </c>
      <c r="C355">
        <v>53981</v>
      </c>
      <c r="D355">
        <v>118451</v>
      </c>
      <c r="E355" t="s">
        <v>529</v>
      </c>
      <c r="F355" t="s">
        <v>68</v>
      </c>
      <c r="G355" t="s">
        <v>17</v>
      </c>
      <c r="H355" s="2">
        <v>41589</v>
      </c>
      <c r="I355" s="2">
        <v>41593</v>
      </c>
      <c r="J355" t="s">
        <v>27</v>
      </c>
      <c r="K355" s="2">
        <v>41628.13545243056</v>
      </c>
      <c r="L355" t="s">
        <v>36</v>
      </c>
      <c r="M355">
        <v>410129</v>
      </c>
      <c r="N355">
        <v>3</v>
      </c>
      <c r="O355">
        <v>3</v>
      </c>
      <c r="P355">
        <v>2</v>
      </c>
      <c r="Q355">
        <v>2</v>
      </c>
      <c r="R355">
        <v>1033</v>
      </c>
      <c r="S355" t="s">
        <v>3407</v>
      </c>
      <c r="W355" t="s">
        <v>529</v>
      </c>
      <c r="X355" t="s">
        <v>1699</v>
      </c>
    </row>
    <row r="356" spans="1:24" ht="12.75">
      <c r="A356" s="1" t="str">
        <f>HYPERLINK("http://www.ofsted.gov.uk/inspection-reports/find-inspection-report/provider/ELS/53982","Ofsted FES Webpage")</f>
        <v>Ofsted FES Webpage</v>
      </c>
      <c r="B356" t="s">
        <v>530</v>
      </c>
      <c r="C356">
        <v>53982</v>
      </c>
      <c r="D356">
        <v>117346</v>
      </c>
      <c r="E356" t="s">
        <v>34</v>
      </c>
      <c r="F356" t="s">
        <v>35</v>
      </c>
      <c r="G356" t="s">
        <v>17</v>
      </c>
      <c r="H356" s="2">
        <v>41198</v>
      </c>
      <c r="I356" s="2">
        <v>41200</v>
      </c>
      <c r="J356" t="s">
        <v>32</v>
      </c>
      <c r="K356" s="2">
        <v>41235.13548449074</v>
      </c>
      <c r="L356" t="s">
        <v>36</v>
      </c>
      <c r="M356">
        <v>399104</v>
      </c>
      <c r="N356">
        <v>3</v>
      </c>
      <c r="O356">
        <v>3</v>
      </c>
      <c r="P356">
        <v>3</v>
      </c>
      <c r="Q356">
        <v>3</v>
      </c>
      <c r="R356">
        <v>94</v>
      </c>
      <c r="S356" t="s">
        <v>3408</v>
      </c>
      <c r="T356" t="s">
        <v>3409</v>
      </c>
      <c r="U356" t="s">
        <v>2674</v>
      </c>
      <c r="X356" t="s">
        <v>1700</v>
      </c>
    </row>
    <row r="357" spans="1:24" ht="12.75">
      <c r="A357" s="1" t="str">
        <f>HYPERLINK("http://www.ofsted.gov.uk/inspection-reports/find-inspection-report/provider/ELS/53992","Ofsted FES Webpage")</f>
        <v>Ofsted FES Webpage</v>
      </c>
      <c r="B357" t="s">
        <v>531</v>
      </c>
      <c r="C357">
        <v>53992</v>
      </c>
      <c r="D357">
        <v>107043</v>
      </c>
      <c r="E357" t="s">
        <v>140</v>
      </c>
      <c r="F357" t="s">
        <v>49</v>
      </c>
      <c r="G357" t="s">
        <v>17</v>
      </c>
      <c r="H357" s="2">
        <v>40567</v>
      </c>
      <c r="I357" s="2">
        <v>40571</v>
      </c>
      <c r="J357" t="s">
        <v>56</v>
      </c>
      <c r="K357" s="2">
        <v>40606.13545327546</v>
      </c>
      <c r="L357" t="s">
        <v>19</v>
      </c>
      <c r="M357">
        <v>363196</v>
      </c>
      <c r="N357">
        <v>2</v>
      </c>
      <c r="O357">
        <v>2</v>
      </c>
      <c r="P357">
        <v>2</v>
      </c>
      <c r="Q357">
        <v>2</v>
      </c>
      <c r="R357">
        <v>1971</v>
      </c>
      <c r="S357" t="s">
        <v>3410</v>
      </c>
      <c r="T357" t="s">
        <v>3411</v>
      </c>
      <c r="U357" t="s">
        <v>2881</v>
      </c>
      <c r="W357" t="s">
        <v>2399</v>
      </c>
      <c r="X357" t="s">
        <v>1701</v>
      </c>
    </row>
    <row r="358" spans="1:24" ht="12.75">
      <c r="A358" s="1" t="str">
        <f>HYPERLINK("http://www.ofsted.gov.uk/inspection-reports/find-inspection-report/provider/ELS/53997","Ofsted FES Webpage")</f>
        <v>Ofsted FES Webpage</v>
      </c>
      <c r="B358" t="s">
        <v>532</v>
      </c>
      <c r="C358">
        <v>53997</v>
      </c>
      <c r="D358">
        <v>105576</v>
      </c>
      <c r="E358" t="s">
        <v>236</v>
      </c>
      <c r="F358" t="s">
        <v>26</v>
      </c>
      <c r="G358" t="s">
        <v>17</v>
      </c>
      <c r="H358" s="2">
        <v>41611</v>
      </c>
      <c r="I358" s="2">
        <v>41614</v>
      </c>
      <c r="J358" t="s">
        <v>27</v>
      </c>
      <c r="K358" s="2">
        <v>41652.13546689815</v>
      </c>
      <c r="L358" t="s">
        <v>36</v>
      </c>
      <c r="M358">
        <v>410688</v>
      </c>
      <c r="N358">
        <v>3</v>
      </c>
      <c r="O358">
        <v>3</v>
      </c>
      <c r="P358">
        <v>2</v>
      </c>
      <c r="Q358">
        <v>2</v>
      </c>
      <c r="R358">
        <v>133</v>
      </c>
      <c r="S358" t="s">
        <v>3412</v>
      </c>
      <c r="T358" t="s">
        <v>3413</v>
      </c>
      <c r="U358" t="s">
        <v>2675</v>
      </c>
      <c r="X358" t="s">
        <v>1702</v>
      </c>
    </row>
    <row r="359" spans="1:24" ht="12.75">
      <c r="A359" s="1" t="str">
        <f>HYPERLINK("http://www.ofsted.gov.uk/inspection-reports/find-inspection-report/provider/ELS/53998","Ofsted FES Webpage")</f>
        <v>Ofsted FES Webpage</v>
      </c>
      <c r="B359" t="s">
        <v>533</v>
      </c>
      <c r="C359">
        <v>53998</v>
      </c>
      <c r="D359">
        <v>105509</v>
      </c>
      <c r="E359" t="s">
        <v>65</v>
      </c>
      <c r="F359" t="s">
        <v>63</v>
      </c>
      <c r="G359" t="s">
        <v>17</v>
      </c>
      <c r="H359" s="2">
        <v>41617</v>
      </c>
      <c r="I359" s="2">
        <v>41621</v>
      </c>
      <c r="J359" t="s">
        <v>27</v>
      </c>
      <c r="K359" s="2">
        <v>41661.13549803241</v>
      </c>
      <c r="L359" t="s">
        <v>29</v>
      </c>
      <c r="M359">
        <v>424460</v>
      </c>
      <c r="N359">
        <v>2</v>
      </c>
      <c r="O359">
        <v>2</v>
      </c>
      <c r="P359">
        <v>2</v>
      </c>
      <c r="Q359">
        <v>2</v>
      </c>
      <c r="R359">
        <v>1421</v>
      </c>
      <c r="S359" t="s">
        <v>3266</v>
      </c>
      <c r="T359" t="s">
        <v>3414</v>
      </c>
      <c r="U359" t="s">
        <v>3415</v>
      </c>
      <c r="V359" t="s">
        <v>3416</v>
      </c>
      <c r="W359" t="s">
        <v>2458</v>
      </c>
      <c r="X359" t="s">
        <v>1703</v>
      </c>
    </row>
    <row r="360" spans="1:24" ht="12.75">
      <c r="A360" s="1" t="str">
        <f>HYPERLINK("http://www.ofsted.gov.uk/inspection-reports/find-inspection-report/provider/ELS/54004","Ofsted FES Webpage")</f>
        <v>Ofsted FES Webpage</v>
      </c>
      <c r="B360" t="s">
        <v>534</v>
      </c>
      <c r="C360">
        <v>54004</v>
      </c>
      <c r="D360">
        <v>107686</v>
      </c>
      <c r="E360" t="s">
        <v>230</v>
      </c>
      <c r="F360" t="s">
        <v>39</v>
      </c>
      <c r="G360" t="s">
        <v>40</v>
      </c>
      <c r="H360" s="2">
        <v>41610</v>
      </c>
      <c r="I360" s="2">
        <v>41614</v>
      </c>
      <c r="J360" t="s">
        <v>27</v>
      </c>
      <c r="K360" s="2">
        <v>41654.13547369213</v>
      </c>
      <c r="L360" t="s">
        <v>36</v>
      </c>
      <c r="M360">
        <v>423773</v>
      </c>
      <c r="N360">
        <v>2</v>
      </c>
      <c r="O360">
        <v>2</v>
      </c>
      <c r="P360" t="s">
        <v>20</v>
      </c>
      <c r="Q360" t="s">
        <v>20</v>
      </c>
      <c r="R360">
        <v>651</v>
      </c>
      <c r="S360" t="s">
        <v>3418</v>
      </c>
      <c r="T360" t="s">
        <v>3419</v>
      </c>
      <c r="W360" t="s">
        <v>230</v>
      </c>
      <c r="X360" t="s">
        <v>1705</v>
      </c>
    </row>
    <row r="361" spans="1:24" ht="12.75">
      <c r="A361" s="1" t="str">
        <f>HYPERLINK("http://www.ofsted.gov.uk/inspection-reports/find-inspection-report/provider/ELS/54006","Ofsted FES Webpage")</f>
        <v>Ofsted FES Webpage</v>
      </c>
      <c r="B361" t="s">
        <v>535</v>
      </c>
      <c r="C361">
        <v>54006</v>
      </c>
      <c r="D361">
        <v>106974</v>
      </c>
      <c r="E361" t="s">
        <v>22</v>
      </c>
      <c r="F361" t="s">
        <v>16</v>
      </c>
      <c r="G361" t="s">
        <v>17</v>
      </c>
      <c r="H361" s="2">
        <v>40973</v>
      </c>
      <c r="I361" s="2">
        <v>40977</v>
      </c>
      <c r="J361" t="s">
        <v>23</v>
      </c>
      <c r="K361" s="2">
        <v>41016.13544575231</v>
      </c>
      <c r="L361" t="s">
        <v>19</v>
      </c>
      <c r="M361">
        <v>366020</v>
      </c>
      <c r="N361">
        <v>2</v>
      </c>
      <c r="O361">
        <v>2</v>
      </c>
      <c r="P361">
        <v>2</v>
      </c>
      <c r="Q361">
        <v>2</v>
      </c>
      <c r="R361">
        <v>651</v>
      </c>
      <c r="S361" t="s">
        <v>3420</v>
      </c>
      <c r="T361" t="s">
        <v>3421</v>
      </c>
      <c r="U361" t="s">
        <v>2503</v>
      </c>
      <c r="W361" t="s">
        <v>15</v>
      </c>
      <c r="X361" t="s">
        <v>1706</v>
      </c>
    </row>
    <row r="362" spans="1:24" ht="12.75">
      <c r="A362" s="1" t="str">
        <f>HYPERLINK("http://www.ofsted.gov.uk/inspection-reports/find-inspection-report/provider/ELS/54008","Ofsted FES Webpage")</f>
        <v>Ofsted FES Webpage</v>
      </c>
      <c r="B362" t="s">
        <v>536</v>
      </c>
      <c r="C362">
        <v>54008</v>
      </c>
      <c r="D362">
        <v>105068</v>
      </c>
      <c r="E362" t="s">
        <v>106</v>
      </c>
      <c r="F362" t="s">
        <v>49</v>
      </c>
      <c r="G362" t="s">
        <v>17</v>
      </c>
      <c r="H362" s="2">
        <v>39030</v>
      </c>
      <c r="I362" s="2">
        <v>39030</v>
      </c>
      <c r="J362" t="s">
        <v>100</v>
      </c>
      <c r="K362" s="2">
        <v>39073</v>
      </c>
      <c r="L362" t="s">
        <v>102</v>
      </c>
      <c r="M362">
        <v>307165</v>
      </c>
      <c r="N362">
        <v>1</v>
      </c>
      <c r="O362">
        <v>1</v>
      </c>
      <c r="P362" t="s">
        <v>20</v>
      </c>
      <c r="Q362" t="s">
        <v>20</v>
      </c>
      <c r="R362">
        <v>313</v>
      </c>
      <c r="S362" t="s">
        <v>3422</v>
      </c>
      <c r="T362" t="s">
        <v>3423</v>
      </c>
      <c r="U362" t="s">
        <v>106</v>
      </c>
      <c r="X362" t="s">
        <v>1707</v>
      </c>
    </row>
    <row r="363" spans="1:24" ht="12.75">
      <c r="A363" s="1" t="str">
        <f>HYPERLINK("http://www.ofsted.gov.uk/inspection-reports/find-inspection-report/provider/ELS/54014","Ofsted FES Webpage")</f>
        <v>Ofsted FES Webpage</v>
      </c>
      <c r="B363" t="s">
        <v>537</v>
      </c>
      <c r="C363">
        <v>54014</v>
      </c>
      <c r="D363">
        <v>106516</v>
      </c>
      <c r="E363" t="s">
        <v>268</v>
      </c>
      <c r="F363" t="s">
        <v>63</v>
      </c>
      <c r="G363" t="s">
        <v>17</v>
      </c>
      <c r="H363" s="2">
        <v>40749</v>
      </c>
      <c r="I363" s="2">
        <v>40753</v>
      </c>
      <c r="J363" t="s">
        <v>56</v>
      </c>
      <c r="K363" s="2">
        <v>40791.135453738425</v>
      </c>
      <c r="L363" t="s">
        <v>19</v>
      </c>
      <c r="M363">
        <v>366055</v>
      </c>
      <c r="N363">
        <v>1</v>
      </c>
      <c r="O363">
        <v>1</v>
      </c>
      <c r="P363" t="s">
        <v>20</v>
      </c>
      <c r="Q363" t="s">
        <v>20</v>
      </c>
      <c r="R363">
        <v>2226</v>
      </c>
      <c r="S363" t="s">
        <v>3142</v>
      </c>
      <c r="T363" t="s">
        <v>3424</v>
      </c>
      <c r="U363" t="s">
        <v>3425</v>
      </c>
      <c r="V363" t="s">
        <v>3426</v>
      </c>
      <c r="X363" t="s">
        <v>1708</v>
      </c>
    </row>
    <row r="364" spans="1:24" ht="12.75">
      <c r="A364" s="1" t="str">
        <f>HYPERLINK("http://www.ofsted.gov.uk/inspection-reports/find-inspection-report/provider/ELS/54022","Ofsted FES Webpage")</f>
        <v>Ofsted FES Webpage</v>
      </c>
      <c r="B364" t="s">
        <v>538</v>
      </c>
      <c r="C364">
        <v>54022</v>
      </c>
      <c r="D364">
        <v>121222</v>
      </c>
      <c r="E364" t="s">
        <v>539</v>
      </c>
      <c r="F364" t="s">
        <v>43</v>
      </c>
      <c r="G364" t="s">
        <v>17</v>
      </c>
      <c r="H364" s="2">
        <v>41568</v>
      </c>
      <c r="I364" s="2">
        <v>41572</v>
      </c>
      <c r="J364" t="s">
        <v>27</v>
      </c>
      <c r="K364" s="2">
        <v>41607.1354971875</v>
      </c>
      <c r="L364" t="s">
        <v>36</v>
      </c>
      <c r="M364">
        <v>423793</v>
      </c>
      <c r="N364">
        <v>1</v>
      </c>
      <c r="O364">
        <v>1</v>
      </c>
      <c r="P364" t="s">
        <v>20</v>
      </c>
      <c r="Q364" t="s">
        <v>20</v>
      </c>
      <c r="R364">
        <v>1107</v>
      </c>
      <c r="S364" t="s">
        <v>3427</v>
      </c>
      <c r="T364" t="s">
        <v>3428</v>
      </c>
      <c r="W364" t="s">
        <v>539</v>
      </c>
      <c r="X364" t="s">
        <v>1709</v>
      </c>
    </row>
    <row r="365" spans="1:24" ht="12.75">
      <c r="A365" s="1" t="str">
        <f>HYPERLINK("http://www.ofsted.gov.uk/inspection-reports/find-inspection-report/provider/ELS/54026","Ofsted FES Webpage")</f>
        <v>Ofsted FES Webpage</v>
      </c>
      <c r="B365" t="s">
        <v>540</v>
      </c>
      <c r="C365">
        <v>54026</v>
      </c>
      <c r="D365">
        <v>109050</v>
      </c>
      <c r="E365" t="s">
        <v>131</v>
      </c>
      <c r="F365" t="s">
        <v>63</v>
      </c>
      <c r="G365" t="s">
        <v>160</v>
      </c>
      <c r="H365" s="2">
        <v>40939</v>
      </c>
      <c r="I365" s="2">
        <v>40942</v>
      </c>
      <c r="J365" t="s">
        <v>23</v>
      </c>
      <c r="K365" s="2">
        <v>41031.13549837963</v>
      </c>
      <c r="L365" t="s">
        <v>19</v>
      </c>
      <c r="M365">
        <v>385777</v>
      </c>
      <c r="N365">
        <v>2</v>
      </c>
      <c r="O365">
        <v>2</v>
      </c>
      <c r="P365">
        <v>3</v>
      </c>
      <c r="Q365">
        <v>3</v>
      </c>
      <c r="R365">
        <v>109</v>
      </c>
      <c r="S365" t="s">
        <v>3429</v>
      </c>
      <c r="T365" t="s">
        <v>3430</v>
      </c>
      <c r="U365" t="s">
        <v>3431</v>
      </c>
      <c r="V365" t="s">
        <v>2725</v>
      </c>
      <c r="W365" t="s">
        <v>131</v>
      </c>
      <c r="X365" t="s">
        <v>1710</v>
      </c>
    </row>
    <row r="366" spans="1:24" ht="12.75">
      <c r="A366" s="1" t="str">
        <f>HYPERLINK("http://www.ofsted.gov.uk/inspection-reports/find-inspection-report/provider/ELS/54038","Ofsted FES Webpage")</f>
        <v>Ofsted FES Webpage</v>
      </c>
      <c r="B366" t="s">
        <v>541</v>
      </c>
      <c r="C366">
        <v>54038</v>
      </c>
      <c r="D366">
        <v>110029</v>
      </c>
      <c r="E366" t="s">
        <v>91</v>
      </c>
      <c r="F366" t="s">
        <v>43</v>
      </c>
      <c r="G366" t="s">
        <v>17</v>
      </c>
      <c r="H366" s="2">
        <v>40343</v>
      </c>
      <c r="I366" s="2">
        <v>40347</v>
      </c>
      <c r="J366" t="s">
        <v>18</v>
      </c>
      <c r="K366" s="2">
        <v>40382.135556284724</v>
      </c>
      <c r="L366" t="s">
        <v>19</v>
      </c>
      <c r="M366">
        <v>345942</v>
      </c>
      <c r="N366">
        <v>2</v>
      </c>
      <c r="O366">
        <v>2</v>
      </c>
      <c r="P366">
        <v>3</v>
      </c>
      <c r="Q366">
        <v>3</v>
      </c>
      <c r="R366">
        <v>5756</v>
      </c>
      <c r="S366" t="s">
        <v>3432</v>
      </c>
      <c r="T366" t="s">
        <v>3433</v>
      </c>
      <c r="U366" t="s">
        <v>3434</v>
      </c>
      <c r="V366" t="s">
        <v>3435</v>
      </c>
      <c r="X366" t="s">
        <v>1711</v>
      </c>
    </row>
    <row r="367" spans="1:24" ht="12.75">
      <c r="A367" s="1" t="str">
        <f>HYPERLINK("http://www.ofsted.gov.uk/inspection-reports/find-inspection-report/provider/ELS/54071","Ofsted FES Webpage")</f>
        <v>Ofsted FES Webpage</v>
      </c>
      <c r="B367" t="s">
        <v>542</v>
      </c>
      <c r="C367">
        <v>54071</v>
      </c>
      <c r="D367">
        <v>121238</v>
      </c>
      <c r="E367" t="s">
        <v>166</v>
      </c>
      <c r="F367" t="s">
        <v>26</v>
      </c>
      <c r="G367" t="s">
        <v>40</v>
      </c>
      <c r="H367" s="2">
        <v>41834</v>
      </c>
      <c r="I367" s="2">
        <v>41838</v>
      </c>
      <c r="J367" t="s">
        <v>27</v>
      </c>
      <c r="K367" s="2">
        <v>41866.135481944446</v>
      </c>
      <c r="L367" t="s">
        <v>29</v>
      </c>
      <c r="M367">
        <v>441445</v>
      </c>
      <c r="N367">
        <v>2</v>
      </c>
      <c r="O367">
        <v>2</v>
      </c>
      <c r="P367">
        <v>3</v>
      </c>
      <c r="Q367">
        <v>3</v>
      </c>
      <c r="R367">
        <v>3235</v>
      </c>
      <c r="S367" t="s">
        <v>3436</v>
      </c>
      <c r="T367" t="s">
        <v>3437</v>
      </c>
      <c r="U367" t="s">
        <v>2648</v>
      </c>
      <c r="X367" t="s">
        <v>1712</v>
      </c>
    </row>
    <row r="368" spans="1:24" ht="12.75">
      <c r="A368" s="1" t="str">
        <f>HYPERLINK("http://www.ofsted.gov.uk/inspection-reports/find-inspection-report/provider/ELS/54075","Ofsted FES Webpage")</f>
        <v>Ofsted FES Webpage</v>
      </c>
      <c r="B368" t="s">
        <v>543</v>
      </c>
      <c r="C368">
        <v>54075</v>
      </c>
      <c r="D368">
        <v>106334</v>
      </c>
      <c r="E368" t="s">
        <v>190</v>
      </c>
      <c r="F368" t="s">
        <v>43</v>
      </c>
      <c r="G368" t="s">
        <v>40</v>
      </c>
      <c r="H368" s="2">
        <v>40868</v>
      </c>
      <c r="I368" s="2">
        <v>40872</v>
      </c>
      <c r="J368" t="s">
        <v>23</v>
      </c>
      <c r="K368" s="2">
        <v>40913.13546292824</v>
      </c>
      <c r="L368" t="s">
        <v>45</v>
      </c>
      <c r="M368">
        <v>375507</v>
      </c>
      <c r="N368">
        <v>2</v>
      </c>
      <c r="O368">
        <v>2</v>
      </c>
      <c r="P368">
        <v>3</v>
      </c>
      <c r="Q368">
        <v>4</v>
      </c>
      <c r="R368">
        <v>4845</v>
      </c>
      <c r="S368" t="s">
        <v>3438</v>
      </c>
      <c r="T368" t="s">
        <v>190</v>
      </c>
      <c r="X368" t="s">
        <v>1713</v>
      </c>
    </row>
    <row r="369" spans="1:24" ht="12.75">
      <c r="A369" s="1" t="str">
        <f>HYPERLINK("http://www.ofsted.gov.uk/inspection-reports/find-inspection-report/provider/ELS/54087","Ofsted FES Webpage")</f>
        <v>Ofsted FES Webpage</v>
      </c>
      <c r="B369" t="s">
        <v>544</v>
      </c>
      <c r="C369">
        <v>54087</v>
      </c>
      <c r="D369">
        <v>107078</v>
      </c>
      <c r="E369" t="s">
        <v>545</v>
      </c>
      <c r="F369" t="s">
        <v>26</v>
      </c>
      <c r="G369" t="s">
        <v>40</v>
      </c>
      <c r="H369" s="2">
        <v>39776</v>
      </c>
      <c r="I369" s="2">
        <v>39780</v>
      </c>
      <c r="J369" t="s">
        <v>44</v>
      </c>
      <c r="K369" s="2">
        <v>39833.13556704861</v>
      </c>
      <c r="L369" t="s">
        <v>45</v>
      </c>
      <c r="M369">
        <v>329358</v>
      </c>
      <c r="N369">
        <v>2</v>
      </c>
      <c r="O369">
        <v>2</v>
      </c>
      <c r="P369" t="s">
        <v>20</v>
      </c>
      <c r="Q369" t="s">
        <v>20</v>
      </c>
      <c r="R369">
        <v>3435</v>
      </c>
      <c r="S369" t="s">
        <v>3439</v>
      </c>
      <c r="T369" t="s">
        <v>3440</v>
      </c>
      <c r="U369" t="s">
        <v>2673</v>
      </c>
      <c r="V369" t="s">
        <v>2996</v>
      </c>
      <c r="X369" t="s">
        <v>1714</v>
      </c>
    </row>
    <row r="370" spans="1:24" ht="12.75">
      <c r="A370" s="1" t="str">
        <f>HYPERLINK("http://www.ofsted.gov.uk/inspection-reports/find-inspection-report/provider/ELS/54095","Ofsted FES Webpage")</f>
        <v>Ofsted FES Webpage</v>
      </c>
      <c r="B370" t="s">
        <v>546</v>
      </c>
      <c r="C370">
        <v>54095</v>
      </c>
      <c r="D370">
        <v>120579</v>
      </c>
      <c r="E370" t="s">
        <v>188</v>
      </c>
      <c r="F370" t="s">
        <v>35</v>
      </c>
      <c r="G370" t="s">
        <v>160</v>
      </c>
      <c r="H370" s="2">
        <v>41583</v>
      </c>
      <c r="I370" s="2">
        <v>41586</v>
      </c>
      <c r="J370" t="s">
        <v>27</v>
      </c>
      <c r="K370" s="2">
        <v>41621.13547337963</v>
      </c>
      <c r="L370" t="s">
        <v>29</v>
      </c>
      <c r="M370">
        <v>424461</v>
      </c>
      <c r="N370">
        <v>2</v>
      </c>
      <c r="O370">
        <v>2</v>
      </c>
      <c r="P370" t="s">
        <v>20</v>
      </c>
      <c r="Q370" t="s">
        <v>20</v>
      </c>
      <c r="R370">
        <v>11</v>
      </c>
      <c r="S370" t="s">
        <v>2479</v>
      </c>
      <c r="T370" t="s">
        <v>3441</v>
      </c>
      <c r="W370" t="s">
        <v>35</v>
      </c>
      <c r="X370" t="s">
        <v>1715</v>
      </c>
    </row>
    <row r="371" spans="1:24" ht="12.75">
      <c r="A371" s="1" t="str">
        <f>HYPERLINK("http://www.ofsted.gov.uk/inspection-reports/find-inspection-report/provider/ELS/54096","Ofsted FES Webpage")</f>
        <v>Ofsted FES Webpage</v>
      </c>
      <c r="B371" t="s">
        <v>547</v>
      </c>
      <c r="C371">
        <v>54096</v>
      </c>
      <c r="D371">
        <v>105214</v>
      </c>
      <c r="E371" t="s">
        <v>199</v>
      </c>
      <c r="F371" t="s">
        <v>63</v>
      </c>
      <c r="G371" t="s">
        <v>17</v>
      </c>
      <c r="H371" s="2">
        <v>40938</v>
      </c>
      <c r="I371" s="2">
        <v>40942</v>
      </c>
      <c r="J371" t="s">
        <v>23</v>
      </c>
      <c r="K371" s="2">
        <v>40977.13556346065</v>
      </c>
      <c r="L371" t="s">
        <v>29</v>
      </c>
      <c r="M371">
        <v>385762</v>
      </c>
      <c r="N371">
        <v>1</v>
      </c>
      <c r="O371">
        <v>1</v>
      </c>
      <c r="P371">
        <v>2</v>
      </c>
      <c r="Q371">
        <v>2</v>
      </c>
      <c r="R371">
        <v>1110</v>
      </c>
      <c r="S371" t="s">
        <v>3442</v>
      </c>
      <c r="T371" t="s">
        <v>2946</v>
      </c>
      <c r="W371" t="s">
        <v>2484</v>
      </c>
      <c r="X371" t="s">
        <v>1716</v>
      </c>
    </row>
    <row r="372" spans="1:24" ht="12.75">
      <c r="A372" s="1" t="str">
        <f>HYPERLINK("http://www.ofsted.gov.uk/inspection-reports/find-inspection-report/provider/ELS/54113","Ofsted FES Webpage")</f>
        <v>Ofsted FES Webpage</v>
      </c>
      <c r="B372" t="s">
        <v>548</v>
      </c>
      <c r="C372">
        <v>54113</v>
      </c>
      <c r="D372">
        <v>106122</v>
      </c>
      <c r="E372" t="s">
        <v>104</v>
      </c>
      <c r="F372" t="s">
        <v>43</v>
      </c>
      <c r="G372" t="s">
        <v>17</v>
      </c>
      <c r="H372" s="8">
        <v>41855</v>
      </c>
      <c r="I372" s="9">
        <v>41859</v>
      </c>
      <c r="J372" s="8" t="s">
        <v>27</v>
      </c>
      <c r="K372" s="9">
        <v>41899.135487997686</v>
      </c>
      <c r="L372" s="10" t="s">
        <v>29</v>
      </c>
      <c r="M372" s="10">
        <v>434050</v>
      </c>
      <c r="N372">
        <v>2</v>
      </c>
      <c r="O372">
        <v>2</v>
      </c>
      <c r="P372">
        <v>3</v>
      </c>
      <c r="Q372">
        <v>3</v>
      </c>
      <c r="R372">
        <v>1510</v>
      </c>
      <c r="S372" t="s">
        <v>3446</v>
      </c>
      <c r="T372" t="s">
        <v>3447</v>
      </c>
      <c r="U372" t="s">
        <v>3319</v>
      </c>
      <c r="W372" t="s">
        <v>104</v>
      </c>
      <c r="X372" t="s">
        <v>1718</v>
      </c>
    </row>
    <row r="373" spans="1:24" ht="12.75">
      <c r="A373" s="1" t="str">
        <f>HYPERLINK("http://www.ofsted.gov.uk/inspection-reports/find-inspection-report/provider/ELS/54137","Ofsted FES Webpage")</f>
        <v>Ofsted FES Webpage</v>
      </c>
      <c r="B373" t="s">
        <v>549</v>
      </c>
      <c r="C373">
        <v>54137</v>
      </c>
      <c r="D373">
        <v>105544</v>
      </c>
      <c r="E373" t="s">
        <v>116</v>
      </c>
      <c r="F373" t="s">
        <v>49</v>
      </c>
      <c r="G373" t="s">
        <v>17</v>
      </c>
      <c r="H373" s="2">
        <v>38666</v>
      </c>
      <c r="I373" s="2">
        <v>38666</v>
      </c>
      <c r="J373" t="s">
        <v>550</v>
      </c>
      <c r="K373" s="2">
        <v>38709</v>
      </c>
      <c r="L373" t="s">
        <v>102</v>
      </c>
      <c r="M373">
        <v>306860</v>
      </c>
      <c r="N373">
        <v>1</v>
      </c>
      <c r="O373">
        <v>1</v>
      </c>
      <c r="P373" t="s">
        <v>20</v>
      </c>
      <c r="Q373" t="s">
        <v>20</v>
      </c>
      <c r="R373">
        <v>1528</v>
      </c>
      <c r="T373" t="s">
        <v>3448</v>
      </c>
      <c r="W373" t="s">
        <v>2480</v>
      </c>
      <c r="X373" t="s">
        <v>1719</v>
      </c>
    </row>
    <row r="374" spans="1:24" ht="12.75">
      <c r="A374" s="1" t="str">
        <f>HYPERLINK("http://www.ofsted.gov.uk/inspection-reports/find-inspection-report/provider/ELS/54155","Ofsted FES Webpage")</f>
        <v>Ofsted FES Webpage</v>
      </c>
      <c r="B374" t="s">
        <v>551</v>
      </c>
      <c r="C374">
        <v>54155</v>
      </c>
      <c r="D374">
        <v>106854</v>
      </c>
      <c r="E374" t="s">
        <v>552</v>
      </c>
      <c r="F374" t="s">
        <v>68</v>
      </c>
      <c r="G374" t="s">
        <v>40</v>
      </c>
      <c r="H374" s="2">
        <v>41239</v>
      </c>
      <c r="I374" s="2">
        <v>41243</v>
      </c>
      <c r="J374" t="s">
        <v>32</v>
      </c>
      <c r="K374" s="2">
        <v>41282.135578622685</v>
      </c>
      <c r="L374" t="s">
        <v>29</v>
      </c>
      <c r="M374">
        <v>404559</v>
      </c>
      <c r="N374">
        <v>2</v>
      </c>
      <c r="O374">
        <v>2</v>
      </c>
      <c r="P374">
        <v>3</v>
      </c>
      <c r="Q374">
        <v>3</v>
      </c>
      <c r="R374">
        <v>2296</v>
      </c>
      <c r="T374" t="s">
        <v>3450</v>
      </c>
      <c r="W374" t="s">
        <v>552</v>
      </c>
      <c r="X374" t="s">
        <v>1721</v>
      </c>
    </row>
    <row r="375" spans="1:24" ht="12.75">
      <c r="A375" s="1" t="str">
        <f>HYPERLINK("http://www.ofsted.gov.uk/inspection-reports/find-inspection-report/provider/ELS/54158","Ofsted FES Webpage")</f>
        <v>Ofsted FES Webpage</v>
      </c>
      <c r="B375" t="s">
        <v>553</v>
      </c>
      <c r="C375">
        <v>54158</v>
      </c>
      <c r="D375">
        <v>106929</v>
      </c>
      <c r="E375" t="s">
        <v>67</v>
      </c>
      <c r="F375" t="s">
        <v>68</v>
      </c>
      <c r="G375" t="s">
        <v>17</v>
      </c>
      <c r="H375" s="2">
        <v>41450</v>
      </c>
      <c r="I375" s="2">
        <v>41453</v>
      </c>
      <c r="J375" t="s">
        <v>32</v>
      </c>
      <c r="K375" s="2">
        <v>41488.13548521991</v>
      </c>
      <c r="L375" t="s">
        <v>36</v>
      </c>
      <c r="M375">
        <v>410691</v>
      </c>
      <c r="N375">
        <v>3</v>
      </c>
      <c r="O375">
        <v>3</v>
      </c>
      <c r="P375">
        <v>2</v>
      </c>
      <c r="Q375">
        <v>2</v>
      </c>
      <c r="R375">
        <v>614</v>
      </c>
      <c r="S375" t="s">
        <v>3451</v>
      </c>
      <c r="T375" t="s">
        <v>3452</v>
      </c>
      <c r="W375" t="s">
        <v>67</v>
      </c>
      <c r="X375" t="s">
        <v>1722</v>
      </c>
    </row>
    <row r="376" spans="1:24" ht="12.75">
      <c r="A376" s="1" t="str">
        <f>HYPERLINK("http://www.ofsted.gov.uk/inspection-reports/find-inspection-report/provider/ELS/54167","Ofsted FES Webpage")</f>
        <v>Ofsted FES Webpage</v>
      </c>
      <c r="B376" t="s">
        <v>554</v>
      </c>
      <c r="C376">
        <v>54167</v>
      </c>
      <c r="D376">
        <v>105428</v>
      </c>
      <c r="E376" t="s">
        <v>109</v>
      </c>
      <c r="F376" t="s">
        <v>16</v>
      </c>
      <c r="G376" t="s">
        <v>160</v>
      </c>
      <c r="H376" s="2">
        <v>40183</v>
      </c>
      <c r="I376" s="2">
        <v>40186</v>
      </c>
      <c r="J376" t="s">
        <v>18</v>
      </c>
      <c r="K376" s="2">
        <v>40221.13628491898</v>
      </c>
      <c r="L376" t="s">
        <v>19</v>
      </c>
      <c r="M376">
        <v>345544</v>
      </c>
      <c r="N376">
        <v>1</v>
      </c>
      <c r="O376">
        <v>1</v>
      </c>
      <c r="P376">
        <v>3</v>
      </c>
      <c r="Q376">
        <v>3</v>
      </c>
      <c r="R376">
        <v>630</v>
      </c>
      <c r="S376" t="s">
        <v>3453</v>
      </c>
      <c r="T376" t="s">
        <v>109</v>
      </c>
      <c r="X376" t="s">
        <v>1723</v>
      </c>
    </row>
    <row r="377" spans="1:24" ht="12.75">
      <c r="A377" s="1" t="str">
        <f>HYPERLINK("http://www.ofsted.gov.uk/inspection-reports/find-inspection-report/provider/ELS/54170","Ofsted FES Webpage")</f>
        <v>Ofsted FES Webpage</v>
      </c>
      <c r="B377" t="s">
        <v>555</v>
      </c>
      <c r="C377">
        <v>54170</v>
      </c>
      <c r="D377">
        <v>118777</v>
      </c>
      <c r="E377" t="s">
        <v>166</v>
      </c>
      <c r="F377" t="s">
        <v>26</v>
      </c>
      <c r="G377" t="s">
        <v>17</v>
      </c>
      <c r="H377" s="2">
        <v>41309</v>
      </c>
      <c r="I377" s="2">
        <v>41313</v>
      </c>
      <c r="J377" t="s">
        <v>32</v>
      </c>
      <c r="K377" s="2">
        <v>41348.135747106484</v>
      </c>
      <c r="L377" t="s">
        <v>36</v>
      </c>
      <c r="M377">
        <v>408537</v>
      </c>
      <c r="N377">
        <v>2</v>
      </c>
      <c r="O377">
        <v>2</v>
      </c>
      <c r="P377">
        <v>3</v>
      </c>
      <c r="Q377">
        <v>3</v>
      </c>
      <c r="R377">
        <v>408</v>
      </c>
      <c r="S377" t="s">
        <v>3437</v>
      </c>
      <c r="W377" t="s">
        <v>166</v>
      </c>
      <c r="X377" t="s">
        <v>1724</v>
      </c>
    </row>
    <row r="378" spans="1:24" ht="12.75">
      <c r="A378" s="1" t="str">
        <f>HYPERLINK("http://www.ofsted.gov.uk/inspection-reports/find-inspection-report/provider/ELS/54175","Ofsted FES Webpage")</f>
        <v>Ofsted FES Webpage</v>
      </c>
      <c r="B378" t="s">
        <v>556</v>
      </c>
      <c r="C378">
        <v>54175</v>
      </c>
      <c r="D378">
        <v>106794</v>
      </c>
      <c r="E378" t="s">
        <v>85</v>
      </c>
      <c r="F378" t="s">
        <v>35</v>
      </c>
      <c r="G378" t="s">
        <v>40</v>
      </c>
      <c r="H378" s="2">
        <v>40876</v>
      </c>
      <c r="I378" s="2">
        <v>40878</v>
      </c>
      <c r="J378" t="s">
        <v>23</v>
      </c>
      <c r="K378" s="2">
        <v>40918.13548449074</v>
      </c>
      <c r="L378" t="s">
        <v>19</v>
      </c>
      <c r="M378">
        <v>376248</v>
      </c>
      <c r="N378">
        <v>1</v>
      </c>
      <c r="O378">
        <v>1</v>
      </c>
      <c r="P378" t="s">
        <v>20</v>
      </c>
      <c r="Q378" t="s">
        <v>20</v>
      </c>
      <c r="R378">
        <v>24</v>
      </c>
      <c r="S378" t="s">
        <v>3456</v>
      </c>
      <c r="T378" t="s">
        <v>3457</v>
      </c>
      <c r="U378" t="s">
        <v>3458</v>
      </c>
      <c r="W378" t="s">
        <v>35</v>
      </c>
      <c r="X378" t="s">
        <v>1725</v>
      </c>
    </row>
    <row r="379" spans="1:24" ht="12.75">
      <c r="A379" s="1" t="str">
        <f>HYPERLINK("http://www.ofsted.gov.uk/inspection-reports/find-inspection-report/provider/ELS/54191","Ofsted FES Webpage")</f>
        <v>Ofsted FES Webpage</v>
      </c>
      <c r="B379" t="s">
        <v>557</v>
      </c>
      <c r="C379">
        <v>54191</v>
      </c>
      <c r="D379">
        <v>112438</v>
      </c>
      <c r="E379" t="s">
        <v>65</v>
      </c>
      <c r="F379" t="s">
        <v>63</v>
      </c>
      <c r="G379" t="s">
        <v>160</v>
      </c>
      <c r="H379" s="2">
        <v>39825</v>
      </c>
      <c r="I379" s="2">
        <v>39829</v>
      </c>
      <c r="J379" t="s">
        <v>44</v>
      </c>
      <c r="K379" s="2">
        <v>39854.13557021991</v>
      </c>
      <c r="L379" t="s">
        <v>19</v>
      </c>
      <c r="M379">
        <v>330030</v>
      </c>
      <c r="N379">
        <v>2</v>
      </c>
      <c r="O379">
        <v>2</v>
      </c>
      <c r="P379" t="s">
        <v>20</v>
      </c>
      <c r="Q379" t="s">
        <v>20</v>
      </c>
      <c r="R379">
        <v>3239</v>
      </c>
      <c r="S379" t="s">
        <v>3460</v>
      </c>
      <c r="T379" t="s">
        <v>3461</v>
      </c>
      <c r="U379" t="s">
        <v>3462</v>
      </c>
      <c r="V379" t="s">
        <v>3463</v>
      </c>
      <c r="W379" t="s">
        <v>3464</v>
      </c>
      <c r="X379" t="s">
        <v>1727</v>
      </c>
    </row>
    <row r="380" spans="1:24" ht="12.75">
      <c r="A380" s="1" t="str">
        <f>HYPERLINK("http://www.ofsted.gov.uk/inspection-reports/find-inspection-report/provider/ELS/54194","Ofsted FES Webpage")</f>
        <v>Ofsted FES Webpage</v>
      </c>
      <c r="B380" t="s">
        <v>558</v>
      </c>
      <c r="C380">
        <v>54194</v>
      </c>
      <c r="D380">
        <v>106795</v>
      </c>
      <c r="E380" t="s">
        <v>442</v>
      </c>
      <c r="F380" t="s">
        <v>35</v>
      </c>
      <c r="G380" t="s">
        <v>40</v>
      </c>
      <c r="H380" s="2">
        <v>41758</v>
      </c>
      <c r="I380" s="2">
        <v>41761</v>
      </c>
      <c r="J380" t="s">
        <v>27</v>
      </c>
      <c r="K380" s="2">
        <v>41800.13548503472</v>
      </c>
      <c r="L380" t="s">
        <v>83</v>
      </c>
      <c r="M380">
        <v>434071</v>
      </c>
      <c r="N380">
        <v>2</v>
      </c>
      <c r="O380">
        <v>2</v>
      </c>
      <c r="P380">
        <v>3</v>
      </c>
      <c r="Q380">
        <v>3</v>
      </c>
      <c r="R380">
        <v>3399</v>
      </c>
      <c r="T380" t="s">
        <v>2462</v>
      </c>
      <c r="U380" t="s">
        <v>2569</v>
      </c>
      <c r="V380" t="s">
        <v>3465</v>
      </c>
      <c r="W380" t="s">
        <v>35</v>
      </c>
      <c r="X380" t="s">
        <v>1728</v>
      </c>
    </row>
    <row r="381" spans="1:24" ht="12.75">
      <c r="A381" s="1" t="str">
        <f>HYPERLINK("http://www.ofsted.gov.uk/inspection-reports/find-inspection-report/provider/ELS/54196","Ofsted FES Webpage")</f>
        <v>Ofsted FES Webpage</v>
      </c>
      <c r="B381" t="s">
        <v>559</v>
      </c>
      <c r="C381">
        <v>54196</v>
      </c>
      <c r="D381">
        <v>108918</v>
      </c>
      <c r="E381" t="s">
        <v>333</v>
      </c>
      <c r="F381" t="s">
        <v>35</v>
      </c>
      <c r="G381" t="s">
        <v>40</v>
      </c>
      <c r="H381" s="2">
        <v>41555</v>
      </c>
      <c r="I381" s="2">
        <v>41558</v>
      </c>
      <c r="J381" t="s">
        <v>27</v>
      </c>
      <c r="K381" s="2">
        <v>41593.13547832176</v>
      </c>
      <c r="L381" t="s">
        <v>45</v>
      </c>
      <c r="M381">
        <v>423422</v>
      </c>
      <c r="N381">
        <v>3</v>
      </c>
      <c r="O381">
        <v>3</v>
      </c>
      <c r="P381">
        <v>2</v>
      </c>
      <c r="Q381">
        <v>2</v>
      </c>
      <c r="R381">
        <v>4034</v>
      </c>
      <c r="S381" t="s">
        <v>2462</v>
      </c>
      <c r="T381" t="s">
        <v>3466</v>
      </c>
      <c r="U381" t="s">
        <v>3467</v>
      </c>
      <c r="W381" t="s">
        <v>333</v>
      </c>
      <c r="X381" t="s">
        <v>1729</v>
      </c>
    </row>
    <row r="382" spans="1:24" ht="12.75">
      <c r="A382" s="1" t="str">
        <f>HYPERLINK("http://www.ofsted.gov.uk/inspection-reports/find-inspection-report/provider/ELS/54215","Ofsted FES Webpage")</f>
        <v>Ofsted FES Webpage</v>
      </c>
      <c r="B382" t="s">
        <v>560</v>
      </c>
      <c r="C382">
        <v>54215</v>
      </c>
      <c r="D382">
        <v>118766</v>
      </c>
      <c r="E382" t="s">
        <v>122</v>
      </c>
      <c r="F382" t="s">
        <v>35</v>
      </c>
      <c r="G382" t="s">
        <v>17</v>
      </c>
      <c r="H382" s="2">
        <v>41806</v>
      </c>
      <c r="I382" s="2">
        <v>41810</v>
      </c>
      <c r="J382" t="s">
        <v>27</v>
      </c>
      <c r="K382" s="2">
        <v>41845.13544841435</v>
      </c>
      <c r="L382" t="s">
        <v>60</v>
      </c>
      <c r="M382">
        <v>429274</v>
      </c>
      <c r="N382">
        <v>3</v>
      </c>
      <c r="O382">
        <v>3</v>
      </c>
      <c r="P382">
        <v>3</v>
      </c>
      <c r="Q382">
        <v>3</v>
      </c>
      <c r="R382">
        <v>781</v>
      </c>
      <c r="S382" t="s">
        <v>3471</v>
      </c>
      <c r="T382" t="s">
        <v>35</v>
      </c>
      <c r="X382" t="s">
        <v>1731</v>
      </c>
    </row>
    <row r="383" spans="1:24" ht="12.75">
      <c r="A383" s="1" t="str">
        <f>HYPERLINK("http://www.ofsted.gov.uk/inspection-reports/find-inspection-report/provider/ELS/54229","Ofsted FES Webpage")</f>
        <v>Ofsted FES Webpage</v>
      </c>
      <c r="B383" t="s">
        <v>561</v>
      </c>
      <c r="C383">
        <v>54229</v>
      </c>
      <c r="D383">
        <v>110561</v>
      </c>
      <c r="E383" t="s">
        <v>562</v>
      </c>
      <c r="F383" t="s">
        <v>16</v>
      </c>
      <c r="G383" t="s">
        <v>40</v>
      </c>
      <c r="H383" s="2">
        <v>41674</v>
      </c>
      <c r="I383" s="2">
        <v>41677</v>
      </c>
      <c r="J383" t="s">
        <v>27</v>
      </c>
      <c r="K383" s="2">
        <v>41722.13545663194</v>
      </c>
      <c r="L383" t="s">
        <v>45</v>
      </c>
      <c r="M383">
        <v>423423</v>
      </c>
      <c r="N383">
        <v>3</v>
      </c>
      <c r="O383">
        <v>3</v>
      </c>
      <c r="P383">
        <v>3</v>
      </c>
      <c r="Q383">
        <v>2</v>
      </c>
      <c r="R383">
        <v>1079</v>
      </c>
      <c r="S383" t="s">
        <v>3474</v>
      </c>
      <c r="T383" t="s">
        <v>3475</v>
      </c>
      <c r="U383" t="s">
        <v>3035</v>
      </c>
      <c r="V383" t="s">
        <v>562</v>
      </c>
      <c r="X383" t="s">
        <v>1733</v>
      </c>
    </row>
    <row r="384" spans="1:24" ht="12.75">
      <c r="A384" s="1" t="str">
        <f>HYPERLINK("http://www.ofsted.gov.uk/inspection-reports/find-inspection-report/provider/ELS/54232","Ofsted FES Webpage")</f>
        <v>Ofsted FES Webpage</v>
      </c>
      <c r="B384" t="s">
        <v>563</v>
      </c>
      <c r="C384">
        <v>54232</v>
      </c>
      <c r="D384">
        <v>106470</v>
      </c>
      <c r="E384" t="s">
        <v>257</v>
      </c>
      <c r="F384" t="s">
        <v>68</v>
      </c>
      <c r="G384" t="s">
        <v>17</v>
      </c>
      <c r="H384" s="2">
        <v>41372</v>
      </c>
      <c r="I384" s="2">
        <v>41376</v>
      </c>
      <c r="J384" t="s">
        <v>32</v>
      </c>
      <c r="K384" s="2">
        <v>41409.13549112269</v>
      </c>
      <c r="L384" t="s">
        <v>36</v>
      </c>
      <c r="M384">
        <v>410689</v>
      </c>
      <c r="N384">
        <v>2</v>
      </c>
      <c r="O384">
        <v>2</v>
      </c>
      <c r="P384">
        <v>3</v>
      </c>
      <c r="Q384">
        <v>3</v>
      </c>
      <c r="R384">
        <v>752</v>
      </c>
      <c r="S384" t="s">
        <v>3476</v>
      </c>
      <c r="T384" t="s">
        <v>2841</v>
      </c>
      <c r="W384" t="s">
        <v>2763</v>
      </c>
      <c r="X384" t="s">
        <v>1734</v>
      </c>
    </row>
    <row r="385" spans="1:24" ht="12.75">
      <c r="A385" s="1" t="str">
        <f>HYPERLINK("http://www.ofsted.gov.uk/inspection-reports/find-inspection-report/provider/ELS/54235","Ofsted FES Webpage")</f>
        <v>Ofsted FES Webpage</v>
      </c>
      <c r="B385" t="s">
        <v>564</v>
      </c>
      <c r="C385">
        <v>54235</v>
      </c>
      <c r="D385">
        <v>105224</v>
      </c>
      <c r="E385" t="s">
        <v>199</v>
      </c>
      <c r="F385" t="s">
        <v>63</v>
      </c>
      <c r="G385" t="s">
        <v>17</v>
      </c>
      <c r="H385" s="2">
        <v>41694</v>
      </c>
      <c r="I385" s="2">
        <v>41698</v>
      </c>
      <c r="J385" t="s">
        <v>27</v>
      </c>
      <c r="K385" s="2">
        <v>41731.13551704861</v>
      </c>
      <c r="L385" t="s">
        <v>29</v>
      </c>
      <c r="M385">
        <v>429858</v>
      </c>
      <c r="N385">
        <v>2</v>
      </c>
      <c r="O385">
        <v>1</v>
      </c>
      <c r="P385">
        <v>2</v>
      </c>
      <c r="Q385">
        <v>2</v>
      </c>
      <c r="R385">
        <v>436</v>
      </c>
      <c r="S385" t="s">
        <v>3477</v>
      </c>
      <c r="T385" t="s">
        <v>3262</v>
      </c>
      <c r="U385" t="s">
        <v>3449</v>
      </c>
      <c r="W385" t="s">
        <v>2484</v>
      </c>
      <c r="X385" t="s">
        <v>1735</v>
      </c>
    </row>
    <row r="386" spans="1:24" ht="12.75">
      <c r="A386" s="1" t="str">
        <f>HYPERLINK("http://www.ofsted.gov.uk/inspection-reports/find-inspection-report/provider/ELS/54245","Ofsted FES Webpage")</f>
        <v>Ofsted FES Webpage</v>
      </c>
      <c r="B386" t="s">
        <v>565</v>
      </c>
      <c r="C386">
        <v>54245</v>
      </c>
      <c r="D386">
        <v>117205</v>
      </c>
      <c r="E386" t="s">
        <v>87</v>
      </c>
      <c r="F386" t="s">
        <v>26</v>
      </c>
      <c r="G386" t="s">
        <v>40</v>
      </c>
      <c r="H386" s="2">
        <v>41239</v>
      </c>
      <c r="I386" s="2">
        <v>41241</v>
      </c>
      <c r="J386" t="s">
        <v>32</v>
      </c>
      <c r="K386" s="2">
        <v>41278.135449849535</v>
      </c>
      <c r="L386" t="s">
        <v>36</v>
      </c>
      <c r="M386">
        <v>409409</v>
      </c>
      <c r="N386">
        <v>2</v>
      </c>
      <c r="O386">
        <v>3</v>
      </c>
      <c r="P386">
        <v>2</v>
      </c>
      <c r="Q386">
        <v>3</v>
      </c>
      <c r="R386">
        <v>70</v>
      </c>
      <c r="S386" t="s">
        <v>3479</v>
      </c>
      <c r="T386" t="s">
        <v>3480</v>
      </c>
      <c r="U386" t="s">
        <v>2734</v>
      </c>
      <c r="W386" t="s">
        <v>87</v>
      </c>
      <c r="X386" t="s">
        <v>1736</v>
      </c>
    </row>
    <row r="387" spans="1:24" ht="12.75">
      <c r="A387" s="1" t="str">
        <f>HYPERLINK("http://www.ofsted.gov.uk/inspection-reports/find-inspection-report/provider/ELS/54248","Ofsted FES Webpage")</f>
        <v>Ofsted FES Webpage</v>
      </c>
      <c r="B387" t="s">
        <v>566</v>
      </c>
      <c r="C387">
        <v>54248</v>
      </c>
      <c r="D387">
        <v>109933</v>
      </c>
      <c r="E387" t="s">
        <v>262</v>
      </c>
      <c r="F387" t="s">
        <v>26</v>
      </c>
      <c r="G387" t="s">
        <v>17</v>
      </c>
      <c r="H387" s="2">
        <v>38863</v>
      </c>
      <c r="I387" s="2">
        <v>38863</v>
      </c>
      <c r="J387" t="s">
        <v>550</v>
      </c>
      <c r="K387" s="2">
        <v>38912</v>
      </c>
      <c r="L387" t="s">
        <v>102</v>
      </c>
      <c r="M387">
        <v>307004</v>
      </c>
      <c r="N387">
        <v>1</v>
      </c>
      <c r="O387">
        <v>1</v>
      </c>
      <c r="P387" t="s">
        <v>20</v>
      </c>
      <c r="Q387" t="s">
        <v>20</v>
      </c>
      <c r="R387">
        <v>757</v>
      </c>
      <c r="S387" t="s">
        <v>3481</v>
      </c>
      <c r="T387" t="s">
        <v>262</v>
      </c>
      <c r="X387" t="s">
        <v>1737</v>
      </c>
    </row>
    <row r="388" spans="1:24" ht="12.75">
      <c r="A388" s="1" t="str">
        <f>HYPERLINK("http://www.ofsted.gov.uk/inspection-reports/find-inspection-report/provider/ELS/54249","Ofsted FES Webpage")</f>
        <v>Ofsted FES Webpage</v>
      </c>
      <c r="B388" t="s">
        <v>567</v>
      </c>
      <c r="C388">
        <v>54249</v>
      </c>
      <c r="D388">
        <v>106862</v>
      </c>
      <c r="E388" t="s">
        <v>568</v>
      </c>
      <c r="F388" t="s">
        <v>68</v>
      </c>
      <c r="G388" t="s">
        <v>17</v>
      </c>
      <c r="H388" s="2">
        <v>41226</v>
      </c>
      <c r="I388" s="2">
        <v>41229</v>
      </c>
      <c r="J388" t="s">
        <v>32</v>
      </c>
      <c r="K388" s="2">
        <v>41262.13552256944</v>
      </c>
      <c r="L388" t="s">
        <v>36</v>
      </c>
      <c r="M388">
        <v>399130</v>
      </c>
      <c r="N388">
        <v>2</v>
      </c>
      <c r="O388">
        <v>2</v>
      </c>
      <c r="P388">
        <v>2</v>
      </c>
      <c r="Q388">
        <v>2</v>
      </c>
      <c r="R388">
        <v>290</v>
      </c>
      <c r="S388" t="s">
        <v>3482</v>
      </c>
      <c r="T388" t="s">
        <v>3483</v>
      </c>
      <c r="U388" t="s">
        <v>446</v>
      </c>
      <c r="X388" t="s">
        <v>1738</v>
      </c>
    </row>
    <row r="389" spans="1:24" ht="12.75">
      <c r="A389" s="1" t="str">
        <f>HYPERLINK("http://www.ofsted.gov.uk/inspection-reports/find-inspection-report/provider/ELS/54267","Ofsted FES Webpage")</f>
        <v>Ofsted FES Webpage</v>
      </c>
      <c r="B389" t="s">
        <v>569</v>
      </c>
      <c r="C389">
        <v>54267</v>
      </c>
      <c r="D389">
        <v>107984</v>
      </c>
      <c r="E389" t="s">
        <v>179</v>
      </c>
      <c r="F389" t="s">
        <v>49</v>
      </c>
      <c r="G389" t="s">
        <v>40</v>
      </c>
      <c r="H389" s="2">
        <v>40518</v>
      </c>
      <c r="I389" s="2">
        <v>40522</v>
      </c>
      <c r="J389" t="s">
        <v>56</v>
      </c>
      <c r="K389" s="2">
        <v>40562.13544560185</v>
      </c>
      <c r="L389" t="s">
        <v>45</v>
      </c>
      <c r="M389">
        <v>354475</v>
      </c>
      <c r="N389">
        <v>2</v>
      </c>
      <c r="O389">
        <v>2</v>
      </c>
      <c r="P389">
        <v>3</v>
      </c>
      <c r="Q389">
        <v>3</v>
      </c>
      <c r="R389">
        <v>3099</v>
      </c>
      <c r="S389" t="s">
        <v>3486</v>
      </c>
      <c r="T389" t="s">
        <v>3487</v>
      </c>
      <c r="U389" t="s">
        <v>2396</v>
      </c>
      <c r="X389" t="s">
        <v>1739</v>
      </c>
    </row>
    <row r="390" spans="1:24" ht="12.75">
      <c r="A390" s="1" t="str">
        <f>HYPERLINK("http://www.ofsted.gov.uk/inspection-reports/find-inspection-report/provider/ELS/54271","Ofsted FES Webpage")</f>
        <v>Ofsted FES Webpage</v>
      </c>
      <c r="B390" t="s">
        <v>570</v>
      </c>
      <c r="C390">
        <v>54271</v>
      </c>
      <c r="D390">
        <v>106381</v>
      </c>
      <c r="E390" t="s">
        <v>179</v>
      </c>
      <c r="F390" t="s">
        <v>49</v>
      </c>
      <c r="G390" t="s">
        <v>40</v>
      </c>
      <c r="H390" s="2">
        <v>40827</v>
      </c>
      <c r="I390" s="2">
        <v>40830</v>
      </c>
      <c r="J390" t="s">
        <v>23</v>
      </c>
      <c r="K390" s="2">
        <v>40865.135489120374</v>
      </c>
      <c r="L390" t="s">
        <v>19</v>
      </c>
      <c r="M390">
        <v>376201</v>
      </c>
      <c r="N390">
        <v>2</v>
      </c>
      <c r="O390">
        <v>2</v>
      </c>
      <c r="P390">
        <v>3</v>
      </c>
      <c r="Q390">
        <v>3</v>
      </c>
      <c r="R390">
        <v>334</v>
      </c>
      <c r="S390" t="s">
        <v>3488</v>
      </c>
      <c r="U390" t="s">
        <v>3489</v>
      </c>
      <c r="W390" t="s">
        <v>3490</v>
      </c>
      <c r="X390" t="s">
        <v>1740</v>
      </c>
    </row>
    <row r="391" spans="1:24" ht="12.75">
      <c r="A391" s="1" t="str">
        <f>HYPERLINK("http://www.ofsted.gov.uk/inspection-reports/find-inspection-report/provider/ELS/54277","Ofsted FES Webpage")</f>
        <v>Ofsted FES Webpage</v>
      </c>
      <c r="B391" t="s">
        <v>571</v>
      </c>
      <c r="C391">
        <v>54277</v>
      </c>
      <c r="D391">
        <v>119814</v>
      </c>
      <c r="E391" t="s">
        <v>572</v>
      </c>
      <c r="F391" t="s">
        <v>49</v>
      </c>
      <c r="G391" t="s">
        <v>17</v>
      </c>
      <c r="H391" s="2">
        <v>40365</v>
      </c>
      <c r="I391" s="2">
        <v>40368</v>
      </c>
      <c r="J391" t="s">
        <v>18</v>
      </c>
      <c r="K391" s="2">
        <v>40403.13549359954</v>
      </c>
      <c r="L391" t="s">
        <v>19</v>
      </c>
      <c r="M391">
        <v>345866</v>
      </c>
      <c r="N391">
        <v>2</v>
      </c>
      <c r="O391">
        <v>2</v>
      </c>
      <c r="P391">
        <v>2</v>
      </c>
      <c r="Q391">
        <v>2</v>
      </c>
      <c r="R391">
        <v>639</v>
      </c>
      <c r="S391" t="s">
        <v>2747</v>
      </c>
      <c r="T391" t="s">
        <v>3491</v>
      </c>
      <c r="U391" t="s">
        <v>3492</v>
      </c>
      <c r="V391" t="s">
        <v>2523</v>
      </c>
      <c r="X391" t="s">
        <v>1741</v>
      </c>
    </row>
    <row r="392" spans="1:24" ht="12.75">
      <c r="A392" s="1" t="str">
        <f>HYPERLINK("http://www.ofsted.gov.uk/inspection-reports/find-inspection-report/provider/ELS/54317","Ofsted FES Webpage")</f>
        <v>Ofsted FES Webpage</v>
      </c>
      <c r="B392" t="s">
        <v>573</v>
      </c>
      <c r="C392">
        <v>54317</v>
      </c>
      <c r="D392">
        <v>115970</v>
      </c>
      <c r="E392" t="s">
        <v>157</v>
      </c>
      <c r="F392" t="s">
        <v>68</v>
      </c>
      <c r="G392" t="s">
        <v>40</v>
      </c>
      <c r="H392" s="2">
        <v>40308</v>
      </c>
      <c r="I392" s="2">
        <v>40312</v>
      </c>
      <c r="J392" t="s">
        <v>18</v>
      </c>
      <c r="K392" s="2">
        <v>40350.13551956019</v>
      </c>
      <c r="L392" t="s">
        <v>45</v>
      </c>
      <c r="M392">
        <v>345780</v>
      </c>
      <c r="N392">
        <v>2</v>
      </c>
      <c r="O392">
        <v>2</v>
      </c>
      <c r="P392">
        <v>3</v>
      </c>
      <c r="Q392">
        <v>3</v>
      </c>
      <c r="R392">
        <v>3345</v>
      </c>
      <c r="S392" t="s">
        <v>3494</v>
      </c>
      <c r="T392" t="s">
        <v>2940</v>
      </c>
      <c r="U392" t="s">
        <v>3495</v>
      </c>
      <c r="V392" t="s">
        <v>67</v>
      </c>
      <c r="X392" t="s">
        <v>1742</v>
      </c>
    </row>
    <row r="393" spans="1:24" ht="12.75">
      <c r="A393" s="1" t="str">
        <f>HYPERLINK("http://www.ofsted.gov.uk/inspection-reports/find-inspection-report/provider/ELS/54325","Ofsted FES Webpage")</f>
        <v>Ofsted FES Webpage</v>
      </c>
      <c r="B393" t="s">
        <v>574</v>
      </c>
      <c r="C393">
        <v>54325</v>
      </c>
      <c r="D393">
        <v>105685</v>
      </c>
      <c r="E393" t="s">
        <v>420</v>
      </c>
      <c r="F393" t="s">
        <v>35</v>
      </c>
      <c r="G393" t="s">
        <v>17</v>
      </c>
      <c r="H393" s="2">
        <v>41134</v>
      </c>
      <c r="I393" s="2">
        <v>41138</v>
      </c>
      <c r="J393" t="s">
        <v>23</v>
      </c>
      <c r="K393" s="2">
        <v>41176.13545347222</v>
      </c>
      <c r="L393" t="s">
        <v>29</v>
      </c>
      <c r="M393">
        <v>388013</v>
      </c>
      <c r="N393">
        <v>2</v>
      </c>
      <c r="O393">
        <v>2</v>
      </c>
      <c r="P393">
        <v>3</v>
      </c>
      <c r="Q393">
        <v>3</v>
      </c>
      <c r="R393">
        <v>671</v>
      </c>
      <c r="S393" t="s">
        <v>3496</v>
      </c>
      <c r="T393" t="s">
        <v>3497</v>
      </c>
      <c r="U393" t="s">
        <v>3498</v>
      </c>
      <c r="W393" t="s">
        <v>35</v>
      </c>
      <c r="X393" t="s">
        <v>1743</v>
      </c>
    </row>
    <row r="394" spans="1:24" ht="12.75">
      <c r="A394" s="1" t="str">
        <f>HYPERLINK("http://www.ofsted.gov.uk/inspection-reports/find-inspection-report/provider/ELS/54333","Ofsted FES Webpage")</f>
        <v>Ofsted FES Webpage</v>
      </c>
      <c r="B394" t="s">
        <v>575</v>
      </c>
      <c r="C394">
        <v>54333</v>
      </c>
      <c r="D394">
        <v>111892</v>
      </c>
      <c r="E394" t="s">
        <v>254</v>
      </c>
      <c r="F394" t="s">
        <v>63</v>
      </c>
      <c r="G394" t="s">
        <v>160</v>
      </c>
      <c r="H394" s="2">
        <v>41799</v>
      </c>
      <c r="I394" s="2">
        <v>41803</v>
      </c>
      <c r="J394" t="s">
        <v>27</v>
      </c>
      <c r="K394" s="2">
        <v>41838.13548564815</v>
      </c>
      <c r="L394" t="s">
        <v>60</v>
      </c>
      <c r="M394">
        <v>429275</v>
      </c>
      <c r="N394">
        <v>3</v>
      </c>
      <c r="O394">
        <v>3</v>
      </c>
      <c r="P394">
        <v>3</v>
      </c>
      <c r="Q394">
        <v>3</v>
      </c>
      <c r="R394">
        <v>3281</v>
      </c>
      <c r="S394" t="s">
        <v>3499</v>
      </c>
      <c r="T394" t="s">
        <v>3500</v>
      </c>
      <c r="U394" t="s">
        <v>2909</v>
      </c>
      <c r="X394" t="s">
        <v>1744</v>
      </c>
    </row>
    <row r="395" spans="1:24" ht="12.75">
      <c r="A395" s="1" t="str">
        <f>HYPERLINK("http://www.ofsted.gov.uk/inspection-reports/find-inspection-report/provider/ELS/54342","Ofsted FES Webpage")</f>
        <v>Ofsted FES Webpage</v>
      </c>
      <c r="B395" t="s">
        <v>576</v>
      </c>
      <c r="C395">
        <v>54342</v>
      </c>
      <c r="D395">
        <v>107081</v>
      </c>
      <c r="E395" t="s">
        <v>80</v>
      </c>
      <c r="F395" t="s">
        <v>26</v>
      </c>
      <c r="G395" t="s">
        <v>17</v>
      </c>
      <c r="H395" s="2">
        <v>40834</v>
      </c>
      <c r="I395" s="2">
        <v>40837</v>
      </c>
      <c r="J395" t="s">
        <v>23</v>
      </c>
      <c r="K395" s="2">
        <v>40872.13548645833</v>
      </c>
      <c r="L395" t="s">
        <v>19</v>
      </c>
      <c r="M395">
        <v>376226</v>
      </c>
      <c r="N395">
        <v>2</v>
      </c>
      <c r="O395">
        <v>2</v>
      </c>
      <c r="P395">
        <v>3</v>
      </c>
      <c r="Q395">
        <v>3</v>
      </c>
      <c r="R395">
        <v>312</v>
      </c>
      <c r="S395" t="s">
        <v>3501</v>
      </c>
      <c r="T395" t="s">
        <v>3502</v>
      </c>
      <c r="W395" t="s">
        <v>80</v>
      </c>
      <c r="X395" t="s">
        <v>1745</v>
      </c>
    </row>
    <row r="396" spans="1:24" ht="12.75">
      <c r="A396" s="1" t="str">
        <f>HYPERLINK("http://www.ofsted.gov.uk/inspection-reports/find-inspection-report/provider/ELS/54349","Ofsted FES Webpage")</f>
        <v>Ofsted FES Webpage</v>
      </c>
      <c r="B396" t="s">
        <v>577</v>
      </c>
      <c r="C396">
        <v>54349</v>
      </c>
      <c r="D396">
        <v>112753</v>
      </c>
      <c r="E396" t="s">
        <v>25</v>
      </c>
      <c r="F396" t="s">
        <v>26</v>
      </c>
      <c r="G396" t="s">
        <v>40</v>
      </c>
      <c r="H396" s="2">
        <v>41673</v>
      </c>
      <c r="I396" s="2">
        <v>41677</v>
      </c>
      <c r="J396" t="s">
        <v>27</v>
      </c>
      <c r="K396" s="2">
        <v>41710.13546701389</v>
      </c>
      <c r="L396" t="s">
        <v>54</v>
      </c>
      <c r="M396">
        <v>429095</v>
      </c>
      <c r="N396">
        <v>2</v>
      </c>
      <c r="O396">
        <v>2</v>
      </c>
      <c r="P396">
        <v>3</v>
      </c>
      <c r="Q396">
        <v>3</v>
      </c>
      <c r="R396">
        <v>7083</v>
      </c>
      <c r="S396" t="s">
        <v>3504</v>
      </c>
      <c r="T396" t="s">
        <v>3505</v>
      </c>
      <c r="V396" t="s">
        <v>25</v>
      </c>
      <c r="X396" t="s">
        <v>1746</v>
      </c>
    </row>
    <row r="397" spans="1:24" ht="12.75">
      <c r="A397" s="1" t="str">
        <f>HYPERLINK("http://www.ofsted.gov.uk/inspection-reports/find-inspection-report/provider/ELS/54373","Ofsted FES Webpage")</f>
        <v>Ofsted FES Webpage</v>
      </c>
      <c r="B397" t="s">
        <v>578</v>
      </c>
      <c r="C397">
        <v>54373</v>
      </c>
      <c r="D397">
        <v>110136</v>
      </c>
      <c r="E397" t="s">
        <v>572</v>
      </c>
      <c r="F397" t="s">
        <v>49</v>
      </c>
      <c r="G397" t="s">
        <v>40</v>
      </c>
      <c r="H397" s="2">
        <v>41575</v>
      </c>
      <c r="I397" s="2">
        <v>41579</v>
      </c>
      <c r="J397" t="s">
        <v>27</v>
      </c>
      <c r="K397" s="2">
        <v>41614.13549201389</v>
      </c>
      <c r="L397" t="s">
        <v>45</v>
      </c>
      <c r="M397">
        <v>423424</v>
      </c>
      <c r="N397">
        <v>3</v>
      </c>
      <c r="O397">
        <v>4</v>
      </c>
      <c r="P397">
        <v>2</v>
      </c>
      <c r="Q397">
        <v>2</v>
      </c>
      <c r="R397">
        <v>5135</v>
      </c>
      <c r="S397" t="s">
        <v>2823</v>
      </c>
      <c r="U397" t="s">
        <v>2523</v>
      </c>
      <c r="X397" t="s">
        <v>1453</v>
      </c>
    </row>
    <row r="398" spans="1:24" ht="12.75">
      <c r="A398" s="1" t="str">
        <f>HYPERLINK("http://www.ofsted.gov.uk/inspection-reports/find-inspection-report/provider/ELS/54397","Ofsted FES Webpage")</f>
        <v>Ofsted FES Webpage</v>
      </c>
      <c r="B398" t="s">
        <v>579</v>
      </c>
      <c r="C398">
        <v>54397</v>
      </c>
      <c r="D398">
        <v>107640</v>
      </c>
      <c r="E398" t="s">
        <v>234</v>
      </c>
      <c r="F398" t="s">
        <v>16</v>
      </c>
      <c r="G398" t="s">
        <v>17</v>
      </c>
      <c r="H398" s="2">
        <v>41562</v>
      </c>
      <c r="I398" s="2">
        <v>41565</v>
      </c>
      <c r="J398" t="s">
        <v>27</v>
      </c>
      <c r="K398" s="2">
        <v>41597.13576412037</v>
      </c>
      <c r="L398" t="s">
        <v>36</v>
      </c>
      <c r="M398">
        <v>429119</v>
      </c>
      <c r="N398">
        <v>2</v>
      </c>
      <c r="O398">
        <v>2</v>
      </c>
      <c r="P398">
        <v>2</v>
      </c>
      <c r="Q398">
        <v>2</v>
      </c>
      <c r="R398">
        <v>174</v>
      </c>
      <c r="S398" t="s">
        <v>3508</v>
      </c>
      <c r="W398" t="s">
        <v>2939</v>
      </c>
      <c r="X398" t="s">
        <v>1747</v>
      </c>
    </row>
    <row r="399" spans="1:24" ht="12.75">
      <c r="A399" s="1" t="str">
        <f>HYPERLINK("http://www.ofsted.gov.uk/inspection-reports/find-inspection-report/provider/ELS/54402","Ofsted FES Webpage")</f>
        <v>Ofsted FES Webpage</v>
      </c>
      <c r="B399" t="s">
        <v>580</v>
      </c>
      <c r="C399">
        <v>54402</v>
      </c>
      <c r="D399">
        <v>109755</v>
      </c>
      <c r="E399" t="s">
        <v>70</v>
      </c>
      <c r="F399" t="s">
        <v>39</v>
      </c>
      <c r="G399" t="s">
        <v>17</v>
      </c>
      <c r="H399" s="2">
        <v>40189</v>
      </c>
      <c r="I399" s="2">
        <v>40193</v>
      </c>
      <c r="J399" t="s">
        <v>18</v>
      </c>
      <c r="K399" s="2">
        <v>40235.13555636574</v>
      </c>
      <c r="L399" t="s">
        <v>19</v>
      </c>
      <c r="M399">
        <v>343658</v>
      </c>
      <c r="N399">
        <v>1</v>
      </c>
      <c r="O399">
        <v>1</v>
      </c>
      <c r="P399">
        <v>3</v>
      </c>
      <c r="Q399">
        <v>2</v>
      </c>
      <c r="R399">
        <v>4983</v>
      </c>
      <c r="S399" t="s">
        <v>3509</v>
      </c>
      <c r="T399" t="s">
        <v>2537</v>
      </c>
      <c r="X399" t="s">
        <v>1748</v>
      </c>
    </row>
    <row r="400" spans="1:24" ht="12.75">
      <c r="A400" s="1" t="str">
        <f>HYPERLINK("http://www.ofsted.gov.uk/inspection-reports/find-inspection-report/provider/ELS/54409","Ofsted FES Webpage")</f>
        <v>Ofsted FES Webpage</v>
      </c>
      <c r="B400" t="s">
        <v>581</v>
      </c>
      <c r="C400">
        <v>54409</v>
      </c>
      <c r="D400">
        <v>116955</v>
      </c>
      <c r="E400" t="s">
        <v>159</v>
      </c>
      <c r="F400" t="s">
        <v>43</v>
      </c>
      <c r="G400" t="s">
        <v>17</v>
      </c>
      <c r="H400" s="2">
        <v>40602</v>
      </c>
      <c r="I400" s="2">
        <v>40606</v>
      </c>
      <c r="J400" t="s">
        <v>56</v>
      </c>
      <c r="K400" s="2">
        <v>40637.135449884256</v>
      </c>
      <c r="L400" t="s">
        <v>19</v>
      </c>
      <c r="M400">
        <v>363234</v>
      </c>
      <c r="N400">
        <v>2</v>
      </c>
      <c r="O400">
        <v>2</v>
      </c>
      <c r="P400">
        <v>3</v>
      </c>
      <c r="Q400">
        <v>3</v>
      </c>
      <c r="R400">
        <v>2985</v>
      </c>
      <c r="S400" t="s">
        <v>3510</v>
      </c>
      <c r="T400" t="s">
        <v>3511</v>
      </c>
      <c r="U400" t="s">
        <v>190</v>
      </c>
      <c r="V400" t="s">
        <v>3047</v>
      </c>
      <c r="X400" t="s">
        <v>1749</v>
      </c>
    </row>
    <row r="401" spans="1:24" ht="12.75">
      <c r="A401" s="1" t="str">
        <f>HYPERLINK("http://www.ofsted.gov.uk/inspection-reports/find-inspection-report/provider/ELS/54414","Ofsted FES Webpage")</f>
        <v>Ofsted FES Webpage</v>
      </c>
      <c r="B401" t="s">
        <v>582</v>
      </c>
      <c r="C401">
        <v>54414</v>
      </c>
      <c r="D401">
        <v>108603</v>
      </c>
      <c r="E401" t="s">
        <v>232</v>
      </c>
      <c r="F401" t="s">
        <v>35</v>
      </c>
      <c r="G401" t="s">
        <v>17</v>
      </c>
      <c r="H401" s="2">
        <v>41702</v>
      </c>
      <c r="I401" s="2">
        <v>41705</v>
      </c>
      <c r="J401" t="s">
        <v>27</v>
      </c>
      <c r="K401" s="2">
        <v>41740.13546524305</v>
      </c>
      <c r="L401" t="s">
        <v>60</v>
      </c>
      <c r="M401">
        <v>429090</v>
      </c>
      <c r="N401">
        <v>2</v>
      </c>
      <c r="O401">
        <v>2</v>
      </c>
      <c r="P401">
        <v>3</v>
      </c>
      <c r="Q401">
        <v>3</v>
      </c>
      <c r="R401">
        <v>559</v>
      </c>
      <c r="S401" t="s">
        <v>3513</v>
      </c>
      <c r="T401" t="s">
        <v>3512</v>
      </c>
      <c r="W401" t="s">
        <v>2888</v>
      </c>
      <c r="X401" t="s">
        <v>1750</v>
      </c>
    </row>
    <row r="402" spans="1:24" ht="12.75">
      <c r="A402" s="1" t="str">
        <f>HYPERLINK("http://www.ofsted.gov.uk/inspection-reports/find-inspection-report/provider/ELS/54429","Ofsted FES Webpage")</f>
        <v>Ofsted FES Webpage</v>
      </c>
      <c r="B402" t="s">
        <v>583</v>
      </c>
      <c r="C402">
        <v>54429</v>
      </c>
      <c r="D402">
        <v>106336</v>
      </c>
      <c r="E402" t="s">
        <v>539</v>
      </c>
      <c r="F402" t="s">
        <v>43</v>
      </c>
      <c r="G402" t="s">
        <v>40</v>
      </c>
      <c r="H402" s="2">
        <v>40483</v>
      </c>
      <c r="I402" s="2">
        <v>40487</v>
      </c>
      <c r="J402" t="s">
        <v>56</v>
      </c>
      <c r="K402" s="2">
        <v>40520.13545026621</v>
      </c>
      <c r="L402" t="s">
        <v>45</v>
      </c>
      <c r="M402">
        <v>363138</v>
      </c>
      <c r="N402">
        <v>2</v>
      </c>
      <c r="O402">
        <v>2</v>
      </c>
      <c r="P402">
        <v>2</v>
      </c>
      <c r="Q402">
        <v>2</v>
      </c>
      <c r="R402">
        <v>3578</v>
      </c>
      <c r="S402" t="s">
        <v>2569</v>
      </c>
      <c r="T402" t="s">
        <v>3515</v>
      </c>
      <c r="W402" t="s">
        <v>539</v>
      </c>
      <c r="X402" t="s">
        <v>1751</v>
      </c>
    </row>
    <row r="403" spans="1:24" ht="12.75">
      <c r="A403" s="1" t="str">
        <f>HYPERLINK("http://www.ofsted.gov.uk/inspection-reports/find-inspection-report/provider/ELS/54434","Ofsted FES Webpage")</f>
        <v>Ofsted FES Webpage</v>
      </c>
      <c r="B403" t="s">
        <v>584</v>
      </c>
      <c r="C403">
        <v>54434</v>
      </c>
      <c r="D403">
        <v>108550</v>
      </c>
      <c r="E403" t="s">
        <v>220</v>
      </c>
      <c r="F403" t="s">
        <v>43</v>
      </c>
      <c r="G403" t="s">
        <v>17</v>
      </c>
      <c r="H403" s="2">
        <v>41288</v>
      </c>
      <c r="I403" s="2">
        <v>41292</v>
      </c>
      <c r="J403" t="s">
        <v>32</v>
      </c>
      <c r="K403" s="2">
        <v>41327.135467939814</v>
      </c>
      <c r="L403" t="s">
        <v>28</v>
      </c>
      <c r="M403">
        <v>398455</v>
      </c>
      <c r="N403">
        <v>2</v>
      </c>
      <c r="O403">
        <v>2</v>
      </c>
      <c r="P403">
        <v>4</v>
      </c>
      <c r="Q403">
        <v>4</v>
      </c>
      <c r="R403">
        <v>4194</v>
      </c>
      <c r="S403" t="s">
        <v>3516</v>
      </c>
      <c r="T403" t="s">
        <v>3517</v>
      </c>
      <c r="W403" t="s">
        <v>2408</v>
      </c>
      <c r="X403" t="s">
        <v>1752</v>
      </c>
    </row>
    <row r="404" spans="1:24" ht="12.75">
      <c r="A404" s="1" t="str">
        <f>HYPERLINK("http://www.ofsted.gov.uk/inspection-reports/find-inspection-report/provider/ELS/54460","Ofsted FES Webpage")</f>
        <v>Ofsted FES Webpage</v>
      </c>
      <c r="B404" t="s">
        <v>585</v>
      </c>
      <c r="C404">
        <v>54460</v>
      </c>
      <c r="D404">
        <v>107998</v>
      </c>
      <c r="E404" t="s">
        <v>254</v>
      </c>
      <c r="F404" t="s">
        <v>63</v>
      </c>
      <c r="G404" t="s">
        <v>40</v>
      </c>
      <c r="H404" s="2">
        <v>41806</v>
      </c>
      <c r="I404" s="2">
        <v>41810</v>
      </c>
      <c r="J404" t="s">
        <v>27</v>
      </c>
      <c r="K404" s="2">
        <v>41845.135441666665</v>
      </c>
      <c r="L404" t="s">
        <v>45</v>
      </c>
      <c r="M404">
        <v>423425</v>
      </c>
      <c r="N404">
        <v>2</v>
      </c>
      <c r="O404">
        <v>2</v>
      </c>
      <c r="P404">
        <v>2</v>
      </c>
      <c r="Q404">
        <v>2</v>
      </c>
      <c r="R404">
        <v>9967</v>
      </c>
      <c r="S404" t="s">
        <v>585</v>
      </c>
      <c r="T404" t="s">
        <v>2425</v>
      </c>
      <c r="U404" t="s">
        <v>2909</v>
      </c>
      <c r="X404" t="s">
        <v>1753</v>
      </c>
    </row>
    <row r="405" spans="1:24" ht="12.75">
      <c r="A405" s="1" t="str">
        <f>HYPERLINK("http://www.ofsted.gov.uk/inspection-reports/find-inspection-report/provider/ELS/54492","Ofsted FES Webpage")</f>
        <v>Ofsted FES Webpage</v>
      </c>
      <c r="B405" t="s">
        <v>586</v>
      </c>
      <c r="C405">
        <v>54492</v>
      </c>
      <c r="D405">
        <v>107989</v>
      </c>
      <c r="E405" t="s">
        <v>296</v>
      </c>
      <c r="F405" t="s">
        <v>26</v>
      </c>
      <c r="G405" t="s">
        <v>40</v>
      </c>
      <c r="H405" s="2">
        <v>41344</v>
      </c>
      <c r="I405" s="2">
        <v>41348</v>
      </c>
      <c r="J405" t="s">
        <v>32</v>
      </c>
      <c r="K405" s="2">
        <v>41383.135748761575</v>
      </c>
      <c r="L405" t="s">
        <v>45</v>
      </c>
      <c r="M405">
        <v>408467</v>
      </c>
      <c r="N405">
        <v>2</v>
      </c>
      <c r="O405">
        <v>1</v>
      </c>
      <c r="P405">
        <v>2</v>
      </c>
      <c r="Q405">
        <v>2</v>
      </c>
      <c r="R405">
        <v>4945</v>
      </c>
      <c r="T405" t="s">
        <v>2569</v>
      </c>
      <c r="U405" t="s">
        <v>3520</v>
      </c>
      <c r="W405" t="s">
        <v>2832</v>
      </c>
      <c r="X405" t="s">
        <v>1754</v>
      </c>
    </row>
    <row r="406" spans="1:24" ht="12.75">
      <c r="A406" s="1" t="str">
        <f>HYPERLINK("http://www.ofsted.gov.uk/inspection-reports/find-inspection-report/provider/ELS/54495","Ofsted FES Webpage")</f>
        <v>Ofsted FES Webpage</v>
      </c>
      <c r="B406" t="s">
        <v>587</v>
      </c>
      <c r="C406">
        <v>54495</v>
      </c>
      <c r="D406">
        <v>105310</v>
      </c>
      <c r="E406" t="s">
        <v>114</v>
      </c>
      <c r="F406" t="s">
        <v>26</v>
      </c>
      <c r="G406" t="s">
        <v>17</v>
      </c>
      <c r="H406" s="2">
        <v>41834</v>
      </c>
      <c r="I406" s="2">
        <v>41838</v>
      </c>
      <c r="J406" t="s">
        <v>27</v>
      </c>
      <c r="K406" s="2">
        <v>41871.13547450231</v>
      </c>
      <c r="L406" t="s">
        <v>60</v>
      </c>
      <c r="M406">
        <v>429278</v>
      </c>
      <c r="N406">
        <v>1</v>
      </c>
      <c r="O406">
        <v>1</v>
      </c>
      <c r="P406">
        <v>3</v>
      </c>
      <c r="Q406">
        <v>3</v>
      </c>
      <c r="R406">
        <v>830</v>
      </c>
      <c r="T406" t="s">
        <v>3095</v>
      </c>
      <c r="U406" t="s">
        <v>2865</v>
      </c>
      <c r="W406" t="s">
        <v>2866</v>
      </c>
      <c r="X406" t="s">
        <v>1755</v>
      </c>
    </row>
    <row r="407" spans="1:24" ht="12.75">
      <c r="A407" s="1" t="str">
        <f>HYPERLINK("http://www.ofsted.gov.uk/inspection-reports/find-inspection-report/provider/ELS/54501","Ofsted FES Webpage")</f>
        <v>Ofsted FES Webpage</v>
      </c>
      <c r="B407" t="s">
        <v>588</v>
      </c>
      <c r="C407">
        <v>54501</v>
      </c>
      <c r="D407">
        <v>116226</v>
      </c>
      <c r="E407" t="s">
        <v>410</v>
      </c>
      <c r="F407" t="s">
        <v>63</v>
      </c>
      <c r="G407" t="s">
        <v>17</v>
      </c>
      <c r="H407" s="2">
        <v>41435</v>
      </c>
      <c r="I407" s="2">
        <v>41439</v>
      </c>
      <c r="J407" t="s">
        <v>32</v>
      </c>
      <c r="K407" s="2">
        <v>41474.135570335646</v>
      </c>
      <c r="L407" t="s">
        <v>29</v>
      </c>
      <c r="M407">
        <v>408542</v>
      </c>
      <c r="N407">
        <v>2</v>
      </c>
      <c r="O407">
        <v>2</v>
      </c>
      <c r="P407">
        <v>2</v>
      </c>
      <c r="Q407">
        <v>2</v>
      </c>
      <c r="R407">
        <v>1367</v>
      </c>
      <c r="S407" t="s">
        <v>3521</v>
      </c>
      <c r="T407" t="s">
        <v>3522</v>
      </c>
      <c r="W407" t="s">
        <v>2885</v>
      </c>
      <c r="X407" t="s">
        <v>1756</v>
      </c>
    </row>
    <row r="408" spans="1:24" ht="12.75">
      <c r="A408" s="1" t="str">
        <f>HYPERLINK("http://www.ofsted.gov.uk/inspection-reports/find-inspection-report/provider/ELS/54504","Ofsted FES Webpage")</f>
        <v>Ofsted FES Webpage</v>
      </c>
      <c r="B408" t="s">
        <v>589</v>
      </c>
      <c r="C408">
        <v>54504</v>
      </c>
      <c r="D408">
        <v>106993</v>
      </c>
      <c r="E408" t="s">
        <v>25</v>
      </c>
      <c r="F408" t="s">
        <v>26</v>
      </c>
      <c r="G408" t="s">
        <v>17</v>
      </c>
      <c r="H408" s="2">
        <v>41408</v>
      </c>
      <c r="I408" s="2">
        <v>41411</v>
      </c>
      <c r="J408" t="s">
        <v>32</v>
      </c>
      <c r="K408" s="2">
        <v>41444.13547847222</v>
      </c>
      <c r="L408" t="s">
        <v>36</v>
      </c>
      <c r="M408">
        <v>410692</v>
      </c>
      <c r="N408">
        <v>3</v>
      </c>
      <c r="O408">
        <v>3</v>
      </c>
      <c r="P408">
        <v>3</v>
      </c>
      <c r="Q408">
        <v>3</v>
      </c>
      <c r="R408">
        <v>113</v>
      </c>
      <c r="S408" t="s">
        <v>3523</v>
      </c>
      <c r="T408" t="s">
        <v>3524</v>
      </c>
      <c r="W408" t="s">
        <v>25</v>
      </c>
      <c r="X408" t="s">
        <v>1757</v>
      </c>
    </row>
    <row r="409" spans="1:24" ht="12.75">
      <c r="A409" s="1" t="str">
        <f>HYPERLINK("http://www.ofsted.gov.uk/inspection-reports/find-inspection-report/provider/ELS/54505","Ofsted FES Webpage")</f>
        <v>Ofsted FES Webpage</v>
      </c>
      <c r="B409" t="s">
        <v>590</v>
      </c>
      <c r="C409">
        <v>54505</v>
      </c>
      <c r="D409">
        <v>109605</v>
      </c>
      <c r="E409" t="s">
        <v>274</v>
      </c>
      <c r="F409" t="s">
        <v>26</v>
      </c>
      <c r="G409" t="s">
        <v>40</v>
      </c>
      <c r="H409" s="2">
        <v>40463</v>
      </c>
      <c r="I409" s="2">
        <v>40466</v>
      </c>
      <c r="J409" t="s">
        <v>56</v>
      </c>
      <c r="K409" s="2">
        <v>40501.135447685185</v>
      </c>
      <c r="L409" t="s">
        <v>19</v>
      </c>
      <c r="M409">
        <v>364510</v>
      </c>
      <c r="N409">
        <v>2</v>
      </c>
      <c r="O409">
        <v>2</v>
      </c>
      <c r="P409">
        <v>1</v>
      </c>
      <c r="Q409">
        <v>1</v>
      </c>
      <c r="R409">
        <v>282</v>
      </c>
      <c r="S409" t="s">
        <v>3525</v>
      </c>
      <c r="T409" t="s">
        <v>3184</v>
      </c>
      <c r="W409" t="s">
        <v>274</v>
      </c>
      <c r="X409" t="s">
        <v>1758</v>
      </c>
    </row>
    <row r="410" spans="1:24" ht="12.75">
      <c r="A410" s="1" t="str">
        <f>HYPERLINK("http://www.ofsted.gov.uk/inspection-reports/find-inspection-report/provider/ELS/54509","Ofsted FES Webpage")</f>
        <v>Ofsted FES Webpage</v>
      </c>
      <c r="B410" t="s">
        <v>591</v>
      </c>
      <c r="C410">
        <v>54509</v>
      </c>
      <c r="D410">
        <v>110203</v>
      </c>
      <c r="E410" t="s">
        <v>592</v>
      </c>
      <c r="F410" t="s">
        <v>43</v>
      </c>
      <c r="G410" t="s">
        <v>40</v>
      </c>
      <c r="H410" s="2">
        <v>41401</v>
      </c>
      <c r="I410" s="2">
        <v>41404</v>
      </c>
      <c r="J410" t="s">
        <v>32</v>
      </c>
      <c r="K410" s="2">
        <v>41442.13554575232</v>
      </c>
      <c r="L410" t="s">
        <v>45</v>
      </c>
      <c r="M410">
        <v>410636</v>
      </c>
      <c r="N410">
        <v>2</v>
      </c>
      <c r="O410">
        <v>3</v>
      </c>
      <c r="P410">
        <v>3</v>
      </c>
      <c r="Q410">
        <v>3</v>
      </c>
      <c r="R410">
        <v>4653</v>
      </c>
      <c r="S410" t="s">
        <v>2490</v>
      </c>
      <c r="W410" t="s">
        <v>592</v>
      </c>
      <c r="X410" t="s">
        <v>1759</v>
      </c>
    </row>
    <row r="411" spans="1:24" ht="12.75">
      <c r="A411" s="1" t="str">
        <f>HYPERLINK("http://www.ofsted.gov.uk/inspection-reports/find-inspection-report/provider/ELS/54510","Ofsted FES Webpage")</f>
        <v>Ofsted FES Webpage</v>
      </c>
      <c r="B411" t="s">
        <v>593</v>
      </c>
      <c r="C411">
        <v>54510</v>
      </c>
      <c r="D411">
        <v>106612</v>
      </c>
      <c r="E411" t="s">
        <v>592</v>
      </c>
      <c r="F411" t="s">
        <v>43</v>
      </c>
      <c r="G411" t="s">
        <v>17</v>
      </c>
      <c r="H411" s="2">
        <v>41240</v>
      </c>
      <c r="I411" s="2">
        <v>41243</v>
      </c>
      <c r="J411" t="s">
        <v>32</v>
      </c>
      <c r="K411" s="2">
        <v>41283.135727546294</v>
      </c>
      <c r="L411" t="s">
        <v>29</v>
      </c>
      <c r="M411">
        <v>404564</v>
      </c>
      <c r="N411">
        <v>2</v>
      </c>
      <c r="O411">
        <v>2</v>
      </c>
      <c r="P411">
        <v>3</v>
      </c>
      <c r="Q411">
        <v>3</v>
      </c>
      <c r="R411">
        <v>261</v>
      </c>
      <c r="T411" t="s">
        <v>3526</v>
      </c>
      <c r="U411" t="s">
        <v>3527</v>
      </c>
      <c r="W411" t="s">
        <v>592</v>
      </c>
      <c r="X411" t="s">
        <v>1760</v>
      </c>
    </row>
    <row r="412" spans="1:24" ht="12.75">
      <c r="A412" s="1" t="str">
        <f>HYPERLINK("http://www.ofsted.gov.uk/inspection-reports/find-inspection-report/provider/ELS/54519","Ofsted FES Webpage")</f>
        <v>Ofsted FES Webpage</v>
      </c>
      <c r="B412" t="s">
        <v>594</v>
      </c>
      <c r="C412">
        <v>54519</v>
      </c>
      <c r="D412">
        <v>110149</v>
      </c>
      <c r="E412" t="s">
        <v>230</v>
      </c>
      <c r="F412" t="s">
        <v>39</v>
      </c>
      <c r="G412" t="s">
        <v>40</v>
      </c>
      <c r="H412" s="2">
        <v>39755</v>
      </c>
      <c r="I412" s="2">
        <v>39759</v>
      </c>
      <c r="J412" t="s">
        <v>44</v>
      </c>
      <c r="K412" s="2">
        <v>39794.13561643518</v>
      </c>
      <c r="L412" t="s">
        <v>45</v>
      </c>
      <c r="M412">
        <v>329818</v>
      </c>
      <c r="N412">
        <v>2</v>
      </c>
      <c r="O412">
        <v>1</v>
      </c>
      <c r="P412" t="s">
        <v>20</v>
      </c>
      <c r="Q412" t="s">
        <v>20</v>
      </c>
      <c r="R412">
        <v>4888</v>
      </c>
      <c r="S412" t="s">
        <v>3528</v>
      </c>
      <c r="T412" t="s">
        <v>3529</v>
      </c>
      <c r="U412" t="s">
        <v>3530</v>
      </c>
      <c r="W412" t="s">
        <v>2767</v>
      </c>
      <c r="X412" t="s">
        <v>1761</v>
      </c>
    </row>
    <row r="413" spans="1:24" ht="12.75">
      <c r="A413" s="1" t="str">
        <f>HYPERLINK("http://www.ofsted.gov.uk/inspection-reports/find-inspection-report/provider/ELS/54532","Ofsted FES Webpage")</f>
        <v>Ofsted FES Webpage</v>
      </c>
      <c r="B413" t="s">
        <v>595</v>
      </c>
      <c r="C413">
        <v>54532</v>
      </c>
      <c r="D413">
        <v>105037</v>
      </c>
      <c r="E413" t="s">
        <v>91</v>
      </c>
      <c r="F413" t="s">
        <v>43</v>
      </c>
      <c r="G413" t="s">
        <v>17</v>
      </c>
      <c r="H413" s="2">
        <v>41806</v>
      </c>
      <c r="I413" s="2">
        <v>41810</v>
      </c>
      <c r="J413" t="s">
        <v>27</v>
      </c>
      <c r="K413" s="2">
        <v>41845.135454780095</v>
      </c>
      <c r="L413" t="s">
        <v>29</v>
      </c>
      <c r="M413">
        <v>434052</v>
      </c>
      <c r="N413">
        <v>2</v>
      </c>
      <c r="O413">
        <v>2</v>
      </c>
      <c r="P413">
        <v>2</v>
      </c>
      <c r="Q413">
        <v>2</v>
      </c>
      <c r="R413">
        <v>530</v>
      </c>
      <c r="S413" t="s">
        <v>3532</v>
      </c>
      <c r="T413" t="s">
        <v>2779</v>
      </c>
      <c r="X413" t="s">
        <v>1762</v>
      </c>
    </row>
    <row r="414" spans="1:24" ht="12.75">
      <c r="A414" s="1" t="str">
        <f>HYPERLINK("http://www.ofsted.gov.uk/inspection-reports/find-inspection-report/provider/ELS/54552","Ofsted FES Webpage")</f>
        <v>Ofsted FES Webpage</v>
      </c>
      <c r="B414" t="s">
        <v>596</v>
      </c>
      <c r="C414">
        <v>54552</v>
      </c>
      <c r="D414">
        <v>108616</v>
      </c>
      <c r="E414" t="s">
        <v>170</v>
      </c>
      <c r="F414" t="s">
        <v>68</v>
      </c>
      <c r="G414" t="s">
        <v>17</v>
      </c>
      <c r="H414" s="2">
        <v>40918</v>
      </c>
      <c r="I414" s="2">
        <v>40921</v>
      </c>
      <c r="J414" t="s">
        <v>23</v>
      </c>
      <c r="K414" s="2">
        <v>40955.135622650465</v>
      </c>
      <c r="L414" t="s">
        <v>19</v>
      </c>
      <c r="M414">
        <v>385745</v>
      </c>
      <c r="N414">
        <v>2</v>
      </c>
      <c r="O414">
        <v>2</v>
      </c>
      <c r="P414">
        <v>2</v>
      </c>
      <c r="Q414">
        <v>2</v>
      </c>
      <c r="R414">
        <v>57</v>
      </c>
      <c r="S414" t="s">
        <v>3533</v>
      </c>
      <c r="U414" t="s">
        <v>3534</v>
      </c>
      <c r="W414" t="s">
        <v>2655</v>
      </c>
      <c r="X414" t="s">
        <v>1764</v>
      </c>
    </row>
    <row r="415" spans="1:24" ht="12.75">
      <c r="A415" s="1" t="str">
        <f>HYPERLINK("http://www.ofsted.gov.uk/inspection-reports/find-inspection-report/provider/ELS/54562","Ofsted FES Webpage")</f>
        <v>Ofsted FES Webpage</v>
      </c>
      <c r="B415" t="s">
        <v>597</v>
      </c>
      <c r="C415">
        <v>54562</v>
      </c>
      <c r="D415">
        <v>106937</v>
      </c>
      <c r="E415" t="s">
        <v>598</v>
      </c>
      <c r="F415" t="s">
        <v>68</v>
      </c>
      <c r="G415" t="s">
        <v>17</v>
      </c>
      <c r="H415" s="2">
        <v>41253</v>
      </c>
      <c r="I415" s="2">
        <v>41257</v>
      </c>
      <c r="J415" t="s">
        <v>32</v>
      </c>
      <c r="K415" s="2">
        <v>41292.13544386574</v>
      </c>
      <c r="L415" t="s">
        <v>36</v>
      </c>
      <c r="M415">
        <v>366034</v>
      </c>
      <c r="N415">
        <v>2</v>
      </c>
      <c r="O415">
        <v>2</v>
      </c>
      <c r="P415">
        <v>2</v>
      </c>
      <c r="Q415">
        <v>2</v>
      </c>
      <c r="R415">
        <v>2263</v>
      </c>
      <c r="S415" t="s">
        <v>3535</v>
      </c>
      <c r="T415" t="s">
        <v>3536</v>
      </c>
      <c r="W415" t="s">
        <v>2487</v>
      </c>
      <c r="X415" t="s">
        <v>1765</v>
      </c>
    </row>
    <row r="416" spans="1:24" ht="12.75">
      <c r="A416" s="1" t="str">
        <f>HYPERLINK("http://www.ofsted.gov.uk/inspection-reports/find-inspection-report/provider/ELS/54563","Ofsted FES Webpage")</f>
        <v>Ofsted FES Webpage</v>
      </c>
      <c r="B416" t="s">
        <v>599</v>
      </c>
      <c r="C416">
        <v>54563</v>
      </c>
      <c r="D416">
        <v>114821</v>
      </c>
      <c r="E416" t="s">
        <v>598</v>
      </c>
      <c r="F416" t="s">
        <v>68</v>
      </c>
      <c r="G416" t="s">
        <v>40</v>
      </c>
      <c r="H416" s="2">
        <v>40238</v>
      </c>
      <c r="I416" s="2">
        <v>40242</v>
      </c>
      <c r="J416" t="s">
        <v>18</v>
      </c>
      <c r="K416" s="2">
        <v>40319.13552144676</v>
      </c>
      <c r="L416" t="s">
        <v>45</v>
      </c>
      <c r="M416">
        <v>345781</v>
      </c>
      <c r="N416">
        <v>2</v>
      </c>
      <c r="O416">
        <v>2</v>
      </c>
      <c r="P416">
        <v>2</v>
      </c>
      <c r="Q416">
        <v>2</v>
      </c>
      <c r="R416">
        <v>1861</v>
      </c>
      <c r="S416" t="s">
        <v>3537</v>
      </c>
      <c r="T416" t="s">
        <v>2404</v>
      </c>
      <c r="U416" t="s">
        <v>598</v>
      </c>
      <c r="V416" t="s">
        <v>2481</v>
      </c>
      <c r="X416" t="s">
        <v>1766</v>
      </c>
    </row>
    <row r="417" spans="1:24" ht="12.75">
      <c r="A417" s="1" t="str">
        <f>HYPERLINK("http://www.ofsted.gov.uk/inspection-reports/find-inspection-report/provider/ELS/54584","Ofsted FES Webpage")</f>
        <v>Ofsted FES Webpage</v>
      </c>
      <c r="B417" t="s">
        <v>600</v>
      </c>
      <c r="C417">
        <v>54584</v>
      </c>
      <c r="D417">
        <v>116188</v>
      </c>
      <c r="E417" t="s">
        <v>213</v>
      </c>
      <c r="F417" t="s">
        <v>49</v>
      </c>
      <c r="G417" t="s">
        <v>40</v>
      </c>
      <c r="H417" s="2">
        <v>41232</v>
      </c>
      <c r="I417" s="2">
        <v>41236</v>
      </c>
      <c r="J417" t="s">
        <v>32</v>
      </c>
      <c r="K417" s="2">
        <v>41276.13544571759</v>
      </c>
      <c r="L417" t="s">
        <v>45</v>
      </c>
      <c r="M417">
        <v>399146</v>
      </c>
      <c r="N417">
        <v>2</v>
      </c>
      <c r="O417">
        <v>1</v>
      </c>
      <c r="P417">
        <v>3</v>
      </c>
      <c r="Q417">
        <v>3</v>
      </c>
      <c r="R417">
        <v>12600</v>
      </c>
      <c r="S417" t="s">
        <v>3539</v>
      </c>
      <c r="T417" t="s">
        <v>2814</v>
      </c>
      <c r="X417" t="s">
        <v>1767</v>
      </c>
    </row>
    <row r="418" spans="1:24" ht="12.75">
      <c r="A418" s="1" t="str">
        <f>HYPERLINK("http://www.ofsted.gov.uk/inspection-reports/find-inspection-report/provider/ELS/54624","Ofsted FES Webpage")</f>
        <v>Ofsted FES Webpage</v>
      </c>
      <c r="B418" t="s">
        <v>601</v>
      </c>
      <c r="C418">
        <v>54624</v>
      </c>
      <c r="D418">
        <v>106864</v>
      </c>
      <c r="E418" t="s">
        <v>126</v>
      </c>
      <c r="F418" t="s">
        <v>68</v>
      </c>
      <c r="G418" t="s">
        <v>40</v>
      </c>
      <c r="H418" s="2">
        <v>41324</v>
      </c>
      <c r="I418" s="2">
        <v>41327</v>
      </c>
      <c r="J418" t="s">
        <v>32</v>
      </c>
      <c r="K418" s="2">
        <v>41358.135543136574</v>
      </c>
      <c r="L418" t="s">
        <v>29</v>
      </c>
      <c r="M418">
        <v>408543</v>
      </c>
      <c r="N418">
        <v>2</v>
      </c>
      <c r="O418">
        <v>2</v>
      </c>
      <c r="P418">
        <v>3</v>
      </c>
      <c r="Q418">
        <v>3</v>
      </c>
      <c r="R418">
        <v>199</v>
      </c>
      <c r="S418" t="s">
        <v>3541</v>
      </c>
      <c r="T418" t="s">
        <v>3542</v>
      </c>
      <c r="W418" t="s">
        <v>126</v>
      </c>
      <c r="X418" t="s">
        <v>1769</v>
      </c>
    </row>
    <row r="419" spans="1:24" ht="12.75">
      <c r="A419" s="1" t="str">
        <f>HYPERLINK("http://www.ofsted.gov.uk/inspection-reports/find-inspection-report/provider/ELS/54630","Ofsted FES Webpage")</f>
        <v>Ofsted FES Webpage</v>
      </c>
      <c r="B419" t="s">
        <v>602</v>
      </c>
      <c r="C419">
        <v>54630</v>
      </c>
      <c r="D419">
        <v>107084</v>
      </c>
      <c r="E419" t="s">
        <v>87</v>
      </c>
      <c r="F419" t="s">
        <v>26</v>
      </c>
      <c r="G419" t="s">
        <v>40</v>
      </c>
      <c r="H419" s="2">
        <v>41792</v>
      </c>
      <c r="I419" s="2">
        <v>41796</v>
      </c>
      <c r="J419" t="s">
        <v>27</v>
      </c>
      <c r="K419" s="2">
        <v>41829.13555119213</v>
      </c>
      <c r="L419" t="s">
        <v>83</v>
      </c>
      <c r="M419">
        <v>434072</v>
      </c>
      <c r="N419">
        <v>2</v>
      </c>
      <c r="O419">
        <v>2</v>
      </c>
      <c r="P419">
        <v>3</v>
      </c>
      <c r="Q419">
        <v>3</v>
      </c>
      <c r="R419">
        <v>6215</v>
      </c>
      <c r="S419" t="s">
        <v>3544</v>
      </c>
      <c r="T419" t="s">
        <v>3545</v>
      </c>
      <c r="U419" t="s">
        <v>3104</v>
      </c>
      <c r="V419" t="s">
        <v>2507</v>
      </c>
      <c r="X419" t="s">
        <v>1770</v>
      </c>
    </row>
    <row r="420" spans="1:24" ht="12.75">
      <c r="A420" s="1" t="str">
        <f>HYPERLINK("http://www.ofsted.gov.uk/inspection-reports/find-inspection-report/provider/ELS/54636","Ofsted FES Webpage")</f>
        <v>Ofsted FES Webpage</v>
      </c>
      <c r="B420" t="s">
        <v>603</v>
      </c>
      <c r="C420">
        <v>54636</v>
      </c>
      <c r="D420">
        <v>116195</v>
      </c>
      <c r="E420" t="s">
        <v>140</v>
      </c>
      <c r="F420" t="s">
        <v>49</v>
      </c>
      <c r="G420" t="s">
        <v>40</v>
      </c>
      <c r="H420" s="2">
        <v>41240</v>
      </c>
      <c r="I420" s="2">
        <v>41243</v>
      </c>
      <c r="J420" t="s">
        <v>32</v>
      </c>
      <c r="K420" s="2">
        <v>41264.135514849535</v>
      </c>
      <c r="L420" t="s">
        <v>45</v>
      </c>
      <c r="M420">
        <v>399148</v>
      </c>
      <c r="N420">
        <v>2</v>
      </c>
      <c r="O420">
        <v>2</v>
      </c>
      <c r="P420">
        <v>3</v>
      </c>
      <c r="Q420">
        <v>3</v>
      </c>
      <c r="R420">
        <v>4637</v>
      </c>
      <c r="S420" t="s">
        <v>2490</v>
      </c>
      <c r="T420" t="s">
        <v>3547</v>
      </c>
      <c r="U420" t="s">
        <v>140</v>
      </c>
      <c r="X420" t="s">
        <v>1771</v>
      </c>
    </row>
    <row r="421" spans="1:24" ht="12.75">
      <c r="A421" s="1" t="str">
        <f>HYPERLINK("http://www.ofsted.gov.uk/inspection-reports/find-inspection-report/provider/ELS/54640","Ofsted FES Webpage")</f>
        <v>Ofsted FES Webpage</v>
      </c>
      <c r="B421" t="s">
        <v>604</v>
      </c>
      <c r="C421">
        <v>54640</v>
      </c>
      <c r="D421">
        <v>109702</v>
      </c>
      <c r="E421" t="s">
        <v>350</v>
      </c>
      <c r="F421" t="s">
        <v>43</v>
      </c>
      <c r="G421" t="s">
        <v>17</v>
      </c>
      <c r="H421" s="2">
        <v>40155</v>
      </c>
      <c r="I421" s="2">
        <v>40158</v>
      </c>
      <c r="J421" t="s">
        <v>18</v>
      </c>
      <c r="K421" s="2">
        <v>40198.135528784725</v>
      </c>
      <c r="L421" t="s">
        <v>19</v>
      </c>
      <c r="M421">
        <v>342602</v>
      </c>
      <c r="N421">
        <v>2</v>
      </c>
      <c r="O421">
        <v>2</v>
      </c>
      <c r="P421" t="s">
        <v>20</v>
      </c>
      <c r="Q421" t="s">
        <v>20</v>
      </c>
      <c r="R421">
        <v>9</v>
      </c>
      <c r="S421" t="s">
        <v>3548</v>
      </c>
      <c r="T421" t="s">
        <v>3549</v>
      </c>
      <c r="U421" t="s">
        <v>3550</v>
      </c>
      <c r="X421" t="s">
        <v>1772</v>
      </c>
    </row>
    <row r="422" spans="1:24" ht="12.75">
      <c r="A422" s="1" t="str">
        <f>HYPERLINK("http://www.ofsted.gov.uk/inspection-reports/find-inspection-report/provider/ELS/54643","Ofsted FES Webpage")</f>
        <v>Ofsted FES Webpage</v>
      </c>
      <c r="B422" t="s">
        <v>605</v>
      </c>
      <c r="C422">
        <v>54643</v>
      </c>
      <c r="D422">
        <v>107957</v>
      </c>
      <c r="E422" t="s">
        <v>51</v>
      </c>
      <c r="F422" t="s">
        <v>16</v>
      </c>
      <c r="G422" t="s">
        <v>17</v>
      </c>
      <c r="H422" s="2">
        <v>41450</v>
      </c>
      <c r="I422" s="2">
        <v>41452</v>
      </c>
      <c r="J422" t="s">
        <v>32</v>
      </c>
      <c r="K422" s="2">
        <v>41487.13546365741</v>
      </c>
      <c r="L422" t="s">
        <v>29</v>
      </c>
      <c r="M422">
        <v>408544</v>
      </c>
      <c r="N422">
        <v>3</v>
      </c>
      <c r="O422">
        <v>3</v>
      </c>
      <c r="P422">
        <v>3</v>
      </c>
      <c r="Q422">
        <v>3</v>
      </c>
      <c r="R422">
        <v>59</v>
      </c>
      <c r="S422" t="s">
        <v>3552</v>
      </c>
      <c r="T422" t="s">
        <v>2398</v>
      </c>
      <c r="X422" t="s">
        <v>1774</v>
      </c>
    </row>
    <row r="423" spans="1:24" ht="12.75">
      <c r="A423" s="1" t="str">
        <f>HYPERLINK("http://www.ofsted.gov.uk/inspection-reports/find-inspection-report/provider/ELS/54649","Ofsted FES Webpage")</f>
        <v>Ofsted FES Webpage</v>
      </c>
      <c r="B423" t="s">
        <v>606</v>
      </c>
      <c r="C423">
        <v>54649</v>
      </c>
      <c r="D423">
        <v>105444</v>
      </c>
      <c r="E423" t="s">
        <v>22</v>
      </c>
      <c r="F423" t="s">
        <v>16</v>
      </c>
      <c r="G423" t="s">
        <v>17</v>
      </c>
      <c r="H423" s="2">
        <v>40344</v>
      </c>
      <c r="I423" s="2">
        <v>40347</v>
      </c>
      <c r="J423" t="s">
        <v>18</v>
      </c>
      <c r="K423" s="2">
        <v>40382.13555648148</v>
      </c>
      <c r="L423" t="s">
        <v>19</v>
      </c>
      <c r="M423">
        <v>348867</v>
      </c>
      <c r="N423">
        <v>1</v>
      </c>
      <c r="O423">
        <v>1</v>
      </c>
      <c r="P423" t="s">
        <v>20</v>
      </c>
      <c r="Q423" t="s">
        <v>20</v>
      </c>
      <c r="R423">
        <v>197</v>
      </c>
      <c r="S423" t="s">
        <v>3553</v>
      </c>
      <c r="T423" t="s">
        <v>3554</v>
      </c>
      <c r="U423" t="s">
        <v>3555</v>
      </c>
      <c r="W423" t="s">
        <v>2443</v>
      </c>
      <c r="X423" t="s">
        <v>1775</v>
      </c>
    </row>
    <row r="424" spans="1:24" ht="12.75">
      <c r="A424" s="1" t="str">
        <f>HYPERLINK("http://www.ofsted.gov.uk/inspection-reports/find-inspection-report/provider/ELS/54657","Ofsted FES Webpage")</f>
        <v>Ofsted FES Webpage</v>
      </c>
      <c r="B424" t="s">
        <v>607</v>
      </c>
      <c r="C424">
        <v>54657</v>
      </c>
      <c r="D424">
        <v>108002</v>
      </c>
      <c r="E424" t="s">
        <v>365</v>
      </c>
      <c r="F424" t="s">
        <v>39</v>
      </c>
      <c r="G424" t="s">
        <v>40</v>
      </c>
      <c r="H424" s="2">
        <v>41722</v>
      </c>
      <c r="I424" s="2">
        <v>41726</v>
      </c>
      <c r="J424" t="s">
        <v>27</v>
      </c>
      <c r="K424" s="2">
        <v>41766.13547149306</v>
      </c>
      <c r="L424" t="s">
        <v>54</v>
      </c>
      <c r="M424">
        <v>429298</v>
      </c>
      <c r="N424">
        <v>2</v>
      </c>
      <c r="O424">
        <v>2</v>
      </c>
      <c r="P424">
        <v>3</v>
      </c>
      <c r="Q424">
        <v>3</v>
      </c>
      <c r="R424">
        <v>6866</v>
      </c>
      <c r="S424" t="s">
        <v>3556</v>
      </c>
      <c r="T424" t="s">
        <v>3557</v>
      </c>
      <c r="U424" t="s">
        <v>2570</v>
      </c>
      <c r="V424" t="s">
        <v>365</v>
      </c>
      <c r="X424" t="s">
        <v>1776</v>
      </c>
    </row>
    <row r="425" spans="1:24" ht="12.75">
      <c r="A425" s="1" t="str">
        <f>HYPERLINK("http://www.ofsted.gov.uk/inspection-reports/find-inspection-report/provider/ELS/54664","Ofsted FES Webpage")</f>
        <v>Ofsted FES Webpage</v>
      </c>
      <c r="B425" t="s">
        <v>608</v>
      </c>
      <c r="C425">
        <v>54664</v>
      </c>
      <c r="D425">
        <v>129400</v>
      </c>
      <c r="E425" t="s">
        <v>65</v>
      </c>
      <c r="F425" t="s">
        <v>63</v>
      </c>
      <c r="G425" t="s">
        <v>17</v>
      </c>
      <c r="H425" s="2">
        <v>40078</v>
      </c>
      <c r="I425" s="2">
        <v>40081</v>
      </c>
      <c r="J425" t="s">
        <v>18</v>
      </c>
      <c r="K425" s="2">
        <v>40143.13551114583</v>
      </c>
      <c r="L425" t="s">
        <v>19</v>
      </c>
      <c r="M425">
        <v>342627</v>
      </c>
      <c r="N425">
        <v>1</v>
      </c>
      <c r="O425">
        <v>1</v>
      </c>
      <c r="P425">
        <v>1</v>
      </c>
      <c r="Q425">
        <v>1</v>
      </c>
      <c r="R425" t="s">
        <v>20</v>
      </c>
      <c r="S425" t="s">
        <v>3559</v>
      </c>
      <c r="T425" t="s">
        <v>2458</v>
      </c>
      <c r="X425" t="s">
        <v>1777</v>
      </c>
    </row>
    <row r="426" spans="1:24" ht="12.75">
      <c r="A426" s="1" t="str">
        <f>HYPERLINK("http://www.ofsted.gov.uk/inspection-reports/find-inspection-report/provider/ELS/54666","Ofsted FES Webpage")</f>
        <v>Ofsted FES Webpage</v>
      </c>
      <c r="B426" t="s">
        <v>609</v>
      </c>
      <c r="C426">
        <v>54666</v>
      </c>
      <c r="D426">
        <v>112545</v>
      </c>
      <c r="E426" t="s">
        <v>97</v>
      </c>
      <c r="F426" t="s">
        <v>26</v>
      </c>
      <c r="G426" t="s">
        <v>40</v>
      </c>
      <c r="H426" s="2">
        <v>39776</v>
      </c>
      <c r="I426" s="2">
        <v>39780</v>
      </c>
      <c r="J426" t="s">
        <v>44</v>
      </c>
      <c r="K426" s="2">
        <v>39833.13556739583</v>
      </c>
      <c r="L426" t="s">
        <v>45</v>
      </c>
      <c r="M426">
        <v>320960</v>
      </c>
      <c r="N426">
        <v>2</v>
      </c>
      <c r="O426">
        <v>2</v>
      </c>
      <c r="P426" t="s">
        <v>20</v>
      </c>
      <c r="Q426" t="s">
        <v>20</v>
      </c>
      <c r="R426">
        <v>5896</v>
      </c>
      <c r="S426" t="s">
        <v>3560</v>
      </c>
      <c r="T426" t="s">
        <v>2490</v>
      </c>
      <c r="U426" t="s">
        <v>97</v>
      </c>
      <c r="V426" t="s">
        <v>2930</v>
      </c>
      <c r="X426" t="s">
        <v>1778</v>
      </c>
    </row>
    <row r="427" spans="1:24" ht="12.75">
      <c r="A427" s="1" t="str">
        <f>HYPERLINK("http://www.ofsted.gov.uk/inspection-reports/find-inspection-report/provider/ELS/54668","Ofsted FES Webpage")</f>
        <v>Ofsted FES Webpage</v>
      </c>
      <c r="B427" t="s">
        <v>610</v>
      </c>
      <c r="C427">
        <v>54668</v>
      </c>
      <c r="D427">
        <v>107123</v>
      </c>
      <c r="E427" t="s">
        <v>97</v>
      </c>
      <c r="F427" t="s">
        <v>26</v>
      </c>
      <c r="G427" t="s">
        <v>17</v>
      </c>
      <c r="H427" s="2">
        <v>41303</v>
      </c>
      <c r="I427" s="2">
        <v>41306</v>
      </c>
      <c r="J427" t="s">
        <v>32</v>
      </c>
      <c r="K427" s="2">
        <v>41339.13560902778</v>
      </c>
      <c r="L427" t="s">
        <v>36</v>
      </c>
      <c r="M427">
        <v>408522</v>
      </c>
      <c r="N427">
        <v>2</v>
      </c>
      <c r="O427">
        <v>2</v>
      </c>
      <c r="P427">
        <v>3</v>
      </c>
      <c r="Q427">
        <v>3</v>
      </c>
      <c r="R427">
        <v>123</v>
      </c>
      <c r="S427" t="s">
        <v>3561</v>
      </c>
      <c r="W427" t="s">
        <v>2625</v>
      </c>
      <c r="X427" t="s">
        <v>1779</v>
      </c>
    </row>
    <row r="428" spans="1:24" ht="12.75">
      <c r="A428" s="1" t="str">
        <f>HYPERLINK("http://www.ofsted.gov.uk/inspection-reports/find-inspection-report/provider/ELS/54684","Ofsted FES Webpage")</f>
        <v>Ofsted FES Webpage</v>
      </c>
      <c r="B428" t="s">
        <v>611</v>
      </c>
      <c r="C428">
        <v>54684</v>
      </c>
      <c r="D428">
        <v>112269</v>
      </c>
      <c r="E428" t="s">
        <v>350</v>
      </c>
      <c r="F428" t="s">
        <v>43</v>
      </c>
      <c r="G428" t="s">
        <v>40</v>
      </c>
      <c r="H428" s="2">
        <v>40511</v>
      </c>
      <c r="I428" s="2">
        <v>40515</v>
      </c>
      <c r="J428" t="s">
        <v>56</v>
      </c>
      <c r="K428" s="2">
        <v>40556.13545482639</v>
      </c>
      <c r="L428" t="s">
        <v>45</v>
      </c>
      <c r="M428">
        <v>354473</v>
      </c>
      <c r="N428">
        <v>2</v>
      </c>
      <c r="O428">
        <v>2</v>
      </c>
      <c r="P428">
        <v>3</v>
      </c>
      <c r="Q428">
        <v>3</v>
      </c>
      <c r="R428">
        <v>9824</v>
      </c>
      <c r="S428" t="s">
        <v>3562</v>
      </c>
      <c r="T428" t="s">
        <v>3563</v>
      </c>
      <c r="U428" t="s">
        <v>2685</v>
      </c>
      <c r="V428" t="s">
        <v>350</v>
      </c>
      <c r="X428" t="s">
        <v>1780</v>
      </c>
    </row>
    <row r="429" spans="1:24" ht="12.75">
      <c r="A429" s="1" t="str">
        <f>HYPERLINK("http://www.ofsted.gov.uk/inspection-reports/find-inspection-report/provider/ELS/54698","Ofsted FES Webpage")</f>
        <v>Ofsted FES Webpage</v>
      </c>
      <c r="B429" t="s">
        <v>612</v>
      </c>
      <c r="C429">
        <v>54698</v>
      </c>
      <c r="D429">
        <v>109318</v>
      </c>
      <c r="E429" t="s">
        <v>372</v>
      </c>
      <c r="F429" t="s">
        <v>35</v>
      </c>
      <c r="G429" t="s">
        <v>17</v>
      </c>
      <c r="H429" s="2">
        <v>41723</v>
      </c>
      <c r="I429" s="2">
        <v>41726</v>
      </c>
      <c r="J429" t="s">
        <v>27</v>
      </c>
      <c r="K429" s="2">
        <v>41765.13547538195</v>
      </c>
      <c r="L429" t="s">
        <v>36</v>
      </c>
      <c r="M429">
        <v>429120</v>
      </c>
      <c r="N429">
        <v>2</v>
      </c>
      <c r="O429">
        <v>2</v>
      </c>
      <c r="P429">
        <v>3</v>
      </c>
      <c r="Q429">
        <v>3</v>
      </c>
      <c r="R429">
        <v>235</v>
      </c>
      <c r="S429" t="s">
        <v>3564</v>
      </c>
      <c r="T429" t="s">
        <v>3565</v>
      </c>
      <c r="U429" t="s">
        <v>3229</v>
      </c>
      <c r="W429" t="s">
        <v>350</v>
      </c>
      <c r="X429" t="s">
        <v>1781</v>
      </c>
    </row>
    <row r="430" spans="1:24" ht="12.75">
      <c r="A430" s="1" t="str">
        <f>HYPERLINK("http://www.ofsted.gov.uk/inspection-reports/find-inspection-report/provider/ELS/54714","Ofsted FES Webpage")</f>
        <v>Ofsted FES Webpage</v>
      </c>
      <c r="B430" t="s">
        <v>613</v>
      </c>
      <c r="C430">
        <v>54714</v>
      </c>
      <c r="D430">
        <v>107996</v>
      </c>
      <c r="E430" t="s">
        <v>201</v>
      </c>
      <c r="F430" t="s">
        <v>26</v>
      </c>
      <c r="G430" t="s">
        <v>40</v>
      </c>
      <c r="H430" s="2">
        <v>41661</v>
      </c>
      <c r="I430" s="2">
        <v>41663</v>
      </c>
      <c r="J430" t="s">
        <v>27</v>
      </c>
      <c r="K430" s="2">
        <v>41696.13549537037</v>
      </c>
      <c r="L430" t="s">
        <v>45</v>
      </c>
      <c r="M430">
        <v>429151</v>
      </c>
      <c r="N430">
        <v>2</v>
      </c>
      <c r="O430">
        <v>2</v>
      </c>
      <c r="P430">
        <v>2</v>
      </c>
      <c r="Q430">
        <v>2</v>
      </c>
      <c r="R430">
        <v>8</v>
      </c>
      <c r="T430" t="s">
        <v>3566</v>
      </c>
      <c r="W430" t="s">
        <v>201</v>
      </c>
      <c r="X430" t="s">
        <v>1782</v>
      </c>
    </row>
    <row r="431" spans="1:24" ht="12.75">
      <c r="A431" s="1" t="str">
        <f>HYPERLINK("http://www.ofsted.gov.uk/inspection-reports/find-inspection-report/provider/ELS/54719","Ofsted FES Webpage")</f>
        <v>Ofsted FES Webpage</v>
      </c>
      <c r="B431" t="s">
        <v>614</v>
      </c>
      <c r="C431">
        <v>54719</v>
      </c>
      <c r="D431">
        <v>110161</v>
      </c>
      <c r="E431" t="s">
        <v>615</v>
      </c>
      <c r="F431" t="s">
        <v>63</v>
      </c>
      <c r="G431" t="s">
        <v>40</v>
      </c>
      <c r="H431" s="2">
        <v>41549</v>
      </c>
      <c r="I431" s="2">
        <v>41551</v>
      </c>
      <c r="J431" t="s">
        <v>27</v>
      </c>
      <c r="K431" s="2">
        <v>41586.13549976852</v>
      </c>
      <c r="L431" t="s">
        <v>45</v>
      </c>
      <c r="M431">
        <v>423429</v>
      </c>
      <c r="N431">
        <v>2</v>
      </c>
      <c r="O431">
        <v>2</v>
      </c>
      <c r="P431">
        <v>3</v>
      </c>
      <c r="Q431">
        <v>3</v>
      </c>
      <c r="R431">
        <v>2704</v>
      </c>
      <c r="S431" t="s">
        <v>3567</v>
      </c>
      <c r="T431" t="s">
        <v>3239</v>
      </c>
      <c r="U431" t="s">
        <v>3568</v>
      </c>
      <c r="V431" t="s">
        <v>615</v>
      </c>
      <c r="X431" t="s">
        <v>1783</v>
      </c>
    </row>
    <row r="432" spans="1:24" ht="12.75">
      <c r="A432" s="1" t="str">
        <f>HYPERLINK("http://www.ofsted.gov.uk/inspection-reports/find-inspection-report/provider/ELS/54725","Ofsted FES Webpage")</f>
        <v>Ofsted FES Webpage</v>
      </c>
      <c r="B432" t="s">
        <v>616</v>
      </c>
      <c r="C432">
        <v>54725</v>
      </c>
      <c r="D432">
        <v>122966</v>
      </c>
      <c r="E432" t="s">
        <v>67</v>
      </c>
      <c r="F432" t="s">
        <v>68</v>
      </c>
      <c r="G432" t="s">
        <v>17</v>
      </c>
      <c r="H432" s="2">
        <v>41709</v>
      </c>
      <c r="I432" s="2">
        <v>41712</v>
      </c>
      <c r="J432" t="s">
        <v>27</v>
      </c>
      <c r="K432" s="2">
        <v>41745.1354528588</v>
      </c>
      <c r="L432" t="s">
        <v>29</v>
      </c>
      <c r="M432">
        <v>424462</v>
      </c>
      <c r="N432">
        <v>2</v>
      </c>
      <c r="O432">
        <v>2</v>
      </c>
      <c r="P432">
        <v>2</v>
      </c>
      <c r="Q432">
        <v>2</v>
      </c>
      <c r="R432">
        <v>546</v>
      </c>
      <c r="S432" t="s">
        <v>3569</v>
      </c>
      <c r="T432" t="s">
        <v>3570</v>
      </c>
      <c r="W432" t="s">
        <v>67</v>
      </c>
      <c r="X432" t="s">
        <v>1784</v>
      </c>
    </row>
    <row r="433" spans="1:24" ht="12.75">
      <c r="A433" s="1" t="str">
        <f>HYPERLINK("http://www.ofsted.gov.uk/inspection-reports/find-inspection-report/provider/ELS/54726","Ofsted FES Webpage")</f>
        <v>Ofsted FES Webpage</v>
      </c>
      <c r="B433" t="s">
        <v>617</v>
      </c>
      <c r="C433">
        <v>54726</v>
      </c>
      <c r="D433">
        <v>112419</v>
      </c>
      <c r="E433" t="s">
        <v>257</v>
      </c>
      <c r="F433" t="s">
        <v>68</v>
      </c>
      <c r="G433" t="s">
        <v>17</v>
      </c>
      <c r="H433" s="2">
        <v>41169</v>
      </c>
      <c r="I433" s="2">
        <v>41173</v>
      </c>
      <c r="J433" t="s">
        <v>32</v>
      </c>
      <c r="K433" s="2">
        <v>41208.13567037037</v>
      </c>
      <c r="L433" t="s">
        <v>29</v>
      </c>
      <c r="M433">
        <v>404578</v>
      </c>
      <c r="N433">
        <v>2</v>
      </c>
      <c r="O433">
        <v>2</v>
      </c>
      <c r="P433">
        <v>2</v>
      </c>
      <c r="Q433">
        <v>2</v>
      </c>
      <c r="R433">
        <v>5474</v>
      </c>
      <c r="T433" t="s">
        <v>3571</v>
      </c>
      <c r="W433" t="s">
        <v>2763</v>
      </c>
      <c r="X433" t="s">
        <v>1785</v>
      </c>
    </row>
    <row r="434" spans="1:24" ht="12.75">
      <c r="A434" s="1" t="str">
        <f>HYPERLINK("http://www.ofsted.gov.uk/inspection-reports/find-inspection-report/provider/ELS/54739","Ofsted FES Webpage")</f>
        <v>Ofsted FES Webpage</v>
      </c>
      <c r="B434" t="s">
        <v>618</v>
      </c>
      <c r="C434">
        <v>54739</v>
      </c>
      <c r="D434">
        <v>107976</v>
      </c>
      <c r="E434" t="s">
        <v>619</v>
      </c>
      <c r="F434" t="s">
        <v>68</v>
      </c>
      <c r="G434" t="s">
        <v>40</v>
      </c>
      <c r="H434" s="2">
        <v>40672</v>
      </c>
      <c r="I434" s="2">
        <v>40676</v>
      </c>
      <c r="J434" t="s">
        <v>56</v>
      </c>
      <c r="K434" s="2">
        <v>40711.135453622686</v>
      </c>
      <c r="L434" t="s">
        <v>45</v>
      </c>
      <c r="M434">
        <v>365409</v>
      </c>
      <c r="N434">
        <v>2</v>
      </c>
      <c r="O434">
        <v>2</v>
      </c>
      <c r="P434">
        <v>3</v>
      </c>
      <c r="Q434">
        <v>3</v>
      </c>
      <c r="R434">
        <v>1198</v>
      </c>
      <c r="T434" t="s">
        <v>2462</v>
      </c>
      <c r="U434" t="s">
        <v>2534</v>
      </c>
      <c r="V434" t="s">
        <v>2535</v>
      </c>
      <c r="W434" t="s">
        <v>2536</v>
      </c>
      <c r="X434" t="s">
        <v>1786</v>
      </c>
    </row>
    <row r="435" spans="1:24" ht="12.75">
      <c r="A435" s="1" t="str">
        <f>HYPERLINK("http://www.ofsted.gov.uk/inspection-reports/find-inspection-report/provider/ELS/54744","Ofsted FES Webpage")</f>
        <v>Ofsted FES Webpage</v>
      </c>
      <c r="B435" t="s">
        <v>620</v>
      </c>
      <c r="C435">
        <v>54744</v>
      </c>
      <c r="D435">
        <v>112186</v>
      </c>
      <c r="E435" t="s">
        <v>112</v>
      </c>
      <c r="F435" t="s">
        <v>49</v>
      </c>
      <c r="G435" t="s">
        <v>17</v>
      </c>
      <c r="H435" s="2">
        <v>38919</v>
      </c>
      <c r="I435" s="2">
        <v>38919</v>
      </c>
      <c r="J435" t="s">
        <v>550</v>
      </c>
      <c r="K435" s="2">
        <v>38954</v>
      </c>
      <c r="L435" t="s">
        <v>102</v>
      </c>
      <c r="M435">
        <v>307075</v>
      </c>
      <c r="N435">
        <v>3</v>
      </c>
      <c r="O435">
        <v>3</v>
      </c>
      <c r="P435" t="s">
        <v>20</v>
      </c>
      <c r="Q435" t="s">
        <v>20</v>
      </c>
      <c r="R435">
        <v>127</v>
      </c>
      <c r="S435" t="s">
        <v>3572</v>
      </c>
      <c r="T435" t="s">
        <v>3573</v>
      </c>
      <c r="U435" t="s">
        <v>2709</v>
      </c>
      <c r="X435" t="s">
        <v>1787</v>
      </c>
    </row>
    <row r="436" spans="1:24" ht="12.75">
      <c r="A436" s="1" t="str">
        <f>HYPERLINK("http://www.ofsted.gov.uk/inspection-reports/find-inspection-report/provider/ELS/54755","Ofsted FES Webpage")</f>
        <v>Ofsted FES Webpage</v>
      </c>
      <c r="B436" t="s">
        <v>621</v>
      </c>
      <c r="C436">
        <v>54755</v>
      </c>
      <c r="D436">
        <v>107857</v>
      </c>
      <c r="E436" t="s">
        <v>146</v>
      </c>
      <c r="F436" t="s">
        <v>26</v>
      </c>
      <c r="G436" t="s">
        <v>17</v>
      </c>
      <c r="H436" s="2">
        <v>41428</v>
      </c>
      <c r="I436" s="2">
        <v>41432</v>
      </c>
      <c r="J436" t="s">
        <v>32</v>
      </c>
      <c r="K436" s="2">
        <v>41465.13557465278</v>
      </c>
      <c r="L436" t="s">
        <v>36</v>
      </c>
      <c r="M436">
        <v>410694</v>
      </c>
      <c r="N436">
        <v>2</v>
      </c>
      <c r="O436">
        <v>2</v>
      </c>
      <c r="P436">
        <v>2</v>
      </c>
      <c r="Q436">
        <v>2</v>
      </c>
      <c r="R436">
        <v>1219</v>
      </c>
      <c r="S436" t="s">
        <v>3574</v>
      </c>
      <c r="T436" t="s">
        <v>3575</v>
      </c>
      <c r="U436" t="s">
        <v>3576</v>
      </c>
      <c r="V436" t="s">
        <v>166</v>
      </c>
      <c r="X436" t="s">
        <v>1788</v>
      </c>
    </row>
    <row r="437" spans="1:24" ht="12.75">
      <c r="A437" s="1" t="str">
        <f>HYPERLINK("http://www.ofsted.gov.uk/inspection-reports/find-inspection-report/provider/ELS/54758","Ofsted FES Webpage")</f>
        <v>Ofsted FES Webpage</v>
      </c>
      <c r="B437" t="s">
        <v>622</v>
      </c>
      <c r="C437">
        <v>54758</v>
      </c>
      <c r="D437">
        <v>107856</v>
      </c>
      <c r="E437" t="s">
        <v>97</v>
      </c>
      <c r="F437" t="s">
        <v>26</v>
      </c>
      <c r="G437" t="s">
        <v>40</v>
      </c>
      <c r="H437" s="2">
        <v>40617</v>
      </c>
      <c r="I437" s="2">
        <v>40620</v>
      </c>
      <c r="J437" t="s">
        <v>56</v>
      </c>
      <c r="K437" s="2">
        <v>40655.135444328705</v>
      </c>
      <c r="L437" t="s">
        <v>19</v>
      </c>
      <c r="M437">
        <v>363214</v>
      </c>
      <c r="N437">
        <v>2</v>
      </c>
      <c r="O437">
        <v>2</v>
      </c>
      <c r="P437">
        <v>2</v>
      </c>
      <c r="Q437">
        <v>2</v>
      </c>
      <c r="R437">
        <v>1068</v>
      </c>
      <c r="S437" t="s">
        <v>3577</v>
      </c>
      <c r="T437" t="s">
        <v>3578</v>
      </c>
      <c r="W437" t="s">
        <v>97</v>
      </c>
      <c r="X437" t="s">
        <v>1789</v>
      </c>
    </row>
    <row r="438" spans="1:24" ht="12.75">
      <c r="A438" s="1" t="str">
        <f>HYPERLINK("http://www.ofsted.gov.uk/inspection-reports/find-inspection-report/provider/ELS/54774","Ofsted FES Webpage")</f>
        <v>Ofsted FES Webpage</v>
      </c>
      <c r="B438" t="s">
        <v>623</v>
      </c>
      <c r="C438">
        <v>54774</v>
      </c>
      <c r="D438">
        <v>112238</v>
      </c>
      <c r="E438" t="s">
        <v>48</v>
      </c>
      <c r="F438" t="s">
        <v>49</v>
      </c>
      <c r="G438" t="s">
        <v>40</v>
      </c>
      <c r="H438" s="2">
        <v>40497</v>
      </c>
      <c r="I438" s="2">
        <v>40501</v>
      </c>
      <c r="J438" t="s">
        <v>56</v>
      </c>
      <c r="K438" s="2">
        <v>40536.135445914355</v>
      </c>
      <c r="L438" t="s">
        <v>45</v>
      </c>
      <c r="M438">
        <v>354465</v>
      </c>
      <c r="N438">
        <v>2</v>
      </c>
      <c r="O438">
        <v>2</v>
      </c>
      <c r="P438">
        <v>2</v>
      </c>
      <c r="Q438">
        <v>1</v>
      </c>
      <c r="R438">
        <v>2475</v>
      </c>
      <c r="S438" t="s">
        <v>3579</v>
      </c>
      <c r="T438" t="s">
        <v>3580</v>
      </c>
      <c r="U438" t="s">
        <v>3581</v>
      </c>
      <c r="V438" t="s">
        <v>3582</v>
      </c>
      <c r="W438" t="s">
        <v>2434</v>
      </c>
      <c r="X438" t="s">
        <v>1790</v>
      </c>
    </row>
    <row r="439" spans="1:24" ht="12.75">
      <c r="A439" s="1" t="str">
        <f>HYPERLINK("http://www.ofsted.gov.uk/inspection-reports/find-inspection-report/provider/ELS/54785","Ofsted FES Webpage")</f>
        <v>Ofsted FES Webpage</v>
      </c>
      <c r="B439" t="s">
        <v>624</v>
      </c>
      <c r="C439">
        <v>54785</v>
      </c>
      <c r="D439">
        <v>116777</v>
      </c>
      <c r="E439" t="s">
        <v>70</v>
      </c>
      <c r="F439" t="s">
        <v>39</v>
      </c>
      <c r="G439" t="s">
        <v>160</v>
      </c>
      <c r="H439" s="2">
        <v>41666</v>
      </c>
      <c r="I439" s="2">
        <v>41670</v>
      </c>
      <c r="J439" t="s">
        <v>27</v>
      </c>
      <c r="K439" s="2">
        <v>41701.13547974537</v>
      </c>
      <c r="L439" t="s">
        <v>29</v>
      </c>
      <c r="M439">
        <v>423718</v>
      </c>
      <c r="N439">
        <v>2</v>
      </c>
      <c r="O439">
        <v>2</v>
      </c>
      <c r="P439">
        <v>2</v>
      </c>
      <c r="Q439">
        <v>2</v>
      </c>
      <c r="R439">
        <v>3926</v>
      </c>
      <c r="S439" t="s">
        <v>3585</v>
      </c>
      <c r="T439" t="s">
        <v>3586</v>
      </c>
      <c r="W439" t="s">
        <v>3587</v>
      </c>
      <c r="X439" t="s">
        <v>1792</v>
      </c>
    </row>
    <row r="440" spans="1:24" ht="12.75">
      <c r="A440" s="1" t="str">
        <f>HYPERLINK("http://www.ofsted.gov.uk/inspection-reports/find-inspection-report/provider/ELS/54803","Ofsted FES Webpage")</f>
        <v>Ofsted FES Webpage</v>
      </c>
      <c r="B440" t="s">
        <v>625</v>
      </c>
      <c r="C440">
        <v>54803</v>
      </c>
      <c r="D440">
        <v>107555</v>
      </c>
      <c r="E440" t="s">
        <v>120</v>
      </c>
      <c r="F440" t="s">
        <v>26</v>
      </c>
      <c r="G440" t="s">
        <v>17</v>
      </c>
      <c r="H440" s="2">
        <v>39461</v>
      </c>
      <c r="I440" s="2">
        <v>39463</v>
      </c>
      <c r="J440" t="s">
        <v>154</v>
      </c>
      <c r="K440" s="2">
        <v>39505.135544363424</v>
      </c>
      <c r="L440" t="s">
        <v>19</v>
      </c>
      <c r="M440">
        <v>318271</v>
      </c>
      <c r="N440">
        <v>1</v>
      </c>
      <c r="O440">
        <v>1</v>
      </c>
      <c r="P440" t="s">
        <v>20</v>
      </c>
      <c r="Q440" t="s">
        <v>20</v>
      </c>
      <c r="R440">
        <v>38</v>
      </c>
      <c r="T440" t="s">
        <v>3588</v>
      </c>
      <c r="U440" t="s">
        <v>3506</v>
      </c>
      <c r="V440" t="s">
        <v>2861</v>
      </c>
      <c r="W440" t="s">
        <v>120</v>
      </c>
      <c r="X440" t="s">
        <v>1793</v>
      </c>
    </row>
    <row r="441" spans="1:24" ht="12.75">
      <c r="A441" s="1" t="str">
        <f>HYPERLINK("http://www.ofsted.gov.uk/inspection-reports/find-inspection-report/provider/ELS/54805","Ofsted FES Webpage")</f>
        <v>Ofsted FES Webpage</v>
      </c>
      <c r="B441" t="s">
        <v>626</v>
      </c>
      <c r="C441">
        <v>54805</v>
      </c>
      <c r="D441">
        <v>116973</v>
      </c>
      <c r="E441" t="s">
        <v>59</v>
      </c>
      <c r="F441" t="s">
        <v>43</v>
      </c>
      <c r="G441" t="s">
        <v>160</v>
      </c>
      <c r="H441" s="2">
        <v>41330</v>
      </c>
      <c r="I441" s="2">
        <v>41334</v>
      </c>
      <c r="J441" t="s">
        <v>32</v>
      </c>
      <c r="K441" s="2">
        <v>41373.13552384259</v>
      </c>
      <c r="L441" t="s">
        <v>29</v>
      </c>
      <c r="M441">
        <v>408533</v>
      </c>
      <c r="N441">
        <v>2</v>
      </c>
      <c r="O441">
        <v>2</v>
      </c>
      <c r="P441">
        <v>3</v>
      </c>
      <c r="Q441">
        <v>3</v>
      </c>
      <c r="R441">
        <v>27563</v>
      </c>
      <c r="S441" t="s">
        <v>3589</v>
      </c>
      <c r="T441" t="s">
        <v>3590</v>
      </c>
      <c r="U441" t="s">
        <v>3591</v>
      </c>
      <c r="V441" t="s">
        <v>2451</v>
      </c>
      <c r="W441" t="s">
        <v>3592</v>
      </c>
      <c r="X441" t="s">
        <v>1794</v>
      </c>
    </row>
    <row r="442" spans="1:24" ht="12.75">
      <c r="A442" s="1" t="str">
        <f>HYPERLINK("http://www.ofsted.gov.uk/inspection-reports/find-inspection-report/provider/ELS/54810","Ofsted FES Webpage")</f>
        <v>Ofsted FES Webpage</v>
      </c>
      <c r="B442" t="s">
        <v>627</v>
      </c>
      <c r="C442">
        <v>54810</v>
      </c>
      <c r="D442">
        <v>106975</v>
      </c>
      <c r="E442" t="s">
        <v>51</v>
      </c>
      <c r="F442" t="s">
        <v>16</v>
      </c>
      <c r="G442" t="s">
        <v>17</v>
      </c>
      <c r="H442" s="2">
        <v>41254</v>
      </c>
      <c r="I442" s="2">
        <v>41256</v>
      </c>
      <c r="J442" t="s">
        <v>32</v>
      </c>
      <c r="K442" s="2">
        <v>41296.13559907408</v>
      </c>
      <c r="L442" t="s">
        <v>36</v>
      </c>
      <c r="M442">
        <v>408407</v>
      </c>
      <c r="N442">
        <v>2</v>
      </c>
      <c r="O442">
        <v>2</v>
      </c>
      <c r="P442">
        <v>3</v>
      </c>
      <c r="Q442">
        <v>3</v>
      </c>
      <c r="R442">
        <v>65</v>
      </c>
      <c r="S442" t="s">
        <v>3593</v>
      </c>
      <c r="T442" t="s">
        <v>2966</v>
      </c>
      <c r="X442" t="s">
        <v>1795</v>
      </c>
    </row>
    <row r="443" spans="1:24" ht="12.75">
      <c r="A443" s="1" t="str">
        <f>HYPERLINK("http://www.ofsted.gov.uk/inspection-reports/find-inspection-report/provider/ELS/54838","Ofsted FES Webpage")</f>
        <v>Ofsted FES Webpage</v>
      </c>
      <c r="B443" t="s">
        <v>628</v>
      </c>
      <c r="C443">
        <v>54838</v>
      </c>
      <c r="D443">
        <v>105782</v>
      </c>
      <c r="E443" t="s">
        <v>446</v>
      </c>
      <c r="F443" t="s">
        <v>68</v>
      </c>
      <c r="G443" t="s">
        <v>17</v>
      </c>
      <c r="H443" s="2">
        <v>40315</v>
      </c>
      <c r="I443" s="2">
        <v>40319</v>
      </c>
      <c r="J443" t="s">
        <v>18</v>
      </c>
      <c r="K443" s="2">
        <v>40357.13552800926</v>
      </c>
      <c r="L443" t="s">
        <v>29</v>
      </c>
      <c r="M443">
        <v>345912</v>
      </c>
      <c r="N443">
        <v>2</v>
      </c>
      <c r="O443">
        <v>2</v>
      </c>
      <c r="P443">
        <v>2</v>
      </c>
      <c r="Q443">
        <v>2</v>
      </c>
      <c r="R443">
        <v>7301</v>
      </c>
      <c r="T443" t="s">
        <v>3235</v>
      </c>
      <c r="U443" t="s">
        <v>3596</v>
      </c>
      <c r="V443" t="s">
        <v>3597</v>
      </c>
      <c r="W443" t="s">
        <v>446</v>
      </c>
      <c r="X443" t="s">
        <v>1796</v>
      </c>
    </row>
    <row r="444" spans="1:24" ht="12.75">
      <c r="A444" s="1" t="str">
        <f>HYPERLINK("http://www.ofsted.gov.uk/inspection-reports/find-inspection-report/provider/ELS/54842","Ofsted FES Webpage")</f>
        <v>Ofsted FES Webpage</v>
      </c>
      <c r="B444" t="s">
        <v>629</v>
      </c>
      <c r="C444">
        <v>54842</v>
      </c>
      <c r="D444">
        <v>116984</v>
      </c>
      <c r="E444" t="s">
        <v>185</v>
      </c>
      <c r="F444" t="s">
        <v>35</v>
      </c>
      <c r="G444" t="s">
        <v>160</v>
      </c>
      <c r="H444" s="2">
        <v>40442</v>
      </c>
      <c r="I444" s="2">
        <v>40445</v>
      </c>
      <c r="J444" t="s">
        <v>56</v>
      </c>
      <c r="K444" s="2">
        <v>40469.10565304398</v>
      </c>
      <c r="L444" t="s">
        <v>19</v>
      </c>
      <c r="M444">
        <v>345741</v>
      </c>
      <c r="N444">
        <v>1</v>
      </c>
      <c r="O444">
        <v>1</v>
      </c>
      <c r="P444">
        <v>2</v>
      </c>
      <c r="Q444">
        <v>2</v>
      </c>
      <c r="R444">
        <v>367</v>
      </c>
      <c r="S444" t="s">
        <v>3598</v>
      </c>
      <c r="W444" t="s">
        <v>35</v>
      </c>
      <c r="X444" t="s">
        <v>1797</v>
      </c>
    </row>
    <row r="445" spans="1:24" ht="12.75">
      <c r="A445" s="1" t="str">
        <f>HYPERLINK("http://www.ofsted.gov.uk/inspection-reports/find-inspection-report/provider/ELS/54860","Ofsted FES Webpage")</f>
        <v>Ofsted FES Webpage</v>
      </c>
      <c r="B445" t="s">
        <v>630</v>
      </c>
      <c r="C445">
        <v>54860</v>
      </c>
      <c r="D445">
        <v>107481</v>
      </c>
      <c r="E445" t="s">
        <v>135</v>
      </c>
      <c r="F445" t="s">
        <v>35</v>
      </c>
      <c r="G445" t="s">
        <v>17</v>
      </c>
      <c r="H445" s="2">
        <v>41044</v>
      </c>
      <c r="I445" s="2">
        <v>41047</v>
      </c>
      <c r="J445" t="s">
        <v>23</v>
      </c>
      <c r="K445" s="2">
        <v>41086.13567314815</v>
      </c>
      <c r="L445" t="s">
        <v>19</v>
      </c>
      <c r="M445">
        <v>388038</v>
      </c>
      <c r="N445">
        <v>2</v>
      </c>
      <c r="O445">
        <v>2</v>
      </c>
      <c r="P445">
        <v>2</v>
      </c>
      <c r="Q445">
        <v>2</v>
      </c>
      <c r="R445">
        <v>55</v>
      </c>
      <c r="T445" t="s">
        <v>3599</v>
      </c>
      <c r="U445" t="s">
        <v>3600</v>
      </c>
      <c r="W445" t="s">
        <v>35</v>
      </c>
      <c r="X445" t="s">
        <v>1798</v>
      </c>
    </row>
    <row r="446" spans="1:24" ht="12.75">
      <c r="A446" s="1" t="str">
        <f>HYPERLINK("http://www.ofsted.gov.uk/inspection-reports/find-inspection-report/provider/ELS/54873","Ofsted FES Webpage")</f>
        <v>Ofsted FES Webpage</v>
      </c>
      <c r="B446" t="s">
        <v>631</v>
      </c>
      <c r="C446">
        <v>54873</v>
      </c>
      <c r="D446">
        <v>106912</v>
      </c>
      <c r="E446" t="s">
        <v>632</v>
      </c>
      <c r="F446" t="s">
        <v>68</v>
      </c>
      <c r="G446" t="s">
        <v>17</v>
      </c>
      <c r="H446" s="2">
        <v>41813</v>
      </c>
      <c r="I446" s="2">
        <v>41817</v>
      </c>
      <c r="J446" t="s">
        <v>27</v>
      </c>
      <c r="K446" s="2">
        <v>41867.13546751157</v>
      </c>
      <c r="L446" t="s">
        <v>36</v>
      </c>
      <c r="M446">
        <v>445776</v>
      </c>
      <c r="N446">
        <v>2</v>
      </c>
      <c r="O446">
        <v>2</v>
      </c>
      <c r="P446">
        <v>2</v>
      </c>
      <c r="Q446">
        <v>2</v>
      </c>
      <c r="R446">
        <v>507</v>
      </c>
      <c r="T446" t="s">
        <v>3601</v>
      </c>
      <c r="W446" t="s">
        <v>2585</v>
      </c>
      <c r="X446" t="s">
        <v>1799</v>
      </c>
    </row>
    <row r="447" spans="1:24" ht="12.75">
      <c r="A447" s="1" t="str">
        <f>HYPERLINK("http://www.ofsted.gov.uk/inspection-reports/find-inspection-report/provider/ELS/54877","Ofsted FES Webpage")</f>
        <v>Ofsted FES Webpage</v>
      </c>
      <c r="B447" t="s">
        <v>633</v>
      </c>
      <c r="C447">
        <v>54877</v>
      </c>
      <c r="D447">
        <v>111901</v>
      </c>
      <c r="E447" t="s">
        <v>131</v>
      </c>
      <c r="F447" t="s">
        <v>63</v>
      </c>
      <c r="G447" t="s">
        <v>40</v>
      </c>
      <c r="H447" s="2">
        <v>41198</v>
      </c>
      <c r="I447" s="2">
        <v>41200</v>
      </c>
      <c r="J447" t="s">
        <v>32</v>
      </c>
      <c r="K447" s="2">
        <v>41235.13561493056</v>
      </c>
      <c r="L447" t="s">
        <v>45</v>
      </c>
      <c r="M447">
        <v>404220</v>
      </c>
      <c r="N447">
        <v>2</v>
      </c>
      <c r="O447">
        <v>2</v>
      </c>
      <c r="P447">
        <v>3</v>
      </c>
      <c r="Q447">
        <v>3</v>
      </c>
      <c r="R447">
        <v>2509</v>
      </c>
      <c r="S447" t="s">
        <v>2862</v>
      </c>
      <c r="T447" t="s">
        <v>3602</v>
      </c>
      <c r="U447" t="s">
        <v>3011</v>
      </c>
      <c r="W447" t="s">
        <v>3603</v>
      </c>
      <c r="X447" t="s">
        <v>1800</v>
      </c>
    </row>
    <row r="448" spans="1:24" ht="12.75">
      <c r="A448" s="1" t="str">
        <f>HYPERLINK("http://www.ofsted.gov.uk/inspection-reports/find-inspection-report/provider/ELS/54895","Ofsted FES Webpage")</f>
        <v>Ofsted FES Webpage</v>
      </c>
      <c r="B448" t="s">
        <v>634</v>
      </c>
      <c r="C448">
        <v>54895</v>
      </c>
      <c r="D448">
        <v>116866</v>
      </c>
      <c r="E448" t="s">
        <v>159</v>
      </c>
      <c r="F448" t="s">
        <v>43</v>
      </c>
      <c r="G448" t="s">
        <v>17</v>
      </c>
      <c r="H448" s="2">
        <v>41351</v>
      </c>
      <c r="I448" s="2">
        <v>41354</v>
      </c>
      <c r="J448" t="s">
        <v>32</v>
      </c>
      <c r="K448" s="2">
        <v>41393.13556605324</v>
      </c>
      <c r="L448" t="s">
        <v>29</v>
      </c>
      <c r="M448">
        <v>408545</v>
      </c>
      <c r="N448">
        <v>2</v>
      </c>
      <c r="O448">
        <v>2</v>
      </c>
      <c r="P448">
        <v>2</v>
      </c>
      <c r="Q448">
        <v>2</v>
      </c>
      <c r="R448">
        <v>126</v>
      </c>
      <c r="S448" t="s">
        <v>3604</v>
      </c>
      <c r="T448" t="s">
        <v>3605</v>
      </c>
      <c r="X448" t="s">
        <v>1801</v>
      </c>
    </row>
    <row r="449" spans="1:24" ht="12.75">
      <c r="A449" s="1" t="str">
        <f>HYPERLINK("http://www.ofsted.gov.uk/inspection-reports/find-inspection-report/provider/ELS/54916","Ofsted FES Webpage")</f>
        <v>Ofsted FES Webpage</v>
      </c>
      <c r="B449" t="s">
        <v>635</v>
      </c>
      <c r="C449">
        <v>54916</v>
      </c>
      <c r="D449">
        <v>110183</v>
      </c>
      <c r="E449" t="s">
        <v>99</v>
      </c>
      <c r="F449" t="s">
        <v>43</v>
      </c>
      <c r="G449" t="s">
        <v>17</v>
      </c>
      <c r="H449" s="2">
        <v>41562</v>
      </c>
      <c r="I449" s="2">
        <v>41565</v>
      </c>
      <c r="J449" t="s">
        <v>27</v>
      </c>
      <c r="K449" s="2">
        <v>41600.13548491898</v>
      </c>
      <c r="L449" t="s">
        <v>36</v>
      </c>
      <c r="M449">
        <v>423768</v>
      </c>
      <c r="N449">
        <v>2</v>
      </c>
      <c r="O449">
        <v>2</v>
      </c>
      <c r="P449">
        <v>1</v>
      </c>
      <c r="Q449">
        <v>1</v>
      </c>
      <c r="R449">
        <v>502</v>
      </c>
      <c r="S449" t="s">
        <v>3607</v>
      </c>
      <c r="T449" t="s">
        <v>3608</v>
      </c>
      <c r="W449" t="s">
        <v>34</v>
      </c>
      <c r="X449" t="s">
        <v>1802</v>
      </c>
    </row>
    <row r="450" spans="1:24" ht="12.75">
      <c r="A450" s="1" t="str">
        <f>HYPERLINK("http://www.ofsted.gov.uk/inspection-reports/find-inspection-report/provider/ELS/54946","Ofsted FES Webpage")</f>
        <v>Ofsted FES Webpage</v>
      </c>
      <c r="B450" t="s">
        <v>636</v>
      </c>
      <c r="C450">
        <v>54946</v>
      </c>
      <c r="D450">
        <v>112645</v>
      </c>
      <c r="E450" t="s">
        <v>31</v>
      </c>
      <c r="F450" t="s">
        <v>26</v>
      </c>
      <c r="G450" t="s">
        <v>17</v>
      </c>
      <c r="H450" s="2">
        <v>39826</v>
      </c>
      <c r="I450" s="2">
        <v>39829</v>
      </c>
      <c r="J450" t="s">
        <v>44</v>
      </c>
      <c r="K450" s="2">
        <v>39861.135562268515</v>
      </c>
      <c r="L450" t="s">
        <v>141</v>
      </c>
      <c r="M450">
        <v>330940</v>
      </c>
      <c r="N450">
        <v>2</v>
      </c>
      <c r="O450">
        <v>2</v>
      </c>
      <c r="P450" t="s">
        <v>20</v>
      </c>
      <c r="Q450" t="s">
        <v>20</v>
      </c>
      <c r="R450">
        <v>1291</v>
      </c>
      <c r="S450" t="s">
        <v>3609</v>
      </c>
      <c r="T450" t="s">
        <v>3610</v>
      </c>
      <c r="V450" t="s">
        <v>3611</v>
      </c>
      <c r="W450" t="s">
        <v>31</v>
      </c>
      <c r="X450" t="s">
        <v>1803</v>
      </c>
    </row>
    <row r="451" spans="1:24" ht="12.75">
      <c r="A451" s="1" t="str">
        <f>HYPERLINK("http://www.ofsted.gov.uk/inspection-reports/find-inspection-report/provider/ELS/54947","Ofsted FES Webpage")</f>
        <v>Ofsted FES Webpage</v>
      </c>
      <c r="B451" t="s">
        <v>637</v>
      </c>
      <c r="C451">
        <v>54947</v>
      </c>
      <c r="D451">
        <v>107784</v>
      </c>
      <c r="E451" t="s">
        <v>67</v>
      </c>
      <c r="F451" t="s">
        <v>68</v>
      </c>
      <c r="G451" t="s">
        <v>17</v>
      </c>
      <c r="H451" s="2">
        <v>40364</v>
      </c>
      <c r="I451" s="2">
        <v>40368</v>
      </c>
      <c r="J451" t="s">
        <v>18</v>
      </c>
      <c r="K451" s="2">
        <v>40403.13549359954</v>
      </c>
      <c r="L451" t="s">
        <v>19</v>
      </c>
      <c r="M451">
        <v>345907</v>
      </c>
      <c r="N451">
        <v>2</v>
      </c>
      <c r="O451">
        <v>2</v>
      </c>
      <c r="P451">
        <v>3</v>
      </c>
      <c r="Q451">
        <v>3</v>
      </c>
      <c r="R451">
        <v>3514</v>
      </c>
      <c r="T451" t="s">
        <v>3612</v>
      </c>
      <c r="W451" t="s">
        <v>2983</v>
      </c>
      <c r="X451" t="s">
        <v>1804</v>
      </c>
    </row>
    <row r="452" spans="1:24" ht="12.75">
      <c r="A452" s="1" t="str">
        <f>HYPERLINK("http://www.ofsted.gov.uk/inspection-reports/find-inspection-report/provider/ELS/54956","Ofsted FES Webpage")</f>
        <v>Ofsted FES Webpage</v>
      </c>
      <c r="B452" t="s">
        <v>638</v>
      </c>
      <c r="C452">
        <v>54956</v>
      </c>
      <c r="D452">
        <v>107873</v>
      </c>
      <c r="E452" t="s">
        <v>201</v>
      </c>
      <c r="F452" t="s">
        <v>26</v>
      </c>
      <c r="G452" t="s">
        <v>17</v>
      </c>
      <c r="H452" s="2">
        <v>40918</v>
      </c>
      <c r="I452" s="2">
        <v>40921</v>
      </c>
      <c r="J452" t="s">
        <v>23</v>
      </c>
      <c r="K452" s="2">
        <v>40955.13563237269</v>
      </c>
      <c r="L452" t="s">
        <v>19</v>
      </c>
      <c r="M452">
        <v>385752</v>
      </c>
      <c r="N452">
        <v>2</v>
      </c>
      <c r="O452">
        <v>2</v>
      </c>
      <c r="P452">
        <v>2</v>
      </c>
      <c r="Q452">
        <v>2</v>
      </c>
      <c r="R452">
        <v>213</v>
      </c>
      <c r="S452" t="s">
        <v>3614</v>
      </c>
      <c r="T452" t="s">
        <v>3615</v>
      </c>
      <c r="U452" t="s">
        <v>2701</v>
      </c>
      <c r="W452" t="s">
        <v>201</v>
      </c>
      <c r="X452" t="s">
        <v>1805</v>
      </c>
    </row>
    <row r="453" spans="1:24" ht="12.75">
      <c r="A453" s="1" t="str">
        <f>HYPERLINK("http://www.ofsted.gov.uk/inspection-reports/find-inspection-report/provider/ELS/54969","Ofsted FES Webpage")</f>
        <v>Ofsted FES Webpage</v>
      </c>
      <c r="B453" t="s">
        <v>639</v>
      </c>
      <c r="C453">
        <v>54969</v>
      </c>
      <c r="D453">
        <v>122223</v>
      </c>
      <c r="E453" t="s">
        <v>106</v>
      </c>
      <c r="F453" t="s">
        <v>49</v>
      </c>
      <c r="G453" t="s">
        <v>17</v>
      </c>
      <c r="H453" s="2">
        <v>41596</v>
      </c>
      <c r="I453" s="2">
        <v>41600</v>
      </c>
      <c r="J453" t="s">
        <v>27</v>
      </c>
      <c r="K453" s="2">
        <v>41626.13548880787</v>
      </c>
      <c r="L453" t="s">
        <v>29</v>
      </c>
      <c r="M453">
        <v>424468</v>
      </c>
      <c r="N453">
        <v>2</v>
      </c>
      <c r="O453">
        <v>2</v>
      </c>
      <c r="P453">
        <v>3</v>
      </c>
      <c r="Q453">
        <v>3</v>
      </c>
      <c r="R453">
        <v>3357</v>
      </c>
      <c r="S453" t="s">
        <v>3380</v>
      </c>
      <c r="T453" t="s">
        <v>3381</v>
      </c>
      <c r="U453" t="s">
        <v>2382</v>
      </c>
      <c r="V453" t="s">
        <v>106</v>
      </c>
      <c r="X453" t="s">
        <v>1806</v>
      </c>
    </row>
    <row r="454" spans="1:24" ht="12.75">
      <c r="A454" s="1" t="str">
        <f>HYPERLINK("http://www.ofsted.gov.uk/inspection-reports/find-inspection-report/provider/ELS/54975","Ofsted FES Webpage")</f>
        <v>Ofsted FES Webpage</v>
      </c>
      <c r="B454" t="s">
        <v>640</v>
      </c>
      <c r="C454">
        <v>54975</v>
      </c>
      <c r="D454">
        <v>116171</v>
      </c>
      <c r="E454" t="s">
        <v>641</v>
      </c>
      <c r="F454" t="s">
        <v>39</v>
      </c>
      <c r="G454" t="s">
        <v>40</v>
      </c>
      <c r="H454" s="2">
        <v>41317</v>
      </c>
      <c r="I454" s="2">
        <v>41320</v>
      </c>
      <c r="J454" t="s">
        <v>32</v>
      </c>
      <c r="K454" s="2">
        <v>41355.135780902776</v>
      </c>
      <c r="L454" t="s">
        <v>45</v>
      </c>
      <c r="M454">
        <v>408463</v>
      </c>
      <c r="N454">
        <v>2</v>
      </c>
      <c r="O454">
        <v>2</v>
      </c>
      <c r="P454">
        <v>3</v>
      </c>
      <c r="Q454">
        <v>3</v>
      </c>
      <c r="R454">
        <v>2015</v>
      </c>
      <c r="S454" t="s">
        <v>3616</v>
      </c>
      <c r="T454" t="s">
        <v>3467</v>
      </c>
      <c r="W454" t="s">
        <v>2651</v>
      </c>
      <c r="X454" t="s">
        <v>1807</v>
      </c>
    </row>
    <row r="455" spans="1:24" ht="12.75">
      <c r="A455" s="1" t="str">
        <f>HYPERLINK("http://www.ofsted.gov.uk/inspection-reports/find-inspection-report/provider/ELS/55015","Ofsted FES Webpage")</f>
        <v>Ofsted FES Webpage</v>
      </c>
      <c r="B455" t="s">
        <v>642</v>
      </c>
      <c r="C455">
        <v>55015</v>
      </c>
      <c r="D455">
        <v>109194</v>
      </c>
      <c r="E455" t="s">
        <v>512</v>
      </c>
      <c r="F455" t="s">
        <v>63</v>
      </c>
      <c r="G455" t="s">
        <v>17</v>
      </c>
      <c r="H455" s="2">
        <v>40155</v>
      </c>
      <c r="I455" s="2">
        <v>40158</v>
      </c>
      <c r="J455" t="s">
        <v>18</v>
      </c>
      <c r="K455" s="2">
        <v>40196.13552380787</v>
      </c>
      <c r="L455" t="s">
        <v>19</v>
      </c>
      <c r="M455">
        <v>342630</v>
      </c>
      <c r="N455">
        <v>1</v>
      </c>
      <c r="O455">
        <v>1</v>
      </c>
      <c r="P455" t="s">
        <v>20</v>
      </c>
      <c r="Q455" t="s">
        <v>20</v>
      </c>
      <c r="R455">
        <v>300</v>
      </c>
      <c r="S455">
        <v>744</v>
      </c>
      <c r="T455" t="s">
        <v>3618</v>
      </c>
      <c r="U455" t="s">
        <v>512</v>
      </c>
      <c r="X455" t="s">
        <v>1808</v>
      </c>
    </row>
    <row r="456" spans="1:24" ht="12.75">
      <c r="A456" s="1" t="str">
        <f>HYPERLINK("http://www.ofsted.gov.uk/inspection-reports/find-inspection-report/provider/ELS/55022","Ofsted FES Webpage")</f>
        <v>Ofsted FES Webpage</v>
      </c>
      <c r="B456" t="s">
        <v>643</v>
      </c>
      <c r="C456">
        <v>55022</v>
      </c>
      <c r="D456">
        <v>118214</v>
      </c>
      <c r="E456" t="s">
        <v>644</v>
      </c>
      <c r="F456" t="s">
        <v>68</v>
      </c>
      <c r="G456" t="s">
        <v>40</v>
      </c>
      <c r="H456" s="2">
        <v>41253</v>
      </c>
      <c r="I456" s="2">
        <v>41257</v>
      </c>
      <c r="J456" t="s">
        <v>32</v>
      </c>
      <c r="K456" s="2">
        <v>41297.13545621528</v>
      </c>
      <c r="L456" t="s">
        <v>29</v>
      </c>
      <c r="M456">
        <v>385754</v>
      </c>
      <c r="N456">
        <v>2</v>
      </c>
      <c r="O456">
        <v>2</v>
      </c>
      <c r="P456">
        <v>2</v>
      </c>
      <c r="Q456">
        <v>2</v>
      </c>
      <c r="R456">
        <v>7184</v>
      </c>
      <c r="S456" t="s">
        <v>3620</v>
      </c>
      <c r="T456" t="s">
        <v>3302</v>
      </c>
      <c r="W456" t="s">
        <v>2780</v>
      </c>
      <c r="X456" t="s">
        <v>1809</v>
      </c>
    </row>
    <row r="457" spans="1:24" ht="12.75">
      <c r="A457" s="1" t="str">
        <f>HYPERLINK("http://www.ofsted.gov.uk/inspection-reports/find-inspection-report/provider/ELS/55045","Ofsted FES Webpage")</f>
        <v>Ofsted FES Webpage</v>
      </c>
      <c r="B457" t="s">
        <v>645</v>
      </c>
      <c r="C457">
        <v>55045</v>
      </c>
      <c r="D457">
        <v>106761</v>
      </c>
      <c r="E457" t="s">
        <v>181</v>
      </c>
      <c r="F457" t="s">
        <v>68</v>
      </c>
      <c r="G457" t="s">
        <v>40</v>
      </c>
      <c r="H457" s="2">
        <v>40623</v>
      </c>
      <c r="I457" s="2">
        <v>40627</v>
      </c>
      <c r="J457" t="s">
        <v>56</v>
      </c>
      <c r="K457" s="2">
        <v>40667.13545540509</v>
      </c>
      <c r="L457" t="s">
        <v>19</v>
      </c>
      <c r="M457">
        <v>363206</v>
      </c>
      <c r="N457">
        <v>2</v>
      </c>
      <c r="O457">
        <v>1</v>
      </c>
      <c r="P457" t="s">
        <v>20</v>
      </c>
      <c r="Q457" t="s">
        <v>20</v>
      </c>
      <c r="R457">
        <v>3412</v>
      </c>
      <c r="S457" t="s">
        <v>3624</v>
      </c>
      <c r="W457" t="s">
        <v>2681</v>
      </c>
      <c r="X457" t="s">
        <v>1811</v>
      </c>
    </row>
    <row r="458" spans="1:24" ht="12.75">
      <c r="A458" s="1" t="str">
        <f>HYPERLINK("http://www.ofsted.gov.uk/inspection-reports/find-inspection-report/provider/ELS/55051","Ofsted FES Webpage")</f>
        <v>Ofsted FES Webpage</v>
      </c>
      <c r="B458" t="s">
        <v>646</v>
      </c>
      <c r="C458">
        <v>55051</v>
      </c>
      <c r="D458">
        <v>118417</v>
      </c>
      <c r="E458" t="s">
        <v>436</v>
      </c>
      <c r="F458" t="s">
        <v>35</v>
      </c>
      <c r="G458" t="s">
        <v>40</v>
      </c>
      <c r="H458" s="2">
        <v>41463</v>
      </c>
      <c r="I458" s="2">
        <v>41467</v>
      </c>
      <c r="J458" t="s">
        <v>32</v>
      </c>
      <c r="K458" s="2">
        <v>41502.13545570602</v>
      </c>
      <c r="L458" t="s">
        <v>29</v>
      </c>
      <c r="M458">
        <v>410657</v>
      </c>
      <c r="N458">
        <v>1</v>
      </c>
      <c r="O458">
        <v>1</v>
      </c>
      <c r="P458">
        <v>2</v>
      </c>
      <c r="Q458">
        <v>2</v>
      </c>
      <c r="R458">
        <v>660</v>
      </c>
      <c r="S458" t="s">
        <v>3625</v>
      </c>
      <c r="T458" t="s">
        <v>3626</v>
      </c>
      <c r="U458" t="s">
        <v>2649</v>
      </c>
      <c r="V458" t="s">
        <v>3627</v>
      </c>
      <c r="W458" t="s">
        <v>3628</v>
      </c>
      <c r="X458" t="s">
        <v>1812</v>
      </c>
    </row>
    <row r="459" spans="1:24" ht="12.75">
      <c r="A459" s="1" t="str">
        <f>HYPERLINK("http://www.ofsted.gov.uk/inspection-reports/find-inspection-report/provider/ELS/55053","Ofsted FES Webpage")</f>
        <v>Ofsted FES Webpage</v>
      </c>
      <c r="B459" t="s">
        <v>647</v>
      </c>
      <c r="C459">
        <v>55053</v>
      </c>
      <c r="D459">
        <v>108976</v>
      </c>
      <c r="E459" t="s">
        <v>460</v>
      </c>
      <c r="F459" t="s">
        <v>35</v>
      </c>
      <c r="G459" t="s">
        <v>17</v>
      </c>
      <c r="H459" s="2">
        <v>40498</v>
      </c>
      <c r="I459" s="2">
        <v>40501</v>
      </c>
      <c r="J459" t="s">
        <v>56</v>
      </c>
      <c r="K459" s="2">
        <v>40534.13548399306</v>
      </c>
      <c r="L459" t="s">
        <v>19</v>
      </c>
      <c r="M459">
        <v>364781</v>
      </c>
      <c r="N459">
        <v>2</v>
      </c>
      <c r="O459">
        <v>2</v>
      </c>
      <c r="P459">
        <v>3</v>
      </c>
      <c r="Q459">
        <v>3</v>
      </c>
      <c r="R459">
        <v>986</v>
      </c>
      <c r="S459" t="s">
        <v>3629</v>
      </c>
      <c r="T459" t="s">
        <v>2483</v>
      </c>
      <c r="U459" t="s">
        <v>3630</v>
      </c>
      <c r="X459" t="s">
        <v>1813</v>
      </c>
    </row>
    <row r="460" spans="1:24" ht="12.75">
      <c r="A460" s="1" t="str">
        <f>HYPERLINK("http://www.ofsted.gov.uk/inspection-reports/find-inspection-report/provider/ELS/55056","Ofsted FES Webpage")</f>
        <v>Ofsted FES Webpage</v>
      </c>
      <c r="B460" t="s">
        <v>648</v>
      </c>
      <c r="C460">
        <v>55056</v>
      </c>
      <c r="D460">
        <v>118596</v>
      </c>
      <c r="E460" t="s">
        <v>296</v>
      </c>
      <c r="F460" t="s">
        <v>26</v>
      </c>
      <c r="G460" t="s">
        <v>17</v>
      </c>
      <c r="H460" s="2">
        <v>41589</v>
      </c>
      <c r="I460" s="2">
        <v>41593</v>
      </c>
      <c r="J460" t="s">
        <v>27</v>
      </c>
      <c r="K460" s="2">
        <v>41628.135458564815</v>
      </c>
      <c r="L460" t="s">
        <v>29</v>
      </c>
      <c r="M460">
        <v>410655</v>
      </c>
      <c r="N460">
        <v>2</v>
      </c>
      <c r="O460">
        <v>2</v>
      </c>
      <c r="P460">
        <v>2</v>
      </c>
      <c r="Q460">
        <v>2</v>
      </c>
      <c r="R460">
        <v>3403</v>
      </c>
      <c r="S460" t="s">
        <v>3631</v>
      </c>
      <c r="T460" t="s">
        <v>3632</v>
      </c>
      <c r="U460" t="s">
        <v>2525</v>
      </c>
      <c r="X460" t="s">
        <v>1814</v>
      </c>
    </row>
    <row r="461" spans="1:24" ht="12.75">
      <c r="A461" s="1" t="str">
        <f>HYPERLINK("http://www.ofsted.gov.uk/inspection-reports/find-inspection-report/provider/ELS/55072","Ofsted FES Webpage")</f>
        <v>Ofsted FES Webpage</v>
      </c>
      <c r="B461" t="s">
        <v>649</v>
      </c>
      <c r="C461">
        <v>55072</v>
      </c>
      <c r="D461">
        <v>109883</v>
      </c>
      <c r="E461" t="s">
        <v>109</v>
      </c>
      <c r="F461" t="s">
        <v>16</v>
      </c>
      <c r="G461" t="s">
        <v>17</v>
      </c>
      <c r="H461" s="2">
        <v>40134</v>
      </c>
      <c r="I461" s="2">
        <v>40137</v>
      </c>
      <c r="J461" t="s">
        <v>18</v>
      </c>
      <c r="K461" s="2">
        <v>40185.135501122684</v>
      </c>
      <c r="L461" t="s">
        <v>19</v>
      </c>
      <c r="M461">
        <v>342772</v>
      </c>
      <c r="N461">
        <v>1</v>
      </c>
      <c r="O461">
        <v>1</v>
      </c>
      <c r="P461" t="s">
        <v>20</v>
      </c>
      <c r="Q461" t="s">
        <v>20</v>
      </c>
      <c r="R461">
        <v>380</v>
      </c>
      <c r="S461" t="s">
        <v>3634</v>
      </c>
      <c r="T461" t="s">
        <v>2650</v>
      </c>
      <c r="W461" t="s">
        <v>109</v>
      </c>
      <c r="X461" t="s">
        <v>1815</v>
      </c>
    </row>
    <row r="462" spans="1:24" ht="12.75">
      <c r="A462" s="1" t="str">
        <f>HYPERLINK("http://www.ofsted.gov.uk/inspection-reports/find-inspection-report/provider/ELS/55074","Ofsted FES Webpage")</f>
        <v>Ofsted FES Webpage</v>
      </c>
      <c r="B462" t="s">
        <v>650</v>
      </c>
      <c r="C462">
        <v>55074</v>
      </c>
      <c r="D462">
        <v>106956</v>
      </c>
      <c r="E462" t="s">
        <v>222</v>
      </c>
      <c r="F462" t="s">
        <v>35</v>
      </c>
      <c r="G462" t="s">
        <v>40</v>
      </c>
      <c r="H462" s="2">
        <v>41184</v>
      </c>
      <c r="I462" s="2">
        <v>41187</v>
      </c>
      <c r="J462" t="s">
        <v>32</v>
      </c>
      <c r="K462" s="2">
        <v>41222.13551813657</v>
      </c>
      <c r="L462" t="s">
        <v>29</v>
      </c>
      <c r="M462">
        <v>399088</v>
      </c>
      <c r="N462">
        <v>2</v>
      </c>
      <c r="O462">
        <v>2</v>
      </c>
      <c r="P462">
        <v>2</v>
      </c>
      <c r="Q462">
        <v>2</v>
      </c>
      <c r="R462">
        <v>253</v>
      </c>
      <c r="S462" t="s">
        <v>3635</v>
      </c>
      <c r="T462" t="s">
        <v>3636</v>
      </c>
      <c r="W462" t="s">
        <v>3234</v>
      </c>
      <c r="X462" t="s">
        <v>1816</v>
      </c>
    </row>
    <row r="463" spans="1:24" ht="12.75">
      <c r="A463" s="1" t="str">
        <f>HYPERLINK("http://www.ofsted.gov.uk/inspection-reports/find-inspection-report/provider/ELS/55112","Ofsted FES Webpage")</f>
        <v>Ofsted FES Webpage</v>
      </c>
      <c r="B463" t="s">
        <v>651</v>
      </c>
      <c r="C463">
        <v>55112</v>
      </c>
      <c r="D463">
        <v>107086</v>
      </c>
      <c r="E463" t="s">
        <v>545</v>
      </c>
      <c r="F463" t="s">
        <v>26</v>
      </c>
      <c r="G463" t="s">
        <v>40</v>
      </c>
      <c r="H463" s="2">
        <v>41498</v>
      </c>
      <c r="I463" s="2">
        <v>41502</v>
      </c>
      <c r="J463" t="s">
        <v>32</v>
      </c>
      <c r="K463" s="2">
        <v>41537.13545833333</v>
      </c>
      <c r="L463" t="s">
        <v>29</v>
      </c>
      <c r="M463">
        <v>410658</v>
      </c>
      <c r="N463">
        <v>2</v>
      </c>
      <c r="O463">
        <v>2</v>
      </c>
      <c r="P463">
        <v>2</v>
      </c>
      <c r="Q463">
        <v>2</v>
      </c>
      <c r="R463">
        <v>322</v>
      </c>
      <c r="T463" t="s">
        <v>3639</v>
      </c>
      <c r="U463" t="s">
        <v>3640</v>
      </c>
      <c r="W463" t="s">
        <v>80</v>
      </c>
      <c r="X463" t="s">
        <v>1819</v>
      </c>
    </row>
    <row r="464" spans="1:24" ht="12.75">
      <c r="A464" s="1" t="str">
        <f>HYPERLINK("http://www.ofsted.gov.uk/inspection-reports/find-inspection-report/provider/ELS/55113","Ofsted FES Webpage")</f>
        <v>Ofsted FES Webpage</v>
      </c>
      <c r="B464" t="s">
        <v>652</v>
      </c>
      <c r="C464">
        <v>55113</v>
      </c>
      <c r="D464">
        <v>105909</v>
      </c>
      <c r="E464" t="s">
        <v>653</v>
      </c>
      <c r="F464" t="s">
        <v>68</v>
      </c>
      <c r="G464" t="s">
        <v>17</v>
      </c>
      <c r="H464" s="2">
        <v>41568</v>
      </c>
      <c r="I464" s="2">
        <v>41571</v>
      </c>
      <c r="J464" t="s">
        <v>27</v>
      </c>
      <c r="K464" s="2">
        <v>41606.13587056713</v>
      </c>
      <c r="L464" t="s">
        <v>29</v>
      </c>
      <c r="M464">
        <v>428258</v>
      </c>
      <c r="N464">
        <v>2</v>
      </c>
      <c r="O464">
        <v>2</v>
      </c>
      <c r="P464">
        <v>1</v>
      </c>
      <c r="Q464">
        <v>1</v>
      </c>
      <c r="R464">
        <v>478</v>
      </c>
      <c r="S464" t="s">
        <v>3641</v>
      </c>
      <c r="T464" t="s">
        <v>3642</v>
      </c>
      <c r="W464" t="s">
        <v>3189</v>
      </c>
      <c r="X464" t="s">
        <v>1820</v>
      </c>
    </row>
    <row r="465" spans="1:24" ht="12.75">
      <c r="A465" s="1" t="str">
        <f>HYPERLINK("http://www.ofsted.gov.uk/inspection-reports/find-inspection-report/provider/ELS/55115","Ofsted FES Webpage")</f>
        <v>Ofsted FES Webpage</v>
      </c>
      <c r="B465" t="s">
        <v>654</v>
      </c>
      <c r="C465">
        <v>55115</v>
      </c>
      <c r="D465">
        <v>105316</v>
      </c>
      <c r="E465" t="s">
        <v>203</v>
      </c>
      <c r="F465" t="s">
        <v>49</v>
      </c>
      <c r="G465" t="s">
        <v>160</v>
      </c>
      <c r="H465" s="2">
        <v>40616</v>
      </c>
      <c r="I465" s="2">
        <v>40620</v>
      </c>
      <c r="J465" t="s">
        <v>56</v>
      </c>
      <c r="K465" s="2">
        <v>40661.135492789355</v>
      </c>
      <c r="L465" t="s">
        <v>29</v>
      </c>
      <c r="M465">
        <v>362677</v>
      </c>
      <c r="N465">
        <v>2</v>
      </c>
      <c r="O465">
        <v>2</v>
      </c>
      <c r="P465">
        <v>3</v>
      </c>
      <c r="Q465">
        <v>2</v>
      </c>
      <c r="R465">
        <v>580</v>
      </c>
      <c r="S465" t="s">
        <v>3644</v>
      </c>
      <c r="T465" t="s">
        <v>3250</v>
      </c>
      <c r="U465" t="s">
        <v>3249</v>
      </c>
      <c r="W465" t="s">
        <v>203</v>
      </c>
      <c r="X465" t="s">
        <v>1821</v>
      </c>
    </row>
    <row r="466" spans="1:24" ht="12.75">
      <c r="A466" s="1" t="str">
        <f>HYPERLINK("http://www.ofsted.gov.uk/inspection-reports/find-inspection-report/provider/ELS/55131","Ofsted FES Webpage")</f>
        <v>Ofsted FES Webpage</v>
      </c>
      <c r="B466" t="s">
        <v>655</v>
      </c>
      <c r="C466">
        <v>55131</v>
      </c>
      <c r="D466">
        <v>110106</v>
      </c>
      <c r="E466" t="s">
        <v>172</v>
      </c>
      <c r="F466" t="s">
        <v>26</v>
      </c>
      <c r="G466" t="s">
        <v>40</v>
      </c>
      <c r="H466" s="2">
        <v>41142</v>
      </c>
      <c r="I466" s="2">
        <v>41145</v>
      </c>
      <c r="J466" t="s">
        <v>23</v>
      </c>
      <c r="K466" s="2">
        <v>41178.13545246528</v>
      </c>
      <c r="L466" t="s">
        <v>19</v>
      </c>
      <c r="M466">
        <v>388108</v>
      </c>
      <c r="N466">
        <v>2</v>
      </c>
      <c r="O466">
        <v>2</v>
      </c>
      <c r="P466">
        <v>2</v>
      </c>
      <c r="Q466">
        <v>2</v>
      </c>
      <c r="R466">
        <v>537</v>
      </c>
      <c r="T466" t="s">
        <v>3645</v>
      </c>
      <c r="W466" t="s">
        <v>2960</v>
      </c>
      <c r="X466" t="s">
        <v>1822</v>
      </c>
    </row>
    <row r="467" spans="1:24" ht="12.75">
      <c r="A467" s="1" t="str">
        <f>HYPERLINK("http://www.ofsted.gov.uk/inspection-reports/find-inspection-report/provider/ELS/55141","Ofsted FES Webpage")</f>
        <v>Ofsted FES Webpage</v>
      </c>
      <c r="B467" t="s">
        <v>656</v>
      </c>
      <c r="C467">
        <v>55141</v>
      </c>
      <c r="D467">
        <v>112390</v>
      </c>
      <c r="E467" t="s">
        <v>25</v>
      </c>
      <c r="F467" t="s">
        <v>26</v>
      </c>
      <c r="G467" t="s">
        <v>17</v>
      </c>
      <c r="H467" s="2">
        <v>41345</v>
      </c>
      <c r="I467" s="2">
        <v>41354</v>
      </c>
      <c r="J467" t="s">
        <v>32</v>
      </c>
      <c r="K467" s="2">
        <v>41382.13579355324</v>
      </c>
      <c r="L467" t="s">
        <v>29</v>
      </c>
      <c r="M467">
        <v>408501</v>
      </c>
      <c r="N467">
        <v>2</v>
      </c>
      <c r="O467">
        <v>1</v>
      </c>
      <c r="P467">
        <v>3</v>
      </c>
      <c r="Q467">
        <v>3</v>
      </c>
      <c r="R467">
        <v>133994</v>
      </c>
      <c r="S467" t="s">
        <v>2485</v>
      </c>
      <c r="T467" t="s">
        <v>2486</v>
      </c>
      <c r="U467" t="s">
        <v>25</v>
      </c>
      <c r="X467" t="s">
        <v>1823</v>
      </c>
    </row>
    <row r="468" spans="1:24" ht="12.75">
      <c r="A468" s="1" t="str">
        <f>HYPERLINK("http://www.ofsted.gov.uk/inspection-reports/find-inspection-report/provider/ELS/55149","Ofsted FES Webpage")</f>
        <v>Ofsted FES Webpage</v>
      </c>
      <c r="B468" t="s">
        <v>657</v>
      </c>
      <c r="C468">
        <v>55149</v>
      </c>
      <c r="D468">
        <v>105044</v>
      </c>
      <c r="E468" t="s">
        <v>70</v>
      </c>
      <c r="F468" t="s">
        <v>39</v>
      </c>
      <c r="G468" t="s">
        <v>17</v>
      </c>
      <c r="H468" s="2">
        <v>41176</v>
      </c>
      <c r="I468" s="2">
        <v>41180</v>
      </c>
      <c r="J468" t="s">
        <v>32</v>
      </c>
      <c r="K468" s="2">
        <v>41215.13554892361</v>
      </c>
      <c r="L468" t="s">
        <v>29</v>
      </c>
      <c r="M468">
        <v>399105</v>
      </c>
      <c r="N468">
        <v>2</v>
      </c>
      <c r="O468">
        <v>2</v>
      </c>
      <c r="P468">
        <v>3</v>
      </c>
      <c r="Q468">
        <v>3</v>
      </c>
      <c r="R468">
        <v>701</v>
      </c>
      <c r="S468" t="s">
        <v>3646</v>
      </c>
      <c r="T468" t="s">
        <v>2841</v>
      </c>
      <c r="W468" t="s">
        <v>3046</v>
      </c>
      <c r="X468" t="s">
        <v>1824</v>
      </c>
    </row>
    <row r="469" spans="1:24" ht="12.75">
      <c r="A469" s="1" t="str">
        <f>HYPERLINK("http://www.ofsted.gov.uk/inspection-reports/find-inspection-report/provider/ELS/55208","Ofsted FES Webpage")</f>
        <v>Ofsted FES Webpage</v>
      </c>
      <c r="B469" t="s">
        <v>658</v>
      </c>
      <c r="C469">
        <v>55208</v>
      </c>
      <c r="D469">
        <v>116421</v>
      </c>
      <c r="E469" t="s">
        <v>529</v>
      </c>
      <c r="F469" t="s">
        <v>68</v>
      </c>
      <c r="G469" t="s">
        <v>17</v>
      </c>
      <c r="H469" s="2">
        <v>39826</v>
      </c>
      <c r="I469" s="2">
        <v>39829</v>
      </c>
      <c r="J469" t="s">
        <v>44</v>
      </c>
      <c r="K469" s="2">
        <v>39861.13556261574</v>
      </c>
      <c r="L469" t="s">
        <v>19</v>
      </c>
      <c r="M469">
        <v>330959</v>
      </c>
      <c r="N469">
        <v>1</v>
      </c>
      <c r="O469">
        <v>1</v>
      </c>
      <c r="P469" t="s">
        <v>20</v>
      </c>
      <c r="Q469" t="s">
        <v>20</v>
      </c>
      <c r="R469">
        <v>262</v>
      </c>
      <c r="S469" t="s">
        <v>3648</v>
      </c>
      <c r="T469" t="s">
        <v>3649</v>
      </c>
      <c r="W469" t="s">
        <v>529</v>
      </c>
      <c r="X469" t="s">
        <v>1825</v>
      </c>
    </row>
    <row r="470" spans="1:24" ht="12.75">
      <c r="A470" s="1" t="str">
        <f>HYPERLINK("http://www.ofsted.gov.uk/inspection-reports/find-inspection-report/provider/ELS/55219","Ofsted FES Webpage")</f>
        <v>Ofsted FES Webpage</v>
      </c>
      <c r="B470" t="s">
        <v>659</v>
      </c>
      <c r="C470">
        <v>55219</v>
      </c>
      <c r="D470">
        <v>105699</v>
      </c>
      <c r="E470" t="s">
        <v>420</v>
      </c>
      <c r="F470" t="s">
        <v>35</v>
      </c>
      <c r="G470" t="s">
        <v>17</v>
      </c>
      <c r="H470" s="2">
        <v>41548</v>
      </c>
      <c r="I470" s="2">
        <v>41551</v>
      </c>
      <c r="J470" t="s">
        <v>27</v>
      </c>
      <c r="K470" s="2">
        <v>41592.13581049768</v>
      </c>
      <c r="L470" t="s">
        <v>36</v>
      </c>
      <c r="M470">
        <v>429011</v>
      </c>
      <c r="N470">
        <v>4</v>
      </c>
      <c r="O470">
        <v>4</v>
      </c>
      <c r="P470">
        <v>2</v>
      </c>
      <c r="Q470">
        <v>2</v>
      </c>
      <c r="R470">
        <v>155</v>
      </c>
      <c r="T470" t="s">
        <v>3650</v>
      </c>
      <c r="U470" t="s">
        <v>3651</v>
      </c>
      <c r="W470" t="s">
        <v>35</v>
      </c>
      <c r="X470" t="s">
        <v>1826</v>
      </c>
    </row>
    <row r="471" spans="1:24" ht="12.75">
      <c r="A471" s="1" t="str">
        <f>HYPERLINK("http://www.ofsted.gov.uk/inspection-reports/find-inspection-report/provider/ELS/55231","Ofsted FES Webpage")</f>
        <v>Ofsted FES Webpage</v>
      </c>
      <c r="B471" t="s">
        <v>660</v>
      </c>
      <c r="C471">
        <v>55231</v>
      </c>
      <c r="D471">
        <v>119755</v>
      </c>
      <c r="E471" t="s">
        <v>159</v>
      </c>
      <c r="F471" t="s">
        <v>43</v>
      </c>
      <c r="G471" t="s">
        <v>160</v>
      </c>
      <c r="H471" s="2">
        <v>40749</v>
      </c>
      <c r="I471" s="2">
        <v>40753</v>
      </c>
      <c r="J471" t="s">
        <v>56</v>
      </c>
      <c r="K471" s="2">
        <v>40791.135453703704</v>
      </c>
      <c r="L471" t="s">
        <v>29</v>
      </c>
      <c r="M471">
        <v>363198</v>
      </c>
      <c r="N471">
        <v>2</v>
      </c>
      <c r="O471">
        <v>2</v>
      </c>
      <c r="P471">
        <v>2</v>
      </c>
      <c r="Q471">
        <v>2</v>
      </c>
      <c r="R471">
        <v>72</v>
      </c>
      <c r="S471" t="s">
        <v>3652</v>
      </c>
      <c r="T471" t="s">
        <v>3653</v>
      </c>
      <c r="U471" t="s">
        <v>2729</v>
      </c>
      <c r="X471" t="s">
        <v>1827</v>
      </c>
    </row>
    <row r="472" spans="1:24" ht="12.75">
      <c r="A472" s="1" t="str">
        <f>HYPERLINK("http://www.ofsted.gov.uk/inspection-reports/find-inspection-report/provider/ELS/55241","Ofsted FES Webpage")</f>
        <v>Ofsted FES Webpage</v>
      </c>
      <c r="B472" t="s">
        <v>661</v>
      </c>
      <c r="C472">
        <v>55241</v>
      </c>
      <c r="D472">
        <v>107911</v>
      </c>
      <c r="E472" t="s">
        <v>75</v>
      </c>
      <c r="F472" t="s">
        <v>63</v>
      </c>
      <c r="G472" t="s">
        <v>17</v>
      </c>
      <c r="H472" s="2">
        <v>40014</v>
      </c>
      <c r="I472" s="2">
        <v>40025</v>
      </c>
      <c r="J472" t="s">
        <v>44</v>
      </c>
      <c r="K472" s="2">
        <v>40063.13548842593</v>
      </c>
      <c r="L472" t="s">
        <v>29</v>
      </c>
      <c r="M472">
        <v>334913</v>
      </c>
      <c r="N472">
        <v>2</v>
      </c>
      <c r="O472">
        <v>2</v>
      </c>
      <c r="P472">
        <v>2</v>
      </c>
      <c r="Q472">
        <v>2</v>
      </c>
      <c r="R472">
        <v>27499</v>
      </c>
      <c r="S472" t="s">
        <v>3654</v>
      </c>
      <c r="T472" t="s">
        <v>2948</v>
      </c>
      <c r="U472" t="s">
        <v>2949</v>
      </c>
      <c r="W472" t="s">
        <v>2484</v>
      </c>
      <c r="X472" t="s">
        <v>1500</v>
      </c>
    </row>
    <row r="473" spans="1:24" ht="12.75">
      <c r="A473" s="1" t="str">
        <f>HYPERLINK("http://www.ofsted.gov.uk/inspection-reports/find-inspection-report/provider/ELS/55247","Ofsted FES Webpage")</f>
        <v>Ofsted FES Webpage</v>
      </c>
      <c r="B473" t="s">
        <v>662</v>
      </c>
      <c r="C473">
        <v>55247</v>
      </c>
      <c r="D473">
        <v>107968</v>
      </c>
      <c r="E473" t="s">
        <v>521</v>
      </c>
      <c r="F473" t="s">
        <v>26</v>
      </c>
      <c r="G473" t="s">
        <v>40</v>
      </c>
      <c r="H473" s="2">
        <v>40833</v>
      </c>
      <c r="I473" s="2">
        <v>40837</v>
      </c>
      <c r="J473" t="s">
        <v>23</v>
      </c>
      <c r="K473" s="2">
        <v>40872.13547190972</v>
      </c>
      <c r="L473" t="s">
        <v>45</v>
      </c>
      <c r="M473">
        <v>375502</v>
      </c>
      <c r="N473">
        <v>2</v>
      </c>
      <c r="O473">
        <v>2</v>
      </c>
      <c r="P473">
        <v>3</v>
      </c>
      <c r="Q473">
        <v>3</v>
      </c>
      <c r="R473">
        <v>6294</v>
      </c>
      <c r="S473" t="s">
        <v>3655</v>
      </c>
      <c r="T473" t="s">
        <v>3656</v>
      </c>
      <c r="U473" t="s">
        <v>3657</v>
      </c>
      <c r="W473" t="s">
        <v>521</v>
      </c>
      <c r="X473" t="s">
        <v>1828</v>
      </c>
    </row>
    <row r="474" spans="1:24" ht="12.75">
      <c r="A474" s="1" t="str">
        <f>HYPERLINK("http://www.ofsted.gov.uk/inspection-reports/find-inspection-report/provider/ELS/55258","Ofsted FES Webpage")</f>
        <v>Ofsted FES Webpage</v>
      </c>
      <c r="B474" t="s">
        <v>663</v>
      </c>
      <c r="C474">
        <v>55258</v>
      </c>
      <c r="D474">
        <v>111355</v>
      </c>
      <c r="E474" t="s">
        <v>73</v>
      </c>
      <c r="F474" t="s">
        <v>49</v>
      </c>
      <c r="G474" t="s">
        <v>40</v>
      </c>
      <c r="H474" s="2">
        <v>41246</v>
      </c>
      <c r="I474" s="2">
        <v>41250</v>
      </c>
      <c r="J474" t="s">
        <v>32</v>
      </c>
      <c r="K474" s="2">
        <v>41290.13552207176</v>
      </c>
      <c r="L474" t="s">
        <v>45</v>
      </c>
      <c r="M474">
        <v>407195</v>
      </c>
      <c r="N474">
        <v>1</v>
      </c>
      <c r="O474">
        <v>1</v>
      </c>
      <c r="P474">
        <v>2</v>
      </c>
      <c r="Q474">
        <v>2</v>
      </c>
      <c r="R474">
        <v>4635</v>
      </c>
      <c r="S474" t="s">
        <v>3658</v>
      </c>
      <c r="T474" t="s">
        <v>3659</v>
      </c>
      <c r="W474" t="s">
        <v>73</v>
      </c>
      <c r="X474" t="s">
        <v>1829</v>
      </c>
    </row>
    <row r="475" spans="1:24" ht="12.75">
      <c r="A475" s="1" t="str">
        <f>HYPERLINK("http://www.ofsted.gov.uk/inspection-reports/find-inspection-report/provider/ELS/55268","Ofsted FES Webpage")</f>
        <v>Ofsted FES Webpage</v>
      </c>
      <c r="B475" t="s">
        <v>664</v>
      </c>
      <c r="C475">
        <v>55268</v>
      </c>
      <c r="D475">
        <v>106426</v>
      </c>
      <c r="E475" t="s">
        <v>665</v>
      </c>
      <c r="F475" t="s">
        <v>68</v>
      </c>
      <c r="G475" t="s">
        <v>40</v>
      </c>
      <c r="H475" s="2">
        <v>40462</v>
      </c>
      <c r="I475" s="2">
        <v>40466</v>
      </c>
      <c r="J475" t="s">
        <v>56</v>
      </c>
      <c r="K475" s="2">
        <v>40501.1354474537</v>
      </c>
      <c r="L475" t="s">
        <v>45</v>
      </c>
      <c r="M475">
        <v>354472</v>
      </c>
      <c r="N475">
        <v>2</v>
      </c>
      <c r="O475">
        <v>2</v>
      </c>
      <c r="P475">
        <v>3</v>
      </c>
      <c r="Q475">
        <v>3</v>
      </c>
      <c r="R475">
        <v>2062</v>
      </c>
      <c r="S475" t="s">
        <v>3660</v>
      </c>
      <c r="T475" t="s">
        <v>665</v>
      </c>
      <c r="X475" t="s">
        <v>1830</v>
      </c>
    </row>
    <row r="476" spans="1:24" ht="12.75">
      <c r="A476" s="1" t="str">
        <f>HYPERLINK("http://www.ofsted.gov.uk/inspection-reports/find-inspection-report/provider/ELS/55276","Ofsted FES Webpage")</f>
        <v>Ofsted FES Webpage</v>
      </c>
      <c r="B476" t="s">
        <v>666</v>
      </c>
      <c r="C476">
        <v>55276</v>
      </c>
      <c r="D476">
        <v>112309</v>
      </c>
      <c r="E476" t="s">
        <v>335</v>
      </c>
      <c r="F476" t="s">
        <v>49</v>
      </c>
      <c r="G476" t="s">
        <v>40</v>
      </c>
      <c r="H476" s="2">
        <v>40686</v>
      </c>
      <c r="I476" s="2">
        <v>40690</v>
      </c>
      <c r="J476" t="s">
        <v>56</v>
      </c>
      <c r="K476" s="2">
        <v>40728.13545107639</v>
      </c>
      <c r="L476" t="s">
        <v>45</v>
      </c>
      <c r="M476">
        <v>366697</v>
      </c>
      <c r="N476">
        <v>2</v>
      </c>
      <c r="O476">
        <v>3</v>
      </c>
      <c r="P476">
        <v>3</v>
      </c>
      <c r="Q476">
        <v>3</v>
      </c>
      <c r="R476">
        <v>3822</v>
      </c>
      <c r="S476" t="s">
        <v>3662</v>
      </c>
      <c r="T476" t="s">
        <v>3663</v>
      </c>
      <c r="U476" t="s">
        <v>2858</v>
      </c>
      <c r="V476" t="s">
        <v>2858</v>
      </c>
      <c r="X476" t="s">
        <v>1831</v>
      </c>
    </row>
    <row r="477" spans="1:24" ht="12.75">
      <c r="A477" s="1" t="str">
        <f>HYPERLINK("http://www.ofsted.gov.uk/inspection-reports/find-inspection-report/provider/ELS/55287","Ofsted FES Webpage")</f>
        <v>Ofsted FES Webpage</v>
      </c>
      <c r="B477" t="s">
        <v>667</v>
      </c>
      <c r="C477">
        <v>55287</v>
      </c>
      <c r="D477">
        <v>105529</v>
      </c>
      <c r="E477" t="s">
        <v>350</v>
      </c>
      <c r="F477" t="s">
        <v>43</v>
      </c>
      <c r="G477" t="s">
        <v>40</v>
      </c>
      <c r="H477" s="2">
        <v>41386</v>
      </c>
      <c r="I477" s="2">
        <v>41390</v>
      </c>
      <c r="J477" t="s">
        <v>32</v>
      </c>
      <c r="K477" s="2">
        <v>41429.13551678241</v>
      </c>
      <c r="L477" t="s">
        <v>36</v>
      </c>
      <c r="M477">
        <v>410697</v>
      </c>
      <c r="N477">
        <v>3</v>
      </c>
      <c r="O477">
        <v>3</v>
      </c>
      <c r="P477">
        <v>3</v>
      </c>
      <c r="Q477">
        <v>3</v>
      </c>
      <c r="R477">
        <v>1273</v>
      </c>
      <c r="S477" t="s">
        <v>3666</v>
      </c>
      <c r="T477" t="s">
        <v>3667</v>
      </c>
      <c r="W477" t="s">
        <v>3550</v>
      </c>
      <c r="X477" t="s">
        <v>1832</v>
      </c>
    </row>
    <row r="478" spans="1:24" ht="12.75">
      <c r="A478" s="1" t="str">
        <f>HYPERLINK("http://www.ofsted.gov.uk/inspection-reports/find-inspection-report/provider/ELS/55294","Ofsted FES Webpage")</f>
        <v>Ofsted FES Webpage</v>
      </c>
      <c r="B478" t="s">
        <v>668</v>
      </c>
      <c r="C478">
        <v>55294</v>
      </c>
      <c r="D478">
        <v>105454</v>
      </c>
      <c r="E478" t="s">
        <v>51</v>
      </c>
      <c r="F478" t="s">
        <v>16</v>
      </c>
      <c r="G478" t="s">
        <v>17</v>
      </c>
      <c r="H478" s="2">
        <v>40505</v>
      </c>
      <c r="I478" s="2">
        <v>40508</v>
      </c>
      <c r="J478" t="s">
        <v>56</v>
      </c>
      <c r="K478" s="2">
        <v>40548.135513622685</v>
      </c>
      <c r="L478" t="s">
        <v>19</v>
      </c>
      <c r="M478">
        <v>362863</v>
      </c>
      <c r="N478">
        <v>1</v>
      </c>
      <c r="O478">
        <v>1</v>
      </c>
      <c r="P478">
        <v>2</v>
      </c>
      <c r="Q478">
        <v>2</v>
      </c>
      <c r="R478">
        <v>397</v>
      </c>
      <c r="S478" t="s">
        <v>3668</v>
      </c>
      <c r="T478" t="s">
        <v>3669</v>
      </c>
      <c r="U478" t="s">
        <v>3670</v>
      </c>
      <c r="W478" t="s">
        <v>15</v>
      </c>
      <c r="X478" t="s">
        <v>1833</v>
      </c>
    </row>
    <row r="479" spans="1:24" ht="12.75">
      <c r="A479" s="1" t="str">
        <f>HYPERLINK("http://www.ofsted.gov.uk/inspection-reports/find-inspection-report/provider/ELS/55295","Ofsted FES Webpage")</f>
        <v>Ofsted FES Webpage</v>
      </c>
      <c r="B479" t="s">
        <v>669</v>
      </c>
      <c r="C479">
        <v>55295</v>
      </c>
      <c r="D479">
        <v>116089</v>
      </c>
      <c r="E479" t="s">
        <v>350</v>
      </c>
      <c r="F479" t="s">
        <v>43</v>
      </c>
      <c r="G479" t="s">
        <v>17</v>
      </c>
      <c r="H479" s="2">
        <v>40014</v>
      </c>
      <c r="I479" s="2">
        <v>40017</v>
      </c>
      <c r="J479" t="s">
        <v>44</v>
      </c>
      <c r="K479" s="2">
        <v>40059.13548773148</v>
      </c>
      <c r="L479" t="s">
        <v>19</v>
      </c>
      <c r="M479">
        <v>333250</v>
      </c>
      <c r="N479">
        <v>2</v>
      </c>
      <c r="O479">
        <v>2</v>
      </c>
      <c r="P479" t="s">
        <v>20</v>
      </c>
      <c r="Q479" t="s">
        <v>20</v>
      </c>
      <c r="R479">
        <v>952</v>
      </c>
      <c r="S479" t="s">
        <v>3671</v>
      </c>
      <c r="T479" t="s">
        <v>3672</v>
      </c>
      <c r="W479" t="s">
        <v>3673</v>
      </c>
      <c r="X479" t="s">
        <v>1834</v>
      </c>
    </row>
    <row r="480" spans="1:24" ht="12.75">
      <c r="A480" s="1" t="str">
        <f>HYPERLINK("http://www.ofsted.gov.uk/inspection-reports/find-inspection-report/provider/ELS/55306","Ofsted FES Webpage")</f>
        <v>Ofsted FES Webpage</v>
      </c>
      <c r="B480" t="s">
        <v>670</v>
      </c>
      <c r="C480">
        <v>55306</v>
      </c>
      <c r="D480">
        <v>107473</v>
      </c>
      <c r="E480" t="s">
        <v>205</v>
      </c>
      <c r="F480" t="s">
        <v>39</v>
      </c>
      <c r="G480" t="s">
        <v>40</v>
      </c>
      <c r="H480" s="2">
        <v>41723</v>
      </c>
      <c r="I480" s="2">
        <v>41726</v>
      </c>
      <c r="J480" t="s">
        <v>27</v>
      </c>
      <c r="K480" s="2">
        <v>41761.13547083333</v>
      </c>
      <c r="L480" t="s">
        <v>60</v>
      </c>
      <c r="M480">
        <v>429092</v>
      </c>
      <c r="N480">
        <v>2</v>
      </c>
      <c r="O480">
        <v>2</v>
      </c>
      <c r="P480">
        <v>3</v>
      </c>
      <c r="Q480">
        <v>3</v>
      </c>
      <c r="R480">
        <v>328</v>
      </c>
      <c r="T480" t="s">
        <v>3674</v>
      </c>
      <c r="U480" t="s">
        <v>3277</v>
      </c>
      <c r="W480" t="s">
        <v>2806</v>
      </c>
      <c r="X480" t="s">
        <v>1835</v>
      </c>
    </row>
    <row r="481" spans="1:24" ht="12.75">
      <c r="A481" s="1" t="str">
        <f>HYPERLINK("http://www.ofsted.gov.uk/inspection-reports/find-inspection-report/provider/ELS/55307","Ofsted FES Webpage")</f>
        <v>Ofsted FES Webpage</v>
      </c>
      <c r="B481" t="s">
        <v>671</v>
      </c>
      <c r="C481">
        <v>55307</v>
      </c>
      <c r="D481">
        <v>110206</v>
      </c>
      <c r="E481" t="s">
        <v>159</v>
      </c>
      <c r="F481" t="s">
        <v>43</v>
      </c>
      <c r="G481" t="s">
        <v>40</v>
      </c>
      <c r="H481" s="2">
        <v>41247</v>
      </c>
      <c r="I481" s="2">
        <v>41249</v>
      </c>
      <c r="J481" t="s">
        <v>32</v>
      </c>
      <c r="K481" s="2">
        <v>41285.135810416665</v>
      </c>
      <c r="L481" t="s">
        <v>45</v>
      </c>
      <c r="M481">
        <v>408471</v>
      </c>
      <c r="N481">
        <v>2</v>
      </c>
      <c r="O481">
        <v>2</v>
      </c>
      <c r="P481">
        <v>2</v>
      </c>
      <c r="Q481">
        <v>2</v>
      </c>
      <c r="R481">
        <v>2311</v>
      </c>
      <c r="S481" t="s">
        <v>3675</v>
      </c>
      <c r="T481" t="s">
        <v>2539</v>
      </c>
      <c r="U481" t="s">
        <v>2729</v>
      </c>
      <c r="X481" t="s">
        <v>1836</v>
      </c>
    </row>
    <row r="482" spans="1:24" ht="12.75">
      <c r="A482" s="1" t="str">
        <f>HYPERLINK("http://www.ofsted.gov.uk/inspection-reports/find-inspection-report/provider/ELS/55308","Ofsted FES Webpage")</f>
        <v>Ofsted FES Webpage</v>
      </c>
      <c r="B482" t="s">
        <v>672</v>
      </c>
      <c r="C482">
        <v>55308</v>
      </c>
      <c r="D482">
        <v>106340</v>
      </c>
      <c r="E482" t="s">
        <v>159</v>
      </c>
      <c r="F482" t="s">
        <v>43</v>
      </c>
      <c r="G482" t="s">
        <v>40</v>
      </c>
      <c r="H482" s="2">
        <v>41407</v>
      </c>
      <c r="I482" s="2">
        <v>41411</v>
      </c>
      <c r="J482" t="s">
        <v>32</v>
      </c>
      <c r="K482" s="2">
        <v>41449.13552685185</v>
      </c>
      <c r="L482" t="s">
        <v>36</v>
      </c>
      <c r="M482">
        <v>410698</v>
      </c>
      <c r="N482">
        <v>2</v>
      </c>
      <c r="O482">
        <v>2</v>
      </c>
      <c r="P482">
        <v>2</v>
      </c>
      <c r="Q482">
        <v>2</v>
      </c>
      <c r="R482">
        <v>1191</v>
      </c>
      <c r="S482" t="s">
        <v>3676</v>
      </c>
      <c r="T482" t="s">
        <v>3677</v>
      </c>
      <c r="W482" t="s">
        <v>2729</v>
      </c>
      <c r="X482" t="s">
        <v>1837</v>
      </c>
    </row>
    <row r="483" spans="1:24" ht="12.75">
      <c r="A483" s="1" t="str">
        <f>HYPERLINK("http://www.ofsted.gov.uk/inspection-reports/find-inspection-report/provider/ELS/55353","Ofsted FES Webpage")</f>
        <v>Ofsted FES Webpage</v>
      </c>
      <c r="B483" t="s">
        <v>673</v>
      </c>
      <c r="C483">
        <v>55353</v>
      </c>
      <c r="D483">
        <v>111720</v>
      </c>
      <c r="E483" t="s">
        <v>185</v>
      </c>
      <c r="F483" t="s">
        <v>35</v>
      </c>
      <c r="G483" t="s">
        <v>40</v>
      </c>
      <c r="H483" s="2">
        <v>40819</v>
      </c>
      <c r="I483" s="2">
        <v>40823</v>
      </c>
      <c r="J483" t="s">
        <v>23</v>
      </c>
      <c r="K483" s="2">
        <v>40856.13547109954</v>
      </c>
      <c r="L483" t="s">
        <v>83</v>
      </c>
      <c r="M483">
        <v>375508</v>
      </c>
      <c r="N483">
        <v>2</v>
      </c>
      <c r="O483">
        <v>2</v>
      </c>
      <c r="P483">
        <v>2</v>
      </c>
      <c r="Q483">
        <v>2</v>
      </c>
      <c r="R483">
        <v>9372</v>
      </c>
      <c r="S483" t="s">
        <v>3680</v>
      </c>
      <c r="T483" t="s">
        <v>35</v>
      </c>
      <c r="X483" t="s">
        <v>1839</v>
      </c>
    </row>
    <row r="484" spans="1:24" ht="12.75">
      <c r="A484" s="1" t="str">
        <f>HYPERLINK("http://www.ofsted.gov.uk/inspection-reports/find-inspection-report/provider/ELS/55363","Ofsted FES Webpage")</f>
        <v>Ofsted FES Webpage</v>
      </c>
      <c r="B484" t="s">
        <v>674</v>
      </c>
      <c r="C484">
        <v>55363</v>
      </c>
      <c r="D484">
        <v>117523</v>
      </c>
      <c r="E484" t="s">
        <v>286</v>
      </c>
      <c r="F484" t="s">
        <v>39</v>
      </c>
      <c r="G484" t="s">
        <v>160</v>
      </c>
      <c r="H484" s="2">
        <v>40966</v>
      </c>
      <c r="I484" s="2">
        <v>40970</v>
      </c>
      <c r="J484" t="s">
        <v>23</v>
      </c>
      <c r="K484" s="2">
        <v>41005.13548587963</v>
      </c>
      <c r="L484" t="s">
        <v>29</v>
      </c>
      <c r="M484">
        <v>385766</v>
      </c>
      <c r="N484">
        <v>3</v>
      </c>
      <c r="O484">
        <v>3</v>
      </c>
      <c r="P484">
        <v>2</v>
      </c>
      <c r="Q484">
        <v>2</v>
      </c>
      <c r="R484">
        <v>607</v>
      </c>
      <c r="S484" t="s">
        <v>3681</v>
      </c>
      <c r="T484" t="s">
        <v>3682</v>
      </c>
      <c r="U484" t="s">
        <v>3683</v>
      </c>
      <c r="V484" t="s">
        <v>2667</v>
      </c>
      <c r="W484" t="s">
        <v>3252</v>
      </c>
      <c r="X484" t="s">
        <v>1840</v>
      </c>
    </row>
    <row r="485" spans="1:24" ht="12.75">
      <c r="A485" s="1" t="str">
        <f>HYPERLINK("http://www.ofsted.gov.uk/inspection-reports/find-inspection-report/provider/ELS/55378","Ofsted FES Webpage")</f>
        <v>Ofsted FES Webpage</v>
      </c>
      <c r="B485" t="s">
        <v>675</v>
      </c>
      <c r="C485">
        <v>55378</v>
      </c>
      <c r="D485">
        <v>106841</v>
      </c>
      <c r="E485" t="s">
        <v>529</v>
      </c>
      <c r="F485" t="s">
        <v>68</v>
      </c>
      <c r="G485" t="s">
        <v>40</v>
      </c>
      <c r="H485" s="2">
        <v>41289</v>
      </c>
      <c r="I485" s="2">
        <v>41292</v>
      </c>
      <c r="J485" t="s">
        <v>32</v>
      </c>
      <c r="K485" s="2">
        <v>41317.13553070602</v>
      </c>
      <c r="L485" t="s">
        <v>45</v>
      </c>
      <c r="M485">
        <v>408468</v>
      </c>
      <c r="N485">
        <v>2</v>
      </c>
      <c r="O485">
        <v>2</v>
      </c>
      <c r="P485">
        <v>3</v>
      </c>
      <c r="Q485">
        <v>3</v>
      </c>
      <c r="R485">
        <v>3799</v>
      </c>
      <c r="S485" t="s">
        <v>3685</v>
      </c>
      <c r="W485" t="s">
        <v>529</v>
      </c>
      <c r="X485" t="s">
        <v>1841</v>
      </c>
    </row>
    <row r="486" spans="1:24" ht="12.75">
      <c r="A486" s="1" t="str">
        <f>HYPERLINK("http://www.ofsted.gov.uk/inspection-reports/find-inspection-report/provider/ELS/55402","Ofsted FES Webpage")</f>
        <v>Ofsted FES Webpage</v>
      </c>
      <c r="B486" t="s">
        <v>676</v>
      </c>
      <c r="C486">
        <v>55402</v>
      </c>
      <c r="D486">
        <v>116058</v>
      </c>
      <c r="E486" t="s">
        <v>632</v>
      </c>
      <c r="F486" t="s">
        <v>68</v>
      </c>
      <c r="G486" t="s">
        <v>40</v>
      </c>
      <c r="H486" s="2">
        <v>40203</v>
      </c>
      <c r="I486" s="2">
        <v>40207</v>
      </c>
      <c r="J486" t="s">
        <v>18</v>
      </c>
      <c r="K486" s="2">
        <v>40242.13552700231</v>
      </c>
      <c r="L486" t="s">
        <v>45</v>
      </c>
      <c r="M486">
        <v>343858</v>
      </c>
      <c r="N486">
        <v>2</v>
      </c>
      <c r="O486">
        <v>2</v>
      </c>
      <c r="P486">
        <v>2</v>
      </c>
      <c r="Q486">
        <v>2</v>
      </c>
      <c r="R486">
        <v>2458</v>
      </c>
      <c r="S486" t="s">
        <v>3686</v>
      </c>
      <c r="T486" t="s">
        <v>3687</v>
      </c>
      <c r="U486" t="s">
        <v>2585</v>
      </c>
      <c r="V486" t="s">
        <v>2481</v>
      </c>
      <c r="X486" t="s">
        <v>1842</v>
      </c>
    </row>
    <row r="487" spans="1:24" ht="12.75">
      <c r="A487" s="1" t="str">
        <f>HYPERLINK("http://www.ofsted.gov.uk/inspection-reports/find-inspection-report/provider/ELS/55413","Ofsted FES Webpage")</f>
        <v>Ofsted FES Webpage</v>
      </c>
      <c r="B487" t="s">
        <v>677</v>
      </c>
      <c r="C487">
        <v>55413</v>
      </c>
      <c r="D487">
        <v>108152</v>
      </c>
      <c r="E487" t="s">
        <v>228</v>
      </c>
      <c r="F487" t="s">
        <v>49</v>
      </c>
      <c r="G487" t="s">
        <v>40</v>
      </c>
      <c r="H487" s="2">
        <v>39832</v>
      </c>
      <c r="I487" s="2">
        <v>39836</v>
      </c>
      <c r="J487" t="s">
        <v>44</v>
      </c>
      <c r="K487" s="2">
        <v>39871.135597534725</v>
      </c>
      <c r="L487" t="s">
        <v>45</v>
      </c>
      <c r="M487">
        <v>331468</v>
      </c>
      <c r="N487">
        <v>2</v>
      </c>
      <c r="O487">
        <v>2</v>
      </c>
      <c r="P487">
        <v>3</v>
      </c>
      <c r="Q487">
        <v>3</v>
      </c>
      <c r="R487">
        <v>3860</v>
      </c>
      <c r="V487" t="s">
        <v>3643</v>
      </c>
      <c r="W487" t="s">
        <v>228</v>
      </c>
      <c r="X487" t="s">
        <v>1843</v>
      </c>
    </row>
    <row r="488" spans="1:24" ht="12.75">
      <c r="A488" s="1" t="str">
        <f>HYPERLINK("http://www.ofsted.gov.uk/inspection-reports/find-inspection-report/provider/ELS/55416","Ofsted FES Webpage")</f>
        <v>Ofsted FES Webpage</v>
      </c>
      <c r="B488" t="s">
        <v>678</v>
      </c>
      <c r="C488">
        <v>55416</v>
      </c>
      <c r="D488">
        <v>107963</v>
      </c>
      <c r="E488" t="s">
        <v>67</v>
      </c>
      <c r="F488" t="s">
        <v>68</v>
      </c>
      <c r="G488" t="s">
        <v>40</v>
      </c>
      <c r="H488" s="2">
        <v>41604</v>
      </c>
      <c r="I488" s="2">
        <v>41607</v>
      </c>
      <c r="J488" t="s">
        <v>27</v>
      </c>
      <c r="K488" s="2">
        <v>41626.13548278935</v>
      </c>
      <c r="L488" t="s">
        <v>45</v>
      </c>
      <c r="M488">
        <v>423426</v>
      </c>
      <c r="N488">
        <v>2</v>
      </c>
      <c r="O488">
        <v>1</v>
      </c>
      <c r="P488">
        <v>2</v>
      </c>
      <c r="Q488">
        <v>2</v>
      </c>
      <c r="R488">
        <v>519</v>
      </c>
      <c r="T488" t="s">
        <v>3688</v>
      </c>
      <c r="U488" t="s">
        <v>3689</v>
      </c>
      <c r="W488" t="s">
        <v>67</v>
      </c>
      <c r="X488" t="s">
        <v>1844</v>
      </c>
    </row>
    <row r="489" spans="1:24" ht="12.75">
      <c r="A489" s="1" t="str">
        <f>HYPERLINK("http://www.ofsted.gov.uk/inspection-reports/find-inspection-report/provider/ELS/55422","Ofsted FES Webpage")</f>
        <v>Ofsted FES Webpage</v>
      </c>
      <c r="B489" t="s">
        <v>679</v>
      </c>
      <c r="C489">
        <v>55422</v>
      </c>
      <c r="D489">
        <v>114823</v>
      </c>
      <c r="E489" t="s">
        <v>93</v>
      </c>
      <c r="F489" t="s">
        <v>49</v>
      </c>
      <c r="G489" t="s">
        <v>40</v>
      </c>
      <c r="H489" s="2">
        <v>40861</v>
      </c>
      <c r="I489" s="2">
        <v>40865</v>
      </c>
      <c r="J489" t="s">
        <v>23</v>
      </c>
      <c r="K489" s="2">
        <v>40900.13545177083</v>
      </c>
      <c r="L489" t="s">
        <v>45</v>
      </c>
      <c r="M489">
        <v>375496</v>
      </c>
      <c r="N489">
        <v>2</v>
      </c>
      <c r="O489">
        <v>2</v>
      </c>
      <c r="P489">
        <v>2</v>
      </c>
      <c r="Q489">
        <v>2</v>
      </c>
      <c r="R489">
        <v>2911</v>
      </c>
      <c r="S489" t="s">
        <v>3690</v>
      </c>
      <c r="T489" t="s">
        <v>3691</v>
      </c>
      <c r="U489" t="s">
        <v>2425</v>
      </c>
      <c r="V489" t="s">
        <v>3692</v>
      </c>
      <c r="W489" t="s">
        <v>2520</v>
      </c>
      <c r="X489" t="s">
        <v>1845</v>
      </c>
    </row>
    <row r="490" spans="1:24" ht="12.75">
      <c r="A490" s="1" t="str">
        <f>HYPERLINK("http://www.ofsted.gov.uk/inspection-reports/find-inspection-report/provider/ELS/55448","Ofsted FES Webpage")</f>
        <v>Ofsted FES Webpage</v>
      </c>
      <c r="B490" t="s">
        <v>680</v>
      </c>
      <c r="C490">
        <v>55448</v>
      </c>
      <c r="D490">
        <v>106089</v>
      </c>
      <c r="E490" t="s">
        <v>365</v>
      </c>
      <c r="F490" t="s">
        <v>39</v>
      </c>
      <c r="G490" t="s">
        <v>17</v>
      </c>
      <c r="H490" s="2">
        <v>41309</v>
      </c>
      <c r="I490" s="2">
        <v>41313</v>
      </c>
      <c r="J490" t="s">
        <v>32</v>
      </c>
      <c r="K490" s="2">
        <v>41348.13575269676</v>
      </c>
      <c r="L490" t="s">
        <v>29</v>
      </c>
      <c r="M490">
        <v>408547</v>
      </c>
      <c r="N490">
        <v>2</v>
      </c>
      <c r="O490">
        <v>2</v>
      </c>
      <c r="P490">
        <v>3</v>
      </c>
      <c r="Q490">
        <v>2</v>
      </c>
      <c r="R490">
        <v>2128</v>
      </c>
      <c r="S490" t="s">
        <v>3695</v>
      </c>
      <c r="T490" t="s">
        <v>2483</v>
      </c>
      <c r="U490" t="s">
        <v>3696</v>
      </c>
      <c r="V490" t="s">
        <v>3697</v>
      </c>
      <c r="X490" t="s">
        <v>1847</v>
      </c>
    </row>
    <row r="491" spans="1:24" ht="12.75">
      <c r="A491" s="1" t="str">
        <f>HYPERLINK("http://www.ofsted.gov.uk/inspection-reports/find-inspection-report/provider/ELS/55451","Ofsted FES Webpage")</f>
        <v>Ofsted FES Webpage</v>
      </c>
      <c r="B491" t="s">
        <v>681</v>
      </c>
      <c r="C491">
        <v>55451</v>
      </c>
      <c r="D491">
        <v>117518</v>
      </c>
      <c r="E491" t="s">
        <v>131</v>
      </c>
      <c r="F491" t="s">
        <v>63</v>
      </c>
      <c r="G491" t="s">
        <v>17</v>
      </c>
      <c r="H491" s="2">
        <v>41618</v>
      </c>
      <c r="I491" s="2">
        <v>41621</v>
      </c>
      <c r="J491" t="s">
        <v>27</v>
      </c>
      <c r="K491" s="2">
        <v>41661.13567630787</v>
      </c>
      <c r="L491" t="s">
        <v>29</v>
      </c>
      <c r="M491">
        <v>429014</v>
      </c>
      <c r="N491">
        <v>2</v>
      </c>
      <c r="O491">
        <v>2</v>
      </c>
      <c r="P491">
        <v>2</v>
      </c>
      <c r="Q491">
        <v>3</v>
      </c>
      <c r="R491">
        <v>821</v>
      </c>
      <c r="T491" t="s">
        <v>3698</v>
      </c>
      <c r="W491" t="s">
        <v>3039</v>
      </c>
      <c r="X491" t="s">
        <v>1848</v>
      </c>
    </row>
    <row r="492" spans="1:24" ht="12.75">
      <c r="A492" s="1" t="str">
        <f>HYPERLINK("http://www.ofsted.gov.uk/inspection-reports/find-inspection-report/provider/ELS/55459","Ofsted FES Webpage")</f>
        <v>Ofsted FES Webpage</v>
      </c>
      <c r="B492" t="s">
        <v>682</v>
      </c>
      <c r="C492">
        <v>55459</v>
      </c>
      <c r="D492">
        <v>115776</v>
      </c>
      <c r="E492" t="s">
        <v>95</v>
      </c>
      <c r="F492" t="s">
        <v>39</v>
      </c>
      <c r="G492" t="s">
        <v>17</v>
      </c>
      <c r="H492" s="2">
        <v>41428</v>
      </c>
      <c r="I492" s="2">
        <v>41432</v>
      </c>
      <c r="J492" t="s">
        <v>32</v>
      </c>
      <c r="K492" s="2">
        <v>41467.13592152778</v>
      </c>
      <c r="L492" t="s">
        <v>28</v>
      </c>
      <c r="M492">
        <v>423508</v>
      </c>
      <c r="N492">
        <v>3</v>
      </c>
      <c r="O492">
        <v>3</v>
      </c>
      <c r="P492">
        <v>4</v>
      </c>
      <c r="Q492">
        <v>4</v>
      </c>
      <c r="R492">
        <v>750</v>
      </c>
      <c r="S492" t="s">
        <v>3699</v>
      </c>
      <c r="T492" t="s">
        <v>3700</v>
      </c>
      <c r="W492" t="s">
        <v>2953</v>
      </c>
      <c r="X492" t="s">
        <v>1849</v>
      </c>
    </row>
    <row r="493" spans="1:24" ht="12.75">
      <c r="A493" s="1" t="str">
        <f>HYPERLINK("http://www.ofsted.gov.uk/inspection-reports/find-inspection-report/provider/ELS/55461","Ofsted FES Webpage")</f>
        <v>Ofsted FES Webpage</v>
      </c>
      <c r="B493" t="s">
        <v>683</v>
      </c>
      <c r="C493">
        <v>55461</v>
      </c>
      <c r="D493">
        <v>105851</v>
      </c>
      <c r="E493" t="s">
        <v>529</v>
      </c>
      <c r="F493" t="s">
        <v>68</v>
      </c>
      <c r="G493" t="s">
        <v>17</v>
      </c>
      <c r="H493" s="2">
        <v>39413</v>
      </c>
      <c r="I493" s="2">
        <v>39416</v>
      </c>
      <c r="J493" t="s">
        <v>154</v>
      </c>
      <c r="K493" s="2">
        <v>39469.13554459491</v>
      </c>
      <c r="L493" t="s">
        <v>19</v>
      </c>
      <c r="M493">
        <v>316798</v>
      </c>
      <c r="N493">
        <v>2</v>
      </c>
      <c r="O493">
        <v>2</v>
      </c>
      <c r="P493" t="s">
        <v>20</v>
      </c>
      <c r="Q493" t="s">
        <v>20</v>
      </c>
      <c r="R493">
        <v>9</v>
      </c>
      <c r="T493" t="s">
        <v>3701</v>
      </c>
      <c r="U493" t="s">
        <v>3702</v>
      </c>
      <c r="W493" t="s">
        <v>529</v>
      </c>
      <c r="X493" t="s">
        <v>1850</v>
      </c>
    </row>
    <row r="494" spans="1:24" ht="12.75">
      <c r="A494" s="1" t="str">
        <f>HYPERLINK("http://www.ofsted.gov.uk/inspection-reports/find-inspection-report/provider/ELS/55466","Ofsted FES Webpage")</f>
        <v>Ofsted FES Webpage</v>
      </c>
      <c r="B494" t="s">
        <v>684</v>
      </c>
      <c r="C494">
        <v>55466</v>
      </c>
      <c r="D494">
        <v>105958</v>
      </c>
      <c r="E494" t="s">
        <v>120</v>
      </c>
      <c r="F494" t="s">
        <v>26</v>
      </c>
      <c r="G494" t="s">
        <v>17</v>
      </c>
      <c r="H494" s="2">
        <v>41351</v>
      </c>
      <c r="I494" s="2">
        <v>41355</v>
      </c>
      <c r="J494" t="s">
        <v>32</v>
      </c>
      <c r="K494" s="2">
        <v>41390.13556663194</v>
      </c>
      <c r="L494" t="s">
        <v>29</v>
      </c>
      <c r="M494">
        <v>408548</v>
      </c>
      <c r="N494">
        <v>2</v>
      </c>
      <c r="O494">
        <v>2</v>
      </c>
      <c r="P494">
        <v>3</v>
      </c>
      <c r="Q494">
        <v>3</v>
      </c>
      <c r="R494">
        <v>2503</v>
      </c>
      <c r="T494" t="s">
        <v>3703</v>
      </c>
      <c r="W494" t="s">
        <v>3493</v>
      </c>
      <c r="X494" t="s">
        <v>1851</v>
      </c>
    </row>
    <row r="495" spans="1:24" ht="12.75">
      <c r="A495" s="1" t="str">
        <f>HYPERLINK("http://www.ofsted.gov.uk/inspection-reports/find-inspection-report/provider/ELS/55476","Ofsted FES Webpage")</f>
        <v>Ofsted FES Webpage</v>
      </c>
      <c r="B495" t="s">
        <v>685</v>
      </c>
      <c r="C495">
        <v>55476</v>
      </c>
      <c r="D495">
        <v>107576</v>
      </c>
      <c r="E495" t="s">
        <v>686</v>
      </c>
      <c r="F495" t="s">
        <v>26</v>
      </c>
      <c r="G495" t="s">
        <v>40</v>
      </c>
      <c r="H495" s="2">
        <v>40700</v>
      </c>
      <c r="I495" s="2">
        <v>40704</v>
      </c>
      <c r="J495" t="s">
        <v>56</v>
      </c>
      <c r="K495" s="2">
        <v>40739.135508252315</v>
      </c>
      <c r="L495" t="s">
        <v>45</v>
      </c>
      <c r="M495">
        <v>365876</v>
      </c>
      <c r="N495">
        <v>2</v>
      </c>
      <c r="O495">
        <v>2</v>
      </c>
      <c r="P495">
        <v>2</v>
      </c>
      <c r="Q495">
        <v>2</v>
      </c>
      <c r="R495">
        <v>3526</v>
      </c>
      <c r="S495" t="s">
        <v>3704</v>
      </c>
      <c r="T495" t="s">
        <v>3705</v>
      </c>
      <c r="U495" t="s">
        <v>686</v>
      </c>
      <c r="X495" t="s">
        <v>1852</v>
      </c>
    </row>
    <row r="496" spans="1:24" ht="12.75">
      <c r="A496" s="1" t="str">
        <f>HYPERLINK("http://www.ofsted.gov.uk/inspection-reports/find-inspection-report/provider/ELS/55491","Ofsted FES Webpage")</f>
        <v>Ofsted FES Webpage</v>
      </c>
      <c r="B496" t="s">
        <v>687</v>
      </c>
      <c r="C496">
        <v>55491</v>
      </c>
      <c r="D496">
        <v>105985</v>
      </c>
      <c r="E496" t="s">
        <v>146</v>
      </c>
      <c r="F496" t="s">
        <v>26</v>
      </c>
      <c r="G496" t="s">
        <v>17</v>
      </c>
      <c r="H496" s="2">
        <v>40399</v>
      </c>
      <c r="I496" s="2">
        <v>40403</v>
      </c>
      <c r="J496" t="s">
        <v>18</v>
      </c>
      <c r="K496" s="2">
        <v>40439.135567592595</v>
      </c>
      <c r="L496" t="s">
        <v>19</v>
      </c>
      <c r="M496">
        <v>345911</v>
      </c>
      <c r="N496">
        <v>2</v>
      </c>
      <c r="O496">
        <v>2</v>
      </c>
      <c r="P496">
        <v>3</v>
      </c>
      <c r="Q496">
        <v>2</v>
      </c>
      <c r="R496">
        <v>5754</v>
      </c>
      <c r="S496" t="s">
        <v>3706</v>
      </c>
      <c r="T496" t="s">
        <v>3707</v>
      </c>
      <c r="U496" t="s">
        <v>3708</v>
      </c>
      <c r="V496" t="s">
        <v>2598</v>
      </c>
      <c r="W496" t="s">
        <v>146</v>
      </c>
      <c r="X496" t="s">
        <v>1853</v>
      </c>
    </row>
    <row r="497" spans="1:24" ht="12.75">
      <c r="A497" s="1" t="str">
        <f>HYPERLINK("http://www.ofsted.gov.uk/inspection-reports/find-inspection-report/provider/ELS/55614","Ofsted FES Webpage")</f>
        <v>Ofsted FES Webpage</v>
      </c>
      <c r="B497" t="s">
        <v>688</v>
      </c>
      <c r="C497">
        <v>55614</v>
      </c>
      <c r="D497">
        <v>117200</v>
      </c>
      <c r="E497" t="s">
        <v>350</v>
      </c>
      <c r="F497" t="s">
        <v>43</v>
      </c>
      <c r="G497" t="s">
        <v>160</v>
      </c>
      <c r="H497" s="2">
        <v>41085</v>
      </c>
      <c r="I497" s="2">
        <v>41088</v>
      </c>
      <c r="J497" t="s">
        <v>23</v>
      </c>
      <c r="K497" s="2">
        <v>41123.135449305555</v>
      </c>
      <c r="L497" t="s">
        <v>29</v>
      </c>
      <c r="M497">
        <v>366024</v>
      </c>
      <c r="N497">
        <v>2</v>
      </c>
      <c r="O497">
        <v>2</v>
      </c>
      <c r="P497">
        <v>3</v>
      </c>
      <c r="Q497">
        <v>3</v>
      </c>
      <c r="R497">
        <v>1134</v>
      </c>
      <c r="S497" t="s">
        <v>3709</v>
      </c>
      <c r="T497" t="s">
        <v>3710</v>
      </c>
      <c r="U497" t="s">
        <v>3711</v>
      </c>
      <c r="V497" t="s">
        <v>2364</v>
      </c>
      <c r="X497" t="s">
        <v>1854</v>
      </c>
    </row>
    <row r="498" spans="1:24" ht="12.75">
      <c r="A498" s="1" t="str">
        <f>HYPERLINK("http://www.ofsted.gov.uk/inspection-reports/find-inspection-report/provider/ELS/55704","Ofsted FES Webpage")</f>
        <v>Ofsted FES Webpage</v>
      </c>
      <c r="B498" t="s">
        <v>689</v>
      </c>
      <c r="C498">
        <v>55704</v>
      </c>
      <c r="D498">
        <v>116515</v>
      </c>
      <c r="E498" t="s">
        <v>25</v>
      </c>
      <c r="F498" t="s">
        <v>26</v>
      </c>
      <c r="G498" t="s">
        <v>17</v>
      </c>
      <c r="H498" s="8">
        <v>41856</v>
      </c>
      <c r="I498" s="9">
        <v>41859</v>
      </c>
      <c r="J498" s="8" t="s">
        <v>27</v>
      </c>
      <c r="K498" s="9">
        <v>41895.135462881946</v>
      </c>
      <c r="L498" s="10" t="s">
        <v>29</v>
      </c>
      <c r="M498" s="10">
        <v>434056</v>
      </c>
      <c r="N498">
        <v>2</v>
      </c>
      <c r="O498">
        <v>2</v>
      </c>
      <c r="P498">
        <v>3</v>
      </c>
      <c r="Q498">
        <v>3</v>
      </c>
      <c r="R498">
        <v>558</v>
      </c>
      <c r="S498" t="s">
        <v>3712</v>
      </c>
      <c r="T498" t="s">
        <v>3713</v>
      </c>
      <c r="U498" t="s">
        <v>25</v>
      </c>
      <c r="X498" t="s">
        <v>1856</v>
      </c>
    </row>
    <row r="499" spans="1:24" ht="12.75">
      <c r="A499" s="1" t="str">
        <f>HYPERLINK("http://www.ofsted.gov.uk/inspection-reports/find-inspection-report/provider/ELS/56201","Ofsted FES Webpage")</f>
        <v>Ofsted FES Webpage</v>
      </c>
      <c r="B499" t="s">
        <v>690</v>
      </c>
      <c r="C499">
        <v>56201</v>
      </c>
      <c r="D499">
        <v>122889</v>
      </c>
      <c r="E499" t="s">
        <v>116</v>
      </c>
      <c r="F499" t="s">
        <v>49</v>
      </c>
      <c r="G499" t="s">
        <v>17</v>
      </c>
      <c r="H499" s="2">
        <v>40567</v>
      </c>
      <c r="I499" s="2">
        <v>40571</v>
      </c>
      <c r="J499" t="s">
        <v>56</v>
      </c>
      <c r="K499" s="2">
        <v>40606.135452546296</v>
      </c>
      <c r="L499" t="s">
        <v>19</v>
      </c>
      <c r="M499">
        <v>363194</v>
      </c>
      <c r="N499">
        <v>1</v>
      </c>
      <c r="O499">
        <v>1</v>
      </c>
      <c r="P499">
        <v>2</v>
      </c>
      <c r="Q499">
        <v>1</v>
      </c>
      <c r="R499">
        <v>912</v>
      </c>
      <c r="S499" t="s">
        <v>2802</v>
      </c>
      <c r="T499" t="s">
        <v>3025</v>
      </c>
      <c r="U499" t="s">
        <v>3026</v>
      </c>
      <c r="V499" t="s">
        <v>2480</v>
      </c>
      <c r="X499" t="s">
        <v>1531</v>
      </c>
    </row>
    <row r="500" spans="1:24" ht="12.75">
      <c r="A500" s="1" t="str">
        <f>HYPERLINK("http://www.ofsted.gov.uk/inspection-reports/find-inspection-report/provider/ELS/56776","Ofsted FES Webpage")</f>
        <v>Ofsted FES Webpage</v>
      </c>
      <c r="B500" t="s">
        <v>691</v>
      </c>
      <c r="C500">
        <v>56776</v>
      </c>
      <c r="D500">
        <v>118071</v>
      </c>
      <c r="E500" t="s">
        <v>106</v>
      </c>
      <c r="F500" t="s">
        <v>49</v>
      </c>
      <c r="G500" t="s">
        <v>17</v>
      </c>
      <c r="H500" s="2">
        <v>41394</v>
      </c>
      <c r="I500" s="2">
        <v>41397</v>
      </c>
      <c r="J500" t="s">
        <v>32</v>
      </c>
      <c r="K500" s="2">
        <v>41436.135492939815</v>
      </c>
      <c r="L500" t="s">
        <v>36</v>
      </c>
      <c r="M500">
        <v>408486</v>
      </c>
      <c r="N500">
        <v>2</v>
      </c>
      <c r="O500">
        <v>2</v>
      </c>
      <c r="P500">
        <v>3</v>
      </c>
      <c r="Q500">
        <v>3</v>
      </c>
      <c r="R500">
        <v>204</v>
      </c>
      <c r="S500" t="s">
        <v>3723</v>
      </c>
      <c r="T500" t="s">
        <v>3724</v>
      </c>
      <c r="W500" t="s">
        <v>106</v>
      </c>
      <c r="X500" t="s">
        <v>1863</v>
      </c>
    </row>
    <row r="501" spans="1:24" ht="12.75">
      <c r="A501" s="1" t="str">
        <f>HYPERLINK("http://www.ofsted.gov.uk/inspection-reports/find-inspection-report/provider/ELS/56817","Ofsted FES Webpage")</f>
        <v>Ofsted FES Webpage</v>
      </c>
      <c r="B501" t="s">
        <v>692</v>
      </c>
      <c r="C501">
        <v>56817</v>
      </c>
      <c r="D501">
        <v>119809</v>
      </c>
      <c r="E501" t="s">
        <v>114</v>
      </c>
      <c r="F501" t="s">
        <v>26</v>
      </c>
      <c r="G501" t="s">
        <v>17</v>
      </c>
      <c r="H501" s="2">
        <v>41464</v>
      </c>
      <c r="I501" s="2">
        <v>41467</v>
      </c>
      <c r="J501" t="s">
        <v>32</v>
      </c>
      <c r="K501" s="2">
        <v>41502.13546832176</v>
      </c>
      <c r="L501" t="s">
        <v>36</v>
      </c>
      <c r="M501">
        <v>410696</v>
      </c>
      <c r="N501">
        <v>3</v>
      </c>
      <c r="O501">
        <v>3</v>
      </c>
      <c r="P501" t="s">
        <v>20</v>
      </c>
      <c r="Q501" t="s">
        <v>20</v>
      </c>
      <c r="R501">
        <v>461</v>
      </c>
      <c r="S501" t="s">
        <v>3725</v>
      </c>
      <c r="T501" t="s">
        <v>3726</v>
      </c>
      <c r="U501" t="s">
        <v>3727</v>
      </c>
      <c r="W501" t="s">
        <v>114</v>
      </c>
      <c r="X501" t="s">
        <v>1864</v>
      </c>
    </row>
    <row r="502" spans="1:24" ht="12.75">
      <c r="A502" s="1" t="str">
        <f>HYPERLINK("http://www.ofsted.gov.uk/inspection-reports/find-inspection-report/provider/ELS/57165","Ofsted FES Webpage")</f>
        <v>Ofsted FES Webpage</v>
      </c>
      <c r="B502" t="s">
        <v>693</v>
      </c>
      <c r="C502">
        <v>57165</v>
      </c>
      <c r="D502">
        <v>105969</v>
      </c>
      <c r="E502" t="s">
        <v>89</v>
      </c>
      <c r="F502" t="s">
        <v>16</v>
      </c>
      <c r="G502" t="s">
        <v>17</v>
      </c>
      <c r="H502" s="2">
        <v>40463</v>
      </c>
      <c r="I502" s="2">
        <v>40466</v>
      </c>
      <c r="J502" t="s">
        <v>56</v>
      </c>
      <c r="K502" s="2">
        <v>40501.13544748843</v>
      </c>
      <c r="L502" t="s">
        <v>19</v>
      </c>
      <c r="M502">
        <v>364606</v>
      </c>
      <c r="N502">
        <v>2</v>
      </c>
      <c r="O502">
        <v>2</v>
      </c>
      <c r="P502" t="s">
        <v>20</v>
      </c>
      <c r="Q502" t="s">
        <v>20</v>
      </c>
      <c r="R502">
        <v>321</v>
      </c>
      <c r="S502">
        <v>41703</v>
      </c>
      <c r="T502" t="s">
        <v>3730</v>
      </c>
      <c r="W502" t="s">
        <v>2511</v>
      </c>
      <c r="X502" t="s">
        <v>1866</v>
      </c>
    </row>
    <row r="503" spans="1:24" ht="12.75">
      <c r="A503" s="1" t="str">
        <f>HYPERLINK("http://www.ofsted.gov.uk/inspection-reports/find-inspection-report/provider/ELS/57598","Ofsted FES Webpage")</f>
        <v>Ofsted FES Webpage</v>
      </c>
      <c r="B503" t="s">
        <v>694</v>
      </c>
      <c r="C503">
        <v>57598</v>
      </c>
      <c r="D503">
        <v>105852</v>
      </c>
      <c r="E503" t="s">
        <v>126</v>
      </c>
      <c r="F503" t="s">
        <v>68</v>
      </c>
      <c r="G503" t="s">
        <v>40</v>
      </c>
      <c r="H503" s="2">
        <v>40322</v>
      </c>
      <c r="I503" s="2">
        <v>40326</v>
      </c>
      <c r="J503" t="s">
        <v>18</v>
      </c>
      <c r="K503" s="2">
        <v>40362.135535416666</v>
      </c>
      <c r="L503" t="s">
        <v>19</v>
      </c>
      <c r="M503">
        <v>345914</v>
      </c>
      <c r="N503">
        <v>2</v>
      </c>
      <c r="O503">
        <v>2</v>
      </c>
      <c r="P503">
        <v>3</v>
      </c>
      <c r="Q503">
        <v>3</v>
      </c>
      <c r="R503">
        <v>5090</v>
      </c>
      <c r="S503" t="s">
        <v>3739</v>
      </c>
      <c r="T503" t="s">
        <v>3740</v>
      </c>
      <c r="U503" t="s">
        <v>3741</v>
      </c>
      <c r="V503" t="s">
        <v>126</v>
      </c>
      <c r="X503" t="s">
        <v>1870</v>
      </c>
    </row>
    <row r="504" spans="1:24" ht="12.75">
      <c r="A504" s="1" t="str">
        <f>HYPERLINK("http://www.ofsted.gov.uk/inspection-reports/find-inspection-report/provider/ELS/57680","Ofsted FES Webpage")</f>
        <v>Ofsted FES Webpage</v>
      </c>
      <c r="B504" t="s">
        <v>695</v>
      </c>
      <c r="C504">
        <v>57680</v>
      </c>
      <c r="D504">
        <v>116239</v>
      </c>
      <c r="E504" t="s">
        <v>93</v>
      </c>
      <c r="F504" t="s">
        <v>49</v>
      </c>
      <c r="G504" t="s">
        <v>17</v>
      </c>
      <c r="H504" s="2">
        <v>41477</v>
      </c>
      <c r="I504" s="2">
        <v>41481</v>
      </c>
      <c r="J504" t="s">
        <v>32</v>
      </c>
      <c r="K504" s="2">
        <v>41519.135511342596</v>
      </c>
      <c r="L504" t="s">
        <v>29</v>
      </c>
      <c r="M504">
        <v>410641</v>
      </c>
      <c r="N504">
        <v>3</v>
      </c>
      <c r="O504">
        <v>3</v>
      </c>
      <c r="P504">
        <v>3</v>
      </c>
      <c r="Q504">
        <v>3</v>
      </c>
      <c r="R504">
        <v>1341</v>
      </c>
      <c r="S504" t="s">
        <v>3745</v>
      </c>
      <c r="T504" t="s">
        <v>3746</v>
      </c>
      <c r="U504" t="s">
        <v>3747</v>
      </c>
      <c r="V504" t="s">
        <v>3619</v>
      </c>
      <c r="X504" t="s">
        <v>1877</v>
      </c>
    </row>
    <row r="505" spans="1:24" ht="12.75">
      <c r="A505" s="1" t="str">
        <f>HYPERLINK("http://www.ofsted.gov.uk/inspection-reports/find-inspection-report/provider/ELS/57752","Ofsted FES Webpage")</f>
        <v>Ofsted FES Webpage</v>
      </c>
      <c r="B505" t="s">
        <v>696</v>
      </c>
      <c r="C505">
        <v>57752</v>
      </c>
      <c r="D505">
        <v>118860</v>
      </c>
      <c r="E505" t="s">
        <v>15</v>
      </c>
      <c r="F505" t="s">
        <v>16</v>
      </c>
      <c r="G505" t="s">
        <v>160</v>
      </c>
      <c r="H505" s="2">
        <v>41043</v>
      </c>
      <c r="I505" s="2">
        <v>41047</v>
      </c>
      <c r="J505" t="s">
        <v>23</v>
      </c>
      <c r="K505" s="2">
        <v>41086.135647372685</v>
      </c>
      <c r="L505" t="s">
        <v>29</v>
      </c>
      <c r="M505">
        <v>387963</v>
      </c>
      <c r="N505">
        <v>1</v>
      </c>
      <c r="O505">
        <v>1</v>
      </c>
      <c r="P505" t="s">
        <v>20</v>
      </c>
      <c r="Q505" t="s">
        <v>20</v>
      </c>
      <c r="R505">
        <v>5923</v>
      </c>
      <c r="S505" t="s">
        <v>3748</v>
      </c>
      <c r="T505" t="s">
        <v>3749</v>
      </c>
      <c r="U505" t="s">
        <v>2713</v>
      </c>
      <c r="V505" t="s">
        <v>15</v>
      </c>
      <c r="X505" t="s">
        <v>1878</v>
      </c>
    </row>
    <row r="506" spans="1:24" ht="12.75">
      <c r="A506" s="1" t="str">
        <f>HYPERLINK("http://www.ofsted.gov.uk/inspection-reports/find-inspection-report/provider/ELS/57839","Ofsted FES Webpage")</f>
        <v>Ofsted FES Webpage</v>
      </c>
      <c r="B506" t="s">
        <v>697</v>
      </c>
      <c r="C506">
        <v>57839</v>
      </c>
      <c r="D506">
        <v>117623</v>
      </c>
      <c r="E506" t="s">
        <v>185</v>
      </c>
      <c r="F506" t="s">
        <v>35</v>
      </c>
      <c r="G506" t="s">
        <v>17</v>
      </c>
      <c r="H506" s="2">
        <v>40155</v>
      </c>
      <c r="I506" s="2">
        <v>40158</v>
      </c>
      <c r="J506" t="s">
        <v>18</v>
      </c>
      <c r="K506" s="2">
        <v>40207.13553240741</v>
      </c>
      <c r="L506" t="s">
        <v>45</v>
      </c>
      <c r="M506">
        <v>342929</v>
      </c>
      <c r="N506">
        <v>2</v>
      </c>
      <c r="O506">
        <v>3</v>
      </c>
      <c r="P506" t="s">
        <v>20</v>
      </c>
      <c r="Q506" t="s">
        <v>20</v>
      </c>
      <c r="R506">
        <v>555</v>
      </c>
      <c r="T506" t="s">
        <v>3756</v>
      </c>
      <c r="W506" t="s">
        <v>35</v>
      </c>
      <c r="X506" t="s">
        <v>1880</v>
      </c>
    </row>
    <row r="507" spans="1:24" ht="12.75">
      <c r="A507" s="1" t="str">
        <f>HYPERLINK("http://www.ofsted.gov.uk/inspection-reports/find-inspection-report/provider/ELS/57860","Ofsted FES Webpage")</f>
        <v>Ofsted FES Webpage</v>
      </c>
      <c r="B507" t="s">
        <v>698</v>
      </c>
      <c r="C507">
        <v>57860</v>
      </c>
      <c r="D507">
        <v>117920</v>
      </c>
      <c r="E507" t="s">
        <v>104</v>
      </c>
      <c r="F507" t="s">
        <v>43</v>
      </c>
      <c r="G507" t="s">
        <v>17</v>
      </c>
      <c r="H507" s="2">
        <v>40917</v>
      </c>
      <c r="I507" s="2">
        <v>40921</v>
      </c>
      <c r="J507" t="s">
        <v>23</v>
      </c>
      <c r="K507" s="2">
        <v>40948.13578240741</v>
      </c>
      <c r="L507" t="s">
        <v>29</v>
      </c>
      <c r="M507">
        <v>385767</v>
      </c>
      <c r="N507">
        <v>2</v>
      </c>
      <c r="O507">
        <v>2</v>
      </c>
      <c r="P507">
        <v>2</v>
      </c>
      <c r="Q507">
        <v>2</v>
      </c>
      <c r="R507">
        <v>20083</v>
      </c>
      <c r="S507" t="s">
        <v>3757</v>
      </c>
      <c r="T507" t="s">
        <v>3758</v>
      </c>
      <c r="X507" t="s">
        <v>1881</v>
      </c>
    </row>
    <row r="508" spans="1:24" ht="12.75">
      <c r="A508" s="1" t="str">
        <f>HYPERLINK("http://www.ofsted.gov.uk/inspection-reports/find-inspection-report/provider/ELS/57877","Ofsted FES Webpage")</f>
        <v>Ofsted FES Webpage</v>
      </c>
      <c r="B508" t="s">
        <v>699</v>
      </c>
      <c r="C508">
        <v>57877</v>
      </c>
      <c r="D508">
        <v>118188</v>
      </c>
      <c r="E508" t="s">
        <v>166</v>
      </c>
      <c r="F508" t="s">
        <v>26</v>
      </c>
      <c r="G508" t="s">
        <v>17</v>
      </c>
      <c r="H508" s="2">
        <v>39895</v>
      </c>
      <c r="I508" s="2">
        <v>39898</v>
      </c>
      <c r="J508" t="s">
        <v>44</v>
      </c>
      <c r="K508" s="2">
        <v>39931.1354715625</v>
      </c>
      <c r="L508" t="s">
        <v>141</v>
      </c>
      <c r="M508">
        <v>330918</v>
      </c>
      <c r="N508">
        <v>3</v>
      </c>
      <c r="O508">
        <v>2</v>
      </c>
      <c r="P508" t="s">
        <v>20</v>
      </c>
      <c r="Q508" t="s">
        <v>20</v>
      </c>
      <c r="R508">
        <v>215</v>
      </c>
      <c r="S508" t="s">
        <v>3759</v>
      </c>
      <c r="T508" t="s">
        <v>3760</v>
      </c>
      <c r="W508" t="s">
        <v>2648</v>
      </c>
      <c r="X508" t="s">
        <v>1882</v>
      </c>
    </row>
    <row r="509" spans="1:24" ht="12.75">
      <c r="A509" s="1" t="str">
        <f>HYPERLINK("http://www.ofsted.gov.uk/inspection-reports/find-inspection-report/provider/ELS/57881","Ofsted FES Webpage")</f>
        <v>Ofsted FES Webpage</v>
      </c>
      <c r="B509" t="s">
        <v>700</v>
      </c>
      <c r="C509">
        <v>57881</v>
      </c>
      <c r="D509">
        <v>117615</v>
      </c>
      <c r="E509" t="s">
        <v>114</v>
      </c>
      <c r="F509" t="s">
        <v>26</v>
      </c>
      <c r="G509" t="s">
        <v>17</v>
      </c>
      <c r="H509" s="2">
        <v>41722</v>
      </c>
      <c r="I509" s="2">
        <v>41726</v>
      </c>
      <c r="J509" t="s">
        <v>27</v>
      </c>
      <c r="K509" s="2">
        <v>41759.1355068287</v>
      </c>
      <c r="L509" t="s">
        <v>29</v>
      </c>
      <c r="M509">
        <v>429801</v>
      </c>
      <c r="N509">
        <v>2</v>
      </c>
      <c r="O509">
        <v>2</v>
      </c>
      <c r="P509">
        <v>2</v>
      </c>
      <c r="Q509">
        <v>3</v>
      </c>
      <c r="R509">
        <v>3639</v>
      </c>
      <c r="S509" t="s">
        <v>3761</v>
      </c>
      <c r="T509" t="s">
        <v>3531</v>
      </c>
      <c r="U509" t="s">
        <v>3478</v>
      </c>
      <c r="V509" t="s">
        <v>2632</v>
      </c>
      <c r="W509" t="s">
        <v>3048</v>
      </c>
      <c r="X509" t="s">
        <v>1883</v>
      </c>
    </row>
    <row r="510" spans="1:24" ht="12.75">
      <c r="A510" s="1" t="str">
        <f>HYPERLINK("http://www.ofsted.gov.uk/inspection-reports/find-inspection-report/provider/ELS/57951","Ofsted FES Webpage")</f>
        <v>Ofsted FES Webpage</v>
      </c>
      <c r="B510" t="s">
        <v>701</v>
      </c>
      <c r="C510">
        <v>57951</v>
      </c>
      <c r="D510">
        <v>117907</v>
      </c>
      <c r="E510" t="s">
        <v>95</v>
      </c>
      <c r="F510" t="s">
        <v>39</v>
      </c>
      <c r="G510" t="s">
        <v>160</v>
      </c>
      <c r="H510" s="2">
        <v>40953</v>
      </c>
      <c r="I510" s="2">
        <v>40956</v>
      </c>
      <c r="J510" t="s">
        <v>23</v>
      </c>
      <c r="K510" s="2">
        <v>40991.13571565972</v>
      </c>
      <c r="L510" t="s">
        <v>29</v>
      </c>
      <c r="M510">
        <v>393557</v>
      </c>
      <c r="N510">
        <v>2</v>
      </c>
      <c r="O510">
        <v>2</v>
      </c>
      <c r="P510">
        <v>2</v>
      </c>
      <c r="Q510">
        <v>2</v>
      </c>
      <c r="R510">
        <v>133</v>
      </c>
      <c r="S510" t="s">
        <v>3764</v>
      </c>
      <c r="T510" t="s">
        <v>3765</v>
      </c>
      <c r="U510" t="s">
        <v>3005</v>
      </c>
      <c r="X510" t="s">
        <v>1885</v>
      </c>
    </row>
    <row r="511" spans="1:24" ht="12.75">
      <c r="A511" s="1" t="str">
        <f>HYPERLINK("http://www.ofsted.gov.uk/inspection-reports/find-inspection-report/provider/ELS/58047","Ofsted FES Webpage")</f>
        <v>Ofsted FES Webpage</v>
      </c>
      <c r="B511" t="s">
        <v>702</v>
      </c>
      <c r="C511">
        <v>58047</v>
      </c>
      <c r="D511">
        <v>117935</v>
      </c>
      <c r="E511" t="s">
        <v>25</v>
      </c>
      <c r="F511" t="s">
        <v>26</v>
      </c>
      <c r="G511" t="s">
        <v>17</v>
      </c>
      <c r="H511" s="2">
        <v>41415</v>
      </c>
      <c r="I511" s="2">
        <v>41417</v>
      </c>
      <c r="J511" t="s">
        <v>32</v>
      </c>
      <c r="K511" s="2">
        <v>41452.13565462963</v>
      </c>
      <c r="L511" t="s">
        <v>36</v>
      </c>
      <c r="M511">
        <v>410131</v>
      </c>
      <c r="N511">
        <v>2</v>
      </c>
      <c r="O511">
        <v>2</v>
      </c>
      <c r="P511">
        <v>3</v>
      </c>
      <c r="Q511">
        <v>3</v>
      </c>
      <c r="R511">
        <v>68</v>
      </c>
      <c r="T511" t="s">
        <v>3769</v>
      </c>
      <c r="W511" t="s">
        <v>25</v>
      </c>
      <c r="X511" t="s">
        <v>1886</v>
      </c>
    </row>
    <row r="512" spans="1:24" ht="12.75">
      <c r="A512" s="1" t="str">
        <f>HYPERLINK("http://www.ofsted.gov.uk/inspection-reports/find-inspection-report/provider/ELS/58054","Ofsted FES Webpage")</f>
        <v>Ofsted FES Webpage</v>
      </c>
      <c r="B512" t="s">
        <v>703</v>
      </c>
      <c r="C512">
        <v>58054</v>
      </c>
      <c r="D512">
        <v>117077</v>
      </c>
      <c r="E512" t="s">
        <v>539</v>
      </c>
      <c r="F512" t="s">
        <v>43</v>
      </c>
      <c r="G512" t="s">
        <v>40</v>
      </c>
      <c r="H512" s="2">
        <v>41206</v>
      </c>
      <c r="I512" s="2">
        <v>41208</v>
      </c>
      <c r="J512" t="s">
        <v>32</v>
      </c>
      <c r="K512" s="2">
        <v>41243.135779780096</v>
      </c>
      <c r="L512" t="s">
        <v>36</v>
      </c>
      <c r="M512">
        <v>407163</v>
      </c>
      <c r="N512">
        <v>2</v>
      </c>
      <c r="O512">
        <v>2</v>
      </c>
      <c r="P512" t="s">
        <v>20</v>
      </c>
      <c r="Q512" t="s">
        <v>20</v>
      </c>
      <c r="R512">
        <v>18</v>
      </c>
      <c r="S512" t="s">
        <v>3770</v>
      </c>
      <c r="W512" t="s">
        <v>539</v>
      </c>
      <c r="X512" t="s">
        <v>1887</v>
      </c>
    </row>
    <row r="513" spans="1:24" ht="12.75">
      <c r="A513" s="1" t="str">
        <f>HYPERLINK("http://www.ofsted.gov.uk/inspection-reports/find-inspection-report/provider/ELS/58094","Ofsted FES Webpage")</f>
        <v>Ofsted FES Webpage</v>
      </c>
      <c r="B513" t="s">
        <v>704</v>
      </c>
      <c r="C513">
        <v>58094</v>
      </c>
      <c r="D513">
        <v>117914</v>
      </c>
      <c r="E513" t="s">
        <v>15</v>
      </c>
      <c r="F513" t="s">
        <v>16</v>
      </c>
      <c r="G513" t="s">
        <v>160</v>
      </c>
      <c r="H513" s="2">
        <v>40813</v>
      </c>
      <c r="I513" s="2">
        <v>40816</v>
      </c>
      <c r="J513" t="s">
        <v>23</v>
      </c>
      <c r="K513" s="2">
        <v>40851.13587384259</v>
      </c>
      <c r="L513" t="s">
        <v>29</v>
      </c>
      <c r="M513">
        <v>385543</v>
      </c>
      <c r="N513">
        <v>1</v>
      </c>
      <c r="O513">
        <v>2</v>
      </c>
      <c r="P513">
        <v>2</v>
      </c>
      <c r="Q513">
        <v>2</v>
      </c>
      <c r="R513">
        <v>154</v>
      </c>
      <c r="S513" t="s">
        <v>3771</v>
      </c>
      <c r="T513" t="s">
        <v>3772</v>
      </c>
      <c r="U513" t="s">
        <v>15</v>
      </c>
      <c r="X513" t="s">
        <v>1888</v>
      </c>
    </row>
    <row r="514" spans="1:24" ht="12.75">
      <c r="A514" s="1" t="str">
        <f>HYPERLINK("http://www.ofsted.gov.uk/inspection-reports/find-inspection-report/provider/ELS/58118","Ofsted FES Webpage")</f>
        <v>Ofsted FES Webpage</v>
      </c>
      <c r="B514" t="s">
        <v>705</v>
      </c>
      <c r="C514">
        <v>58118</v>
      </c>
      <c r="D514">
        <v>117585</v>
      </c>
      <c r="E514" t="s">
        <v>31</v>
      </c>
      <c r="F514" t="s">
        <v>26</v>
      </c>
      <c r="G514" t="s">
        <v>40</v>
      </c>
      <c r="H514" s="2">
        <v>41757</v>
      </c>
      <c r="I514" s="2">
        <v>41761</v>
      </c>
      <c r="J514" t="s">
        <v>27</v>
      </c>
      <c r="K514" s="2">
        <v>41797.135450497684</v>
      </c>
      <c r="L514" t="s">
        <v>60</v>
      </c>
      <c r="M514">
        <v>429233</v>
      </c>
      <c r="N514">
        <v>2</v>
      </c>
      <c r="O514">
        <v>2</v>
      </c>
      <c r="P514">
        <v>3</v>
      </c>
      <c r="Q514">
        <v>3</v>
      </c>
      <c r="R514">
        <v>2027</v>
      </c>
      <c r="S514" t="s">
        <v>3773</v>
      </c>
      <c r="T514" t="s">
        <v>3774</v>
      </c>
      <c r="U514" t="s">
        <v>2703</v>
      </c>
      <c r="W514" t="s">
        <v>31</v>
      </c>
      <c r="X514" t="s">
        <v>1889</v>
      </c>
    </row>
    <row r="515" spans="1:24" ht="12.75">
      <c r="A515" s="1" t="str">
        <f>HYPERLINK("http://www.ofsted.gov.uk/inspection-reports/find-inspection-report/provider/ELS/58132","Ofsted FES Webpage")</f>
        <v>Ofsted FES Webpage</v>
      </c>
      <c r="B515" t="s">
        <v>706</v>
      </c>
      <c r="C515">
        <v>58132</v>
      </c>
      <c r="D515">
        <v>115798</v>
      </c>
      <c r="E515" t="s">
        <v>124</v>
      </c>
      <c r="F515" t="s">
        <v>26</v>
      </c>
      <c r="G515" t="s">
        <v>17</v>
      </c>
      <c r="H515" s="2">
        <v>41617</v>
      </c>
      <c r="I515" s="2">
        <v>41621</v>
      </c>
      <c r="J515" t="s">
        <v>27</v>
      </c>
      <c r="K515" s="2">
        <v>41654.13545543981</v>
      </c>
      <c r="L515" t="s">
        <v>28</v>
      </c>
      <c r="M515">
        <v>420897</v>
      </c>
      <c r="N515">
        <v>3</v>
      </c>
      <c r="O515">
        <v>3</v>
      </c>
      <c r="P515">
        <v>4</v>
      </c>
      <c r="Q515">
        <v>4</v>
      </c>
      <c r="R515">
        <v>1995</v>
      </c>
      <c r="S515" t="s">
        <v>3775</v>
      </c>
      <c r="T515" t="s">
        <v>3776</v>
      </c>
      <c r="U515" t="s">
        <v>124</v>
      </c>
      <c r="V515" t="s">
        <v>2586</v>
      </c>
      <c r="X515" t="s">
        <v>1890</v>
      </c>
    </row>
    <row r="516" spans="1:24" ht="12.75">
      <c r="A516" s="1" t="str">
        <f>HYPERLINK("http://www.ofsted.gov.uk/inspection-reports/find-inspection-report/provider/ELS/58148","Ofsted FES Webpage")</f>
        <v>Ofsted FES Webpage</v>
      </c>
      <c r="B516" t="s">
        <v>707</v>
      </c>
      <c r="C516">
        <v>58148</v>
      </c>
      <c r="D516">
        <v>118876</v>
      </c>
      <c r="E516" t="s">
        <v>38</v>
      </c>
      <c r="F516" t="s">
        <v>39</v>
      </c>
      <c r="G516" t="s">
        <v>17</v>
      </c>
      <c r="H516" s="2">
        <v>41211</v>
      </c>
      <c r="I516" s="2">
        <v>41255</v>
      </c>
      <c r="J516" t="s">
        <v>32</v>
      </c>
      <c r="K516" s="2">
        <v>41295.13546119213</v>
      </c>
      <c r="L516" t="s">
        <v>29</v>
      </c>
      <c r="M516">
        <v>399069</v>
      </c>
      <c r="N516">
        <v>2</v>
      </c>
      <c r="O516">
        <v>2</v>
      </c>
      <c r="P516">
        <v>3</v>
      </c>
      <c r="Q516">
        <v>3</v>
      </c>
      <c r="R516">
        <v>3437</v>
      </c>
      <c r="S516" t="s">
        <v>3777</v>
      </c>
      <c r="T516" t="s">
        <v>3778</v>
      </c>
      <c r="U516" t="s">
        <v>3779</v>
      </c>
      <c r="V516" t="s">
        <v>3780</v>
      </c>
      <c r="W516" t="s">
        <v>38</v>
      </c>
      <c r="X516" t="s">
        <v>1891</v>
      </c>
    </row>
    <row r="517" spans="1:24" ht="12.75">
      <c r="A517" s="1" t="str">
        <f>HYPERLINK("http://www.ofsted.gov.uk/inspection-reports/find-inspection-report/provider/ELS/58159","Ofsted FES Webpage")</f>
        <v>Ofsted FES Webpage</v>
      </c>
      <c r="B517" t="s">
        <v>708</v>
      </c>
      <c r="C517">
        <v>58159</v>
      </c>
      <c r="D517">
        <v>117269</v>
      </c>
      <c r="E517" t="s">
        <v>22</v>
      </c>
      <c r="F517" t="s">
        <v>16</v>
      </c>
      <c r="G517" t="s">
        <v>17</v>
      </c>
      <c r="H517" s="2">
        <v>41582</v>
      </c>
      <c r="I517" s="2">
        <v>41586</v>
      </c>
      <c r="J517" t="s">
        <v>27</v>
      </c>
      <c r="K517" s="2">
        <v>41618.13565309028</v>
      </c>
      <c r="L517" t="s">
        <v>29</v>
      </c>
      <c r="M517">
        <v>429003</v>
      </c>
      <c r="N517">
        <v>3</v>
      </c>
      <c r="O517">
        <v>3</v>
      </c>
      <c r="P517">
        <v>2</v>
      </c>
      <c r="Q517">
        <v>2</v>
      </c>
      <c r="R517">
        <v>2823</v>
      </c>
      <c r="S517" t="s">
        <v>2837</v>
      </c>
      <c r="T517" t="s">
        <v>2899</v>
      </c>
      <c r="U517" t="s">
        <v>2411</v>
      </c>
      <c r="X517" t="s">
        <v>1892</v>
      </c>
    </row>
    <row r="518" spans="1:24" ht="12.75">
      <c r="A518" s="1" t="str">
        <f>HYPERLINK("http://www.ofsted.gov.uk/inspection-reports/find-inspection-report/provider/ELS/58160","Ofsted FES Webpage")</f>
        <v>Ofsted FES Webpage</v>
      </c>
      <c r="B518" t="s">
        <v>709</v>
      </c>
      <c r="C518">
        <v>58160</v>
      </c>
      <c r="D518">
        <v>117358</v>
      </c>
      <c r="E518" t="s">
        <v>331</v>
      </c>
      <c r="F518" t="s">
        <v>35</v>
      </c>
      <c r="G518" t="s">
        <v>17</v>
      </c>
      <c r="H518" s="2">
        <v>40988</v>
      </c>
      <c r="I518" s="2">
        <v>40991</v>
      </c>
      <c r="J518" t="s">
        <v>23</v>
      </c>
      <c r="K518" s="2">
        <v>41030.135622256945</v>
      </c>
      <c r="L518" t="s">
        <v>29</v>
      </c>
      <c r="M518">
        <v>385779</v>
      </c>
      <c r="N518">
        <v>2</v>
      </c>
      <c r="O518">
        <v>2</v>
      </c>
      <c r="P518">
        <v>2</v>
      </c>
      <c r="Q518">
        <v>2</v>
      </c>
      <c r="R518">
        <v>5460</v>
      </c>
      <c r="S518" t="s">
        <v>3781</v>
      </c>
      <c r="T518" t="s">
        <v>3079</v>
      </c>
      <c r="U518" t="s">
        <v>35</v>
      </c>
      <c r="X518" t="s">
        <v>1893</v>
      </c>
    </row>
    <row r="519" spans="1:24" ht="12.75">
      <c r="A519" s="1" t="str">
        <f>HYPERLINK("http://www.ofsted.gov.uk/inspection-reports/find-inspection-report/provider/ELS/58161","Ofsted FES Webpage")</f>
        <v>Ofsted FES Webpage</v>
      </c>
      <c r="B519" t="s">
        <v>710</v>
      </c>
      <c r="C519">
        <v>58161</v>
      </c>
      <c r="D519">
        <v>117497</v>
      </c>
      <c r="E519" t="s">
        <v>51</v>
      </c>
      <c r="F519" t="s">
        <v>16</v>
      </c>
      <c r="G519" t="s">
        <v>17</v>
      </c>
      <c r="H519" s="2">
        <v>41757</v>
      </c>
      <c r="I519" s="2">
        <v>41761</v>
      </c>
      <c r="J519" t="s">
        <v>27</v>
      </c>
      <c r="K519" s="2">
        <v>41796.13548966435</v>
      </c>
      <c r="L519" t="s">
        <v>60</v>
      </c>
      <c r="M519">
        <v>429234</v>
      </c>
      <c r="N519">
        <v>3</v>
      </c>
      <c r="O519">
        <v>3</v>
      </c>
      <c r="P519">
        <v>3</v>
      </c>
      <c r="Q519">
        <v>3</v>
      </c>
      <c r="R519">
        <v>1809</v>
      </c>
      <c r="S519" t="s">
        <v>3782</v>
      </c>
      <c r="T519" t="s">
        <v>3783</v>
      </c>
      <c r="U519" t="s">
        <v>2398</v>
      </c>
      <c r="X519" t="s">
        <v>1894</v>
      </c>
    </row>
    <row r="520" spans="1:24" ht="12.75">
      <c r="A520" s="1" t="str">
        <f>HYPERLINK("http://www.ofsted.gov.uk/inspection-reports/find-inspection-report/provider/ELS/58163","Ofsted FES Webpage")</f>
        <v>Ofsted FES Webpage</v>
      </c>
      <c r="B520" t="s">
        <v>711</v>
      </c>
      <c r="C520">
        <v>58163</v>
      </c>
      <c r="D520">
        <v>117563</v>
      </c>
      <c r="E520" t="s">
        <v>164</v>
      </c>
      <c r="F520" t="s">
        <v>26</v>
      </c>
      <c r="G520" t="s">
        <v>17</v>
      </c>
      <c r="H520" s="2">
        <v>41792</v>
      </c>
      <c r="I520" s="2">
        <v>41795</v>
      </c>
      <c r="J520" t="s">
        <v>27</v>
      </c>
      <c r="K520" s="2">
        <v>41828.13548174768</v>
      </c>
      <c r="L520" t="s">
        <v>36</v>
      </c>
      <c r="M520">
        <v>434038</v>
      </c>
      <c r="N520">
        <v>2</v>
      </c>
      <c r="O520">
        <v>2</v>
      </c>
      <c r="P520">
        <v>3</v>
      </c>
      <c r="Q520">
        <v>3</v>
      </c>
      <c r="R520">
        <v>103</v>
      </c>
      <c r="S520">
        <v>8</v>
      </c>
      <c r="T520" t="s">
        <v>3785</v>
      </c>
      <c r="U520" t="s">
        <v>3166</v>
      </c>
      <c r="V520" t="s">
        <v>164</v>
      </c>
      <c r="X520" t="s">
        <v>1580</v>
      </c>
    </row>
    <row r="521" spans="1:24" ht="12.75">
      <c r="A521" s="1" t="str">
        <f>HYPERLINK("http://www.ofsted.gov.uk/inspection-reports/find-inspection-report/provider/ELS/58166","Ofsted FES Webpage")</f>
        <v>Ofsted FES Webpage</v>
      </c>
      <c r="B521" t="s">
        <v>712</v>
      </c>
      <c r="C521">
        <v>58166</v>
      </c>
      <c r="D521">
        <v>117810</v>
      </c>
      <c r="E521" t="s">
        <v>446</v>
      </c>
      <c r="F521" t="s">
        <v>68</v>
      </c>
      <c r="G521" t="s">
        <v>17</v>
      </c>
      <c r="H521" s="2">
        <v>41240</v>
      </c>
      <c r="I521" s="2">
        <v>41243</v>
      </c>
      <c r="J521" t="s">
        <v>32</v>
      </c>
      <c r="K521" s="2">
        <v>41283.13551774305</v>
      </c>
      <c r="L521" t="s">
        <v>29</v>
      </c>
      <c r="M521">
        <v>399115</v>
      </c>
      <c r="N521">
        <v>2</v>
      </c>
      <c r="O521">
        <v>3</v>
      </c>
      <c r="P521">
        <v>2</v>
      </c>
      <c r="Q521">
        <v>2</v>
      </c>
      <c r="R521">
        <v>370</v>
      </c>
      <c r="S521" t="s">
        <v>3786</v>
      </c>
      <c r="T521" t="s">
        <v>3787</v>
      </c>
      <c r="U521" t="s">
        <v>3788</v>
      </c>
      <c r="X521" t="s">
        <v>1895</v>
      </c>
    </row>
    <row r="522" spans="1:24" ht="12.75">
      <c r="A522" s="1" t="str">
        <f>HYPERLINK("http://www.ofsted.gov.uk/inspection-reports/find-inspection-report/provider/ELS/58168","Ofsted FES Webpage")</f>
        <v>Ofsted FES Webpage</v>
      </c>
      <c r="B522" t="s">
        <v>713</v>
      </c>
      <c r="C522">
        <v>58168</v>
      </c>
      <c r="D522">
        <v>117900</v>
      </c>
      <c r="E522" t="s">
        <v>89</v>
      </c>
      <c r="F522" t="s">
        <v>16</v>
      </c>
      <c r="G522" t="s">
        <v>17</v>
      </c>
      <c r="H522" s="2">
        <v>41428</v>
      </c>
      <c r="I522" s="2">
        <v>41432</v>
      </c>
      <c r="J522" t="s">
        <v>32</v>
      </c>
      <c r="K522" s="2">
        <v>41467.135534837966</v>
      </c>
      <c r="L522" t="s">
        <v>29</v>
      </c>
      <c r="M522">
        <v>408546</v>
      </c>
      <c r="N522">
        <v>3</v>
      </c>
      <c r="O522">
        <v>3</v>
      </c>
      <c r="P522">
        <v>3</v>
      </c>
      <c r="Q522">
        <v>3</v>
      </c>
      <c r="R522">
        <v>4095</v>
      </c>
      <c r="S522" t="s">
        <v>3621</v>
      </c>
      <c r="T522" t="s">
        <v>3622</v>
      </c>
      <c r="U522" t="s">
        <v>3789</v>
      </c>
      <c r="V522" t="s">
        <v>2851</v>
      </c>
      <c r="X522" t="s">
        <v>1810</v>
      </c>
    </row>
    <row r="523" spans="1:24" ht="12.75">
      <c r="A523" s="1" t="str">
        <f>HYPERLINK("http://www.ofsted.gov.uk/inspection-reports/find-inspection-report/provider/ELS/58170","Ofsted FES Webpage")</f>
        <v>Ofsted FES Webpage</v>
      </c>
      <c r="B523" t="s">
        <v>714</v>
      </c>
      <c r="C523">
        <v>58170</v>
      </c>
      <c r="D523">
        <v>117936</v>
      </c>
      <c r="E523" t="s">
        <v>450</v>
      </c>
      <c r="F523" t="s">
        <v>68</v>
      </c>
      <c r="G523" t="s">
        <v>17</v>
      </c>
      <c r="H523" s="2">
        <v>41176</v>
      </c>
      <c r="I523" s="2">
        <v>41180</v>
      </c>
      <c r="J523" t="s">
        <v>32</v>
      </c>
      <c r="K523" s="2">
        <v>41214.13553240741</v>
      </c>
      <c r="L523" t="s">
        <v>29</v>
      </c>
      <c r="M523">
        <v>399072</v>
      </c>
      <c r="N523">
        <v>2</v>
      </c>
      <c r="O523">
        <v>2</v>
      </c>
      <c r="P523">
        <v>2</v>
      </c>
      <c r="Q523">
        <v>2</v>
      </c>
      <c r="R523">
        <v>1553</v>
      </c>
      <c r="S523" t="s">
        <v>3790</v>
      </c>
      <c r="T523" t="s">
        <v>3791</v>
      </c>
      <c r="U523" t="s">
        <v>3792</v>
      </c>
      <c r="V523" t="s">
        <v>450</v>
      </c>
      <c r="X523" t="s">
        <v>1896</v>
      </c>
    </row>
    <row r="524" spans="1:24" ht="12.75">
      <c r="A524" s="1" t="str">
        <f>HYPERLINK("http://www.ofsted.gov.uk/inspection-reports/find-inspection-report/provider/ELS/58176","Ofsted FES Webpage")</f>
        <v>Ofsted FES Webpage</v>
      </c>
      <c r="B524" t="s">
        <v>715</v>
      </c>
      <c r="C524">
        <v>58176</v>
      </c>
      <c r="D524">
        <v>117986</v>
      </c>
      <c r="E524" t="s">
        <v>436</v>
      </c>
      <c r="F524" t="s">
        <v>35</v>
      </c>
      <c r="G524" t="s">
        <v>160</v>
      </c>
      <c r="H524" s="2">
        <v>41491</v>
      </c>
      <c r="I524" s="2">
        <v>41495</v>
      </c>
      <c r="J524" t="s">
        <v>32</v>
      </c>
      <c r="K524" s="2">
        <v>41523.13573491898</v>
      </c>
      <c r="L524" t="s">
        <v>29</v>
      </c>
      <c r="M524">
        <v>424337</v>
      </c>
      <c r="N524">
        <v>2</v>
      </c>
      <c r="O524">
        <v>2</v>
      </c>
      <c r="P524">
        <v>2</v>
      </c>
      <c r="Q524">
        <v>2</v>
      </c>
      <c r="R524">
        <v>1076</v>
      </c>
      <c r="S524" t="s">
        <v>3794</v>
      </c>
      <c r="T524" t="s">
        <v>3795</v>
      </c>
      <c r="U524" t="s">
        <v>35</v>
      </c>
      <c r="X524" t="s">
        <v>1897</v>
      </c>
    </row>
    <row r="525" spans="1:24" ht="12.75">
      <c r="A525" s="1" t="str">
        <f>HYPERLINK("http://www.ofsted.gov.uk/inspection-reports/find-inspection-report/provider/ELS/58177","Ofsted FES Webpage")</f>
        <v>Ofsted FES Webpage</v>
      </c>
      <c r="B525" t="s">
        <v>716</v>
      </c>
      <c r="C525">
        <v>58177</v>
      </c>
      <c r="D525">
        <v>117987</v>
      </c>
      <c r="E525" t="s">
        <v>106</v>
      </c>
      <c r="F525" t="s">
        <v>49</v>
      </c>
      <c r="G525" t="s">
        <v>160</v>
      </c>
      <c r="H525" s="2">
        <v>41204</v>
      </c>
      <c r="I525" s="2">
        <v>41208</v>
      </c>
      <c r="J525" t="s">
        <v>32</v>
      </c>
      <c r="K525" s="2">
        <v>41243.135724039355</v>
      </c>
      <c r="L525" t="s">
        <v>29</v>
      </c>
      <c r="M525">
        <v>404579</v>
      </c>
      <c r="N525">
        <v>2</v>
      </c>
      <c r="O525">
        <v>2</v>
      </c>
      <c r="P525">
        <v>2</v>
      </c>
      <c r="Q525">
        <v>2</v>
      </c>
      <c r="R525">
        <v>1725</v>
      </c>
      <c r="S525" t="s">
        <v>3796</v>
      </c>
      <c r="T525" t="s">
        <v>3797</v>
      </c>
      <c r="U525" t="s">
        <v>3798</v>
      </c>
      <c r="V525" t="s">
        <v>2382</v>
      </c>
      <c r="X525" t="s">
        <v>1898</v>
      </c>
    </row>
    <row r="526" spans="1:24" ht="12.75">
      <c r="A526" s="1" t="str">
        <f>HYPERLINK("http://www.ofsted.gov.uk/inspection-reports/find-inspection-report/provider/ELS/58178","Ofsted FES Webpage")</f>
        <v>Ofsted FES Webpage</v>
      </c>
      <c r="B526" t="s">
        <v>717</v>
      </c>
      <c r="C526">
        <v>58178</v>
      </c>
      <c r="D526">
        <v>117996</v>
      </c>
      <c r="E526" t="s">
        <v>185</v>
      </c>
      <c r="F526" t="s">
        <v>35</v>
      </c>
      <c r="G526" t="s">
        <v>160</v>
      </c>
      <c r="H526" s="2">
        <v>40505</v>
      </c>
      <c r="I526" s="2">
        <v>40508</v>
      </c>
      <c r="J526" t="s">
        <v>56</v>
      </c>
      <c r="K526" s="2">
        <v>40547.1354462963</v>
      </c>
      <c r="L526" t="s">
        <v>29</v>
      </c>
      <c r="M526">
        <v>365561</v>
      </c>
      <c r="N526">
        <v>2</v>
      </c>
      <c r="O526">
        <v>2</v>
      </c>
      <c r="P526">
        <v>3</v>
      </c>
      <c r="Q526">
        <v>3</v>
      </c>
      <c r="R526">
        <v>143</v>
      </c>
      <c r="S526" t="s">
        <v>3799</v>
      </c>
      <c r="T526" t="s">
        <v>3800</v>
      </c>
      <c r="U526" t="s">
        <v>35</v>
      </c>
      <c r="X526" t="s">
        <v>1899</v>
      </c>
    </row>
    <row r="527" spans="1:24" ht="12.75">
      <c r="A527" s="1" t="str">
        <f>HYPERLINK("http://www.ofsted.gov.uk/inspection-reports/find-inspection-report/provider/ELS/58179","Ofsted FES Webpage")</f>
        <v>Ofsted FES Webpage</v>
      </c>
      <c r="B527" t="s">
        <v>718</v>
      </c>
      <c r="C527">
        <v>58179</v>
      </c>
      <c r="D527">
        <v>118006</v>
      </c>
      <c r="E527" t="s">
        <v>122</v>
      </c>
      <c r="F527" t="s">
        <v>35</v>
      </c>
      <c r="G527" t="s">
        <v>160</v>
      </c>
      <c r="H527" s="2">
        <v>41589</v>
      </c>
      <c r="I527" s="2">
        <v>41593</v>
      </c>
      <c r="J527" t="s">
        <v>27</v>
      </c>
      <c r="K527" s="2">
        <v>41628.13550135417</v>
      </c>
      <c r="L527" t="s">
        <v>29</v>
      </c>
      <c r="M527">
        <v>423725</v>
      </c>
      <c r="N527">
        <v>3</v>
      </c>
      <c r="O527">
        <v>3</v>
      </c>
      <c r="P527">
        <v>2</v>
      </c>
      <c r="Q527">
        <v>2</v>
      </c>
      <c r="R527">
        <v>1686</v>
      </c>
      <c r="S527" t="s">
        <v>3801</v>
      </c>
      <c r="T527" t="s">
        <v>3235</v>
      </c>
      <c r="U527" t="s">
        <v>3802</v>
      </c>
      <c r="V527" t="s">
        <v>35</v>
      </c>
      <c r="X527" t="s">
        <v>1900</v>
      </c>
    </row>
    <row r="528" spans="1:24" ht="12.75">
      <c r="A528" s="1" t="str">
        <f>HYPERLINK("http://www.ofsted.gov.uk/inspection-reports/find-inspection-report/provider/ELS/58181","Ofsted FES Webpage")</f>
        <v>Ofsted FES Webpage</v>
      </c>
      <c r="B528" t="s">
        <v>719</v>
      </c>
      <c r="C528">
        <v>58181</v>
      </c>
      <c r="D528">
        <v>118014</v>
      </c>
      <c r="E528" t="s">
        <v>399</v>
      </c>
      <c r="F528" t="s">
        <v>16</v>
      </c>
      <c r="G528" t="s">
        <v>17</v>
      </c>
      <c r="H528" s="2">
        <v>40917</v>
      </c>
      <c r="I528" s="2">
        <v>40921</v>
      </c>
      <c r="J528" t="s">
        <v>23</v>
      </c>
      <c r="K528" s="2">
        <v>40956.135486342595</v>
      </c>
      <c r="L528" t="s">
        <v>29</v>
      </c>
      <c r="M528">
        <v>385729</v>
      </c>
      <c r="N528">
        <v>2</v>
      </c>
      <c r="O528">
        <v>2</v>
      </c>
      <c r="P528">
        <v>3</v>
      </c>
      <c r="Q528">
        <v>3</v>
      </c>
      <c r="R528">
        <v>661</v>
      </c>
      <c r="S528" t="s">
        <v>3803</v>
      </c>
      <c r="T528" t="s">
        <v>2369</v>
      </c>
      <c r="X528" t="s">
        <v>1901</v>
      </c>
    </row>
    <row r="529" spans="1:24" ht="12.75">
      <c r="A529" s="1" t="str">
        <f>HYPERLINK("http://www.ofsted.gov.uk/inspection-reports/find-inspection-report/provider/ELS/58182","Ofsted FES Webpage")</f>
        <v>Ofsted FES Webpage</v>
      </c>
      <c r="B529" t="s">
        <v>720</v>
      </c>
      <c r="C529">
        <v>58182</v>
      </c>
      <c r="D529">
        <v>118025</v>
      </c>
      <c r="E529" t="s">
        <v>439</v>
      </c>
      <c r="F529" t="s">
        <v>35</v>
      </c>
      <c r="G529" t="s">
        <v>17</v>
      </c>
      <c r="H529" s="2">
        <v>39762</v>
      </c>
      <c r="I529" s="2">
        <v>39765</v>
      </c>
      <c r="J529" t="s">
        <v>44</v>
      </c>
      <c r="K529" s="2">
        <v>39798.135614618055</v>
      </c>
      <c r="L529" t="s">
        <v>19</v>
      </c>
      <c r="M529">
        <v>321537</v>
      </c>
      <c r="N529">
        <v>2</v>
      </c>
      <c r="O529">
        <v>2</v>
      </c>
      <c r="P529" t="s">
        <v>20</v>
      </c>
      <c r="Q529" t="s">
        <v>20</v>
      </c>
      <c r="R529">
        <v>298</v>
      </c>
      <c r="S529" t="s">
        <v>3804</v>
      </c>
      <c r="T529" t="s">
        <v>3805</v>
      </c>
      <c r="U529" t="s">
        <v>3806</v>
      </c>
      <c r="V529" t="s">
        <v>35</v>
      </c>
      <c r="X529" t="s">
        <v>1902</v>
      </c>
    </row>
    <row r="530" spans="1:24" ht="12.75">
      <c r="A530" s="1" t="str">
        <f>HYPERLINK("http://www.ofsted.gov.uk/inspection-reports/find-inspection-report/provider/ELS/58184","Ofsted FES Webpage")</f>
        <v>Ofsted FES Webpage</v>
      </c>
      <c r="B530" t="s">
        <v>721</v>
      </c>
      <c r="C530">
        <v>58184</v>
      </c>
      <c r="D530">
        <v>119388</v>
      </c>
      <c r="E530" t="s">
        <v>518</v>
      </c>
      <c r="F530" t="s">
        <v>39</v>
      </c>
      <c r="G530" t="s">
        <v>160</v>
      </c>
      <c r="H530" s="2">
        <v>39980</v>
      </c>
      <c r="I530" s="2">
        <v>39983</v>
      </c>
      <c r="J530" t="s">
        <v>44</v>
      </c>
      <c r="K530" s="2">
        <v>40022.13547847222</v>
      </c>
      <c r="L530" t="s">
        <v>29</v>
      </c>
      <c r="M530">
        <v>332129</v>
      </c>
      <c r="N530">
        <v>2</v>
      </c>
      <c r="O530">
        <v>2</v>
      </c>
      <c r="P530" t="s">
        <v>20</v>
      </c>
      <c r="Q530" t="s">
        <v>20</v>
      </c>
      <c r="R530">
        <v>352</v>
      </c>
      <c r="S530" t="s">
        <v>3807</v>
      </c>
      <c r="T530" t="s">
        <v>3808</v>
      </c>
      <c r="U530" t="s">
        <v>3809</v>
      </c>
      <c r="V530" t="s">
        <v>518</v>
      </c>
      <c r="X530" t="s">
        <v>1903</v>
      </c>
    </row>
    <row r="531" spans="1:24" ht="12.75">
      <c r="A531" s="1" t="str">
        <f>HYPERLINK("http://www.ofsted.gov.uk/inspection-reports/find-inspection-report/provider/ELS/58185","Ofsted FES Webpage")</f>
        <v>Ofsted FES Webpage</v>
      </c>
      <c r="B531" t="s">
        <v>722</v>
      </c>
      <c r="C531">
        <v>58185</v>
      </c>
      <c r="D531">
        <v>118085</v>
      </c>
      <c r="E531" t="s">
        <v>203</v>
      </c>
      <c r="F531" t="s">
        <v>49</v>
      </c>
      <c r="G531" t="s">
        <v>160</v>
      </c>
      <c r="H531" s="2">
        <v>40847</v>
      </c>
      <c r="I531" s="2">
        <v>40851</v>
      </c>
      <c r="J531" t="s">
        <v>23</v>
      </c>
      <c r="K531" s="2">
        <v>40886.1354931713</v>
      </c>
      <c r="L531" t="s">
        <v>29</v>
      </c>
      <c r="M531">
        <v>376202</v>
      </c>
      <c r="N531">
        <v>2</v>
      </c>
      <c r="O531">
        <v>2</v>
      </c>
      <c r="P531">
        <v>3</v>
      </c>
      <c r="Q531">
        <v>3</v>
      </c>
      <c r="R531">
        <v>339</v>
      </c>
      <c r="S531" t="s">
        <v>3810</v>
      </c>
      <c r="T531" t="s">
        <v>3811</v>
      </c>
      <c r="U531" t="s">
        <v>3812</v>
      </c>
      <c r="V531" t="s">
        <v>203</v>
      </c>
      <c r="X531" t="s">
        <v>1904</v>
      </c>
    </row>
    <row r="532" spans="1:24" ht="12.75">
      <c r="A532" s="1" t="str">
        <f>HYPERLINK("http://www.ofsted.gov.uk/inspection-reports/find-inspection-report/provider/ELS/58186","Ofsted FES Webpage")</f>
        <v>Ofsted FES Webpage</v>
      </c>
      <c r="B532" t="s">
        <v>723</v>
      </c>
      <c r="C532">
        <v>58186</v>
      </c>
      <c r="D532">
        <v>118089</v>
      </c>
      <c r="E532" t="s">
        <v>207</v>
      </c>
      <c r="F532" t="s">
        <v>35</v>
      </c>
      <c r="G532" t="s">
        <v>160</v>
      </c>
      <c r="H532" s="2">
        <v>40000</v>
      </c>
      <c r="I532" s="2">
        <v>40003</v>
      </c>
      <c r="J532" t="s">
        <v>44</v>
      </c>
      <c r="K532" s="2">
        <v>40029.13547696759</v>
      </c>
      <c r="L532" t="s">
        <v>29</v>
      </c>
      <c r="M532">
        <v>333554</v>
      </c>
      <c r="N532">
        <v>1</v>
      </c>
      <c r="O532">
        <v>2</v>
      </c>
      <c r="P532" t="s">
        <v>20</v>
      </c>
      <c r="Q532" t="s">
        <v>20</v>
      </c>
      <c r="R532">
        <v>159</v>
      </c>
      <c r="S532">
        <v>41861</v>
      </c>
      <c r="T532" t="s">
        <v>3813</v>
      </c>
      <c r="U532" t="s">
        <v>35</v>
      </c>
      <c r="X532" t="s">
        <v>1905</v>
      </c>
    </row>
    <row r="533" spans="1:24" ht="12.75">
      <c r="A533" s="1" t="str">
        <f>HYPERLINK("http://www.ofsted.gov.uk/inspection-reports/find-inspection-report/provider/ELS/58187","Ofsted FES Webpage")</f>
        <v>Ofsted FES Webpage</v>
      </c>
      <c r="B533" t="s">
        <v>724</v>
      </c>
      <c r="C533">
        <v>58187</v>
      </c>
      <c r="D533">
        <v>118094</v>
      </c>
      <c r="E533" t="s">
        <v>725</v>
      </c>
      <c r="F533" t="s">
        <v>68</v>
      </c>
      <c r="G533" t="s">
        <v>17</v>
      </c>
      <c r="H533" s="2">
        <v>41477</v>
      </c>
      <c r="I533" s="2">
        <v>41481</v>
      </c>
      <c r="J533" t="s">
        <v>32</v>
      </c>
      <c r="K533" s="2">
        <v>41507.135447106484</v>
      </c>
      <c r="L533" t="s">
        <v>29</v>
      </c>
      <c r="M533">
        <v>410654</v>
      </c>
      <c r="N533">
        <v>2</v>
      </c>
      <c r="O533">
        <v>2</v>
      </c>
      <c r="P533">
        <v>2</v>
      </c>
      <c r="Q533">
        <v>2</v>
      </c>
      <c r="R533">
        <v>728</v>
      </c>
      <c r="S533" t="s">
        <v>3814</v>
      </c>
      <c r="T533" t="s">
        <v>3815</v>
      </c>
      <c r="U533" t="s">
        <v>3484</v>
      </c>
      <c r="V533" t="s">
        <v>446</v>
      </c>
      <c r="X533" t="s">
        <v>1906</v>
      </c>
    </row>
    <row r="534" spans="1:24" ht="12.75">
      <c r="A534" s="1" t="str">
        <f>HYPERLINK("http://www.ofsted.gov.uk/inspection-reports/find-inspection-report/provider/ELS/58192","Ofsted FES Webpage")</f>
        <v>Ofsted FES Webpage</v>
      </c>
      <c r="B534" t="s">
        <v>726</v>
      </c>
      <c r="C534">
        <v>58192</v>
      </c>
      <c r="D534">
        <v>119189</v>
      </c>
      <c r="E534" t="s">
        <v>213</v>
      </c>
      <c r="F534" t="s">
        <v>49</v>
      </c>
      <c r="G534" t="s">
        <v>160</v>
      </c>
      <c r="H534" s="2">
        <v>41674</v>
      </c>
      <c r="I534" s="2">
        <v>41677</v>
      </c>
      <c r="J534" t="s">
        <v>27</v>
      </c>
      <c r="K534" s="2">
        <v>41717.13548804398</v>
      </c>
      <c r="L534" t="s">
        <v>60</v>
      </c>
      <c r="M534">
        <v>429236</v>
      </c>
      <c r="N534">
        <v>2</v>
      </c>
      <c r="O534">
        <v>2</v>
      </c>
      <c r="P534">
        <v>3</v>
      </c>
      <c r="Q534">
        <v>3</v>
      </c>
      <c r="R534">
        <v>631</v>
      </c>
      <c r="S534" t="s">
        <v>3816</v>
      </c>
      <c r="T534" t="s">
        <v>3817</v>
      </c>
      <c r="U534" t="s">
        <v>3050</v>
      </c>
      <c r="X534" t="s">
        <v>1907</v>
      </c>
    </row>
    <row r="535" spans="1:24" ht="12.75">
      <c r="A535" s="1" t="str">
        <f>HYPERLINK("http://www.ofsted.gov.uk/inspection-reports/find-inspection-report/provider/ELS/58195","Ofsted FES Webpage")</f>
        <v>Ofsted FES Webpage</v>
      </c>
      <c r="B535" t="s">
        <v>727</v>
      </c>
      <c r="C535">
        <v>58195</v>
      </c>
      <c r="D535">
        <v>118151</v>
      </c>
      <c r="E535" t="s">
        <v>185</v>
      </c>
      <c r="F535" t="s">
        <v>35</v>
      </c>
      <c r="G535" t="s">
        <v>160</v>
      </c>
      <c r="H535" s="2">
        <v>41722</v>
      </c>
      <c r="I535" s="2">
        <v>41726</v>
      </c>
      <c r="J535" t="s">
        <v>27</v>
      </c>
      <c r="K535" s="2">
        <v>41765.135487465275</v>
      </c>
      <c r="L535" t="s">
        <v>60</v>
      </c>
      <c r="M535">
        <v>429237</v>
      </c>
      <c r="N535">
        <v>2</v>
      </c>
      <c r="O535">
        <v>2</v>
      </c>
      <c r="P535">
        <v>3</v>
      </c>
      <c r="Q535">
        <v>3</v>
      </c>
      <c r="R535">
        <v>1666</v>
      </c>
      <c r="S535" t="s">
        <v>3818</v>
      </c>
      <c r="T535" t="s">
        <v>3819</v>
      </c>
      <c r="U535" t="s">
        <v>35</v>
      </c>
      <c r="X535" t="s">
        <v>1908</v>
      </c>
    </row>
    <row r="536" spans="1:24" ht="12.75">
      <c r="A536" s="1" t="str">
        <f>HYPERLINK("http://www.ofsted.gov.uk/inspection-reports/find-inspection-report/provider/ELS/58199","Ofsted FES Webpage")</f>
        <v>Ofsted FES Webpage</v>
      </c>
      <c r="B536" t="s">
        <v>728</v>
      </c>
      <c r="C536">
        <v>58199</v>
      </c>
      <c r="D536">
        <v>118186</v>
      </c>
      <c r="E536" t="s">
        <v>521</v>
      </c>
      <c r="F536" t="s">
        <v>26</v>
      </c>
      <c r="G536" t="s">
        <v>160</v>
      </c>
      <c r="H536" s="2">
        <v>41604</v>
      </c>
      <c r="I536" s="2">
        <v>41607</v>
      </c>
      <c r="J536" t="s">
        <v>27</v>
      </c>
      <c r="K536" s="2">
        <v>41647.13550636574</v>
      </c>
      <c r="L536" t="s">
        <v>28</v>
      </c>
      <c r="M536">
        <v>411372</v>
      </c>
      <c r="N536">
        <v>2</v>
      </c>
      <c r="O536">
        <v>2</v>
      </c>
      <c r="P536">
        <v>4</v>
      </c>
      <c r="Q536">
        <v>4</v>
      </c>
      <c r="R536">
        <v>401</v>
      </c>
      <c r="S536" t="s">
        <v>3820</v>
      </c>
      <c r="T536" t="s">
        <v>3821</v>
      </c>
      <c r="U536" t="s">
        <v>3822</v>
      </c>
      <c r="X536" t="s">
        <v>1909</v>
      </c>
    </row>
    <row r="537" spans="1:24" ht="12.75">
      <c r="A537" s="1" t="str">
        <f>HYPERLINK("http://www.ofsted.gov.uk/inspection-reports/find-inspection-report/provider/ELS/58219","Ofsted FES Webpage")</f>
        <v>Ofsted FES Webpage</v>
      </c>
      <c r="B537" t="s">
        <v>729</v>
      </c>
      <c r="C537">
        <v>58219</v>
      </c>
      <c r="D537">
        <v>118204</v>
      </c>
      <c r="E537" t="s">
        <v>172</v>
      </c>
      <c r="F537" t="s">
        <v>26</v>
      </c>
      <c r="G537" t="s">
        <v>17</v>
      </c>
      <c r="H537" s="2">
        <v>41450</v>
      </c>
      <c r="I537" s="2">
        <v>41453</v>
      </c>
      <c r="J537" t="s">
        <v>32</v>
      </c>
      <c r="K537" s="2">
        <v>41478.135525</v>
      </c>
      <c r="L537" t="s">
        <v>36</v>
      </c>
      <c r="M537">
        <v>408497</v>
      </c>
      <c r="N537">
        <v>2</v>
      </c>
      <c r="O537">
        <v>2</v>
      </c>
      <c r="P537">
        <v>3</v>
      </c>
      <c r="Q537">
        <v>3</v>
      </c>
      <c r="R537">
        <v>991</v>
      </c>
      <c r="S537" t="s">
        <v>3825</v>
      </c>
      <c r="T537" t="s">
        <v>3445</v>
      </c>
      <c r="X537" t="s">
        <v>1910</v>
      </c>
    </row>
    <row r="538" spans="1:24" ht="12.75">
      <c r="A538" s="1" t="str">
        <f>HYPERLINK("http://www.ofsted.gov.uk/inspection-reports/find-inspection-report/provider/ELS/58229","Ofsted FES Webpage")</f>
        <v>Ofsted FES Webpage</v>
      </c>
      <c r="B538" t="s">
        <v>730</v>
      </c>
      <c r="C538">
        <v>58229</v>
      </c>
      <c r="D538">
        <v>118047</v>
      </c>
      <c r="E538" t="s">
        <v>114</v>
      </c>
      <c r="F538" t="s">
        <v>26</v>
      </c>
      <c r="G538" t="s">
        <v>17</v>
      </c>
      <c r="H538" s="2">
        <v>40043</v>
      </c>
      <c r="I538" s="2">
        <v>40046</v>
      </c>
      <c r="J538" t="s">
        <v>44</v>
      </c>
      <c r="K538" s="2">
        <v>40091.1354996875</v>
      </c>
      <c r="L538" t="s">
        <v>141</v>
      </c>
      <c r="M538">
        <v>333485</v>
      </c>
      <c r="N538">
        <v>2</v>
      </c>
      <c r="O538">
        <v>2</v>
      </c>
      <c r="P538" t="s">
        <v>20</v>
      </c>
      <c r="Q538" t="s">
        <v>20</v>
      </c>
      <c r="R538">
        <v>2379</v>
      </c>
      <c r="S538" t="s">
        <v>3826</v>
      </c>
      <c r="T538" t="s">
        <v>3827</v>
      </c>
      <c r="U538" t="s">
        <v>2865</v>
      </c>
      <c r="V538" t="s">
        <v>2866</v>
      </c>
      <c r="X538" t="s">
        <v>1911</v>
      </c>
    </row>
    <row r="539" spans="1:24" ht="12.75">
      <c r="A539" s="1" t="str">
        <f>HYPERLINK("http://www.ofsted.gov.uk/inspection-reports/find-inspection-report/provider/ELS/58237","Ofsted FES Webpage")</f>
        <v>Ofsted FES Webpage</v>
      </c>
      <c r="B539" t="s">
        <v>731</v>
      </c>
      <c r="C539">
        <v>58237</v>
      </c>
      <c r="D539">
        <v>116116</v>
      </c>
      <c r="E539" t="s">
        <v>109</v>
      </c>
      <c r="F539" t="s">
        <v>16</v>
      </c>
      <c r="G539" t="s">
        <v>40</v>
      </c>
      <c r="H539" s="2">
        <v>41723</v>
      </c>
      <c r="I539" s="2">
        <v>41725</v>
      </c>
      <c r="J539" t="s">
        <v>27</v>
      </c>
      <c r="K539" s="2">
        <v>41758.13556689815</v>
      </c>
      <c r="L539" t="s">
        <v>36</v>
      </c>
      <c r="M539">
        <v>429123</v>
      </c>
      <c r="N539">
        <v>2</v>
      </c>
      <c r="O539">
        <v>2</v>
      </c>
      <c r="P539">
        <v>3</v>
      </c>
      <c r="Q539">
        <v>3</v>
      </c>
      <c r="R539">
        <v>142</v>
      </c>
      <c r="S539" t="s">
        <v>3828</v>
      </c>
      <c r="T539" t="s">
        <v>3829</v>
      </c>
      <c r="W539" t="s">
        <v>109</v>
      </c>
      <c r="X539" t="s">
        <v>1912</v>
      </c>
    </row>
    <row r="540" spans="1:24" ht="12.75">
      <c r="A540" s="1" t="str">
        <f>HYPERLINK("http://www.ofsted.gov.uk/inspection-reports/find-inspection-report/provider/ELS/58240","Ofsted FES Webpage")</f>
        <v>Ofsted FES Webpage</v>
      </c>
      <c r="B540" t="s">
        <v>732</v>
      </c>
      <c r="C540">
        <v>58240</v>
      </c>
      <c r="D540">
        <v>118200</v>
      </c>
      <c r="E540" t="s">
        <v>120</v>
      </c>
      <c r="F540" t="s">
        <v>26</v>
      </c>
      <c r="G540" t="s">
        <v>40</v>
      </c>
      <c r="H540" s="2">
        <v>41058</v>
      </c>
      <c r="I540" s="2">
        <v>41061</v>
      </c>
      <c r="J540" t="s">
        <v>23</v>
      </c>
      <c r="K540" s="2">
        <v>41095.1356466088</v>
      </c>
      <c r="L540" t="s">
        <v>45</v>
      </c>
      <c r="M540">
        <v>387966</v>
      </c>
      <c r="N540">
        <v>3</v>
      </c>
      <c r="O540">
        <v>3</v>
      </c>
      <c r="P540" t="s">
        <v>20</v>
      </c>
      <c r="Q540" t="s">
        <v>20</v>
      </c>
      <c r="R540">
        <v>811</v>
      </c>
      <c r="S540" t="s">
        <v>3830</v>
      </c>
      <c r="T540" t="s">
        <v>3831</v>
      </c>
      <c r="U540" t="s">
        <v>2989</v>
      </c>
      <c r="X540" t="s">
        <v>1913</v>
      </c>
    </row>
    <row r="541" spans="1:24" ht="12.75">
      <c r="A541" s="1" t="str">
        <f>HYPERLINK("http://www.ofsted.gov.uk/inspection-reports/find-inspection-report/provider/ELS/58250","Ofsted FES Webpage")</f>
        <v>Ofsted FES Webpage</v>
      </c>
      <c r="B541" t="s">
        <v>733</v>
      </c>
      <c r="C541">
        <v>58250</v>
      </c>
      <c r="D541">
        <v>118097</v>
      </c>
      <c r="E541" t="s">
        <v>203</v>
      </c>
      <c r="F541" t="s">
        <v>49</v>
      </c>
      <c r="G541" t="s">
        <v>17</v>
      </c>
      <c r="H541" s="2">
        <v>41113</v>
      </c>
      <c r="I541" s="2">
        <v>41117</v>
      </c>
      <c r="J541" t="s">
        <v>23</v>
      </c>
      <c r="K541" s="2">
        <v>41155.135504398146</v>
      </c>
      <c r="L541" t="s">
        <v>29</v>
      </c>
      <c r="M541">
        <v>388462</v>
      </c>
      <c r="N541">
        <v>2</v>
      </c>
      <c r="O541">
        <v>2</v>
      </c>
      <c r="P541">
        <v>2</v>
      </c>
      <c r="Q541">
        <v>2</v>
      </c>
      <c r="R541">
        <v>633</v>
      </c>
      <c r="S541" t="s">
        <v>3832</v>
      </c>
      <c r="T541" t="s">
        <v>2824</v>
      </c>
      <c r="U541" t="s">
        <v>203</v>
      </c>
      <c r="X541" t="s">
        <v>1914</v>
      </c>
    </row>
    <row r="542" spans="1:24" ht="12.75">
      <c r="A542" s="1" t="str">
        <f>HYPERLINK("http://www.ofsted.gov.uk/inspection-reports/find-inspection-report/provider/ELS/58260","Ofsted FES Webpage")</f>
        <v>Ofsted FES Webpage</v>
      </c>
      <c r="B542" t="s">
        <v>734</v>
      </c>
      <c r="C542">
        <v>58260</v>
      </c>
      <c r="D542">
        <v>117462</v>
      </c>
      <c r="E542" t="s">
        <v>632</v>
      </c>
      <c r="F542" t="s">
        <v>68</v>
      </c>
      <c r="G542" t="s">
        <v>17</v>
      </c>
      <c r="H542" s="2">
        <v>41589</v>
      </c>
      <c r="I542" s="2">
        <v>41593</v>
      </c>
      <c r="J542" t="s">
        <v>27</v>
      </c>
      <c r="K542" s="2">
        <v>41621.13544293981</v>
      </c>
      <c r="L542" t="s">
        <v>29</v>
      </c>
      <c r="M542">
        <v>410648</v>
      </c>
      <c r="N542">
        <v>3</v>
      </c>
      <c r="O542">
        <v>3</v>
      </c>
      <c r="P542">
        <v>2</v>
      </c>
      <c r="Q542">
        <v>2</v>
      </c>
      <c r="R542">
        <v>2343</v>
      </c>
      <c r="S542" t="s">
        <v>3833</v>
      </c>
      <c r="T542" t="s">
        <v>3834</v>
      </c>
      <c r="U542" t="s">
        <v>2585</v>
      </c>
      <c r="X542" t="s">
        <v>1915</v>
      </c>
    </row>
    <row r="543" spans="1:24" ht="12.75">
      <c r="A543" s="1" t="str">
        <f>HYPERLINK("http://www.ofsted.gov.uk/inspection-reports/find-inspection-report/provider/ELS/58262","Ofsted FES Webpage")</f>
        <v>Ofsted FES Webpage</v>
      </c>
      <c r="B543" t="s">
        <v>735</v>
      </c>
      <c r="C543">
        <v>58262</v>
      </c>
      <c r="D543">
        <v>117858</v>
      </c>
      <c r="E543" t="s">
        <v>73</v>
      </c>
      <c r="F543" t="s">
        <v>49</v>
      </c>
      <c r="G543" t="s">
        <v>17</v>
      </c>
      <c r="H543" s="2">
        <v>41029</v>
      </c>
      <c r="I543" s="2">
        <v>41033</v>
      </c>
      <c r="J543" t="s">
        <v>23</v>
      </c>
      <c r="K543" s="2">
        <v>41073.13562241898</v>
      </c>
      <c r="L543" t="s">
        <v>29</v>
      </c>
      <c r="M543">
        <v>388130</v>
      </c>
      <c r="N543">
        <v>2</v>
      </c>
      <c r="O543">
        <v>2</v>
      </c>
      <c r="P543" t="s">
        <v>20</v>
      </c>
      <c r="Q543" t="s">
        <v>20</v>
      </c>
      <c r="R543">
        <v>3304</v>
      </c>
      <c r="S543" t="s">
        <v>3835</v>
      </c>
      <c r="T543" t="s">
        <v>3836</v>
      </c>
      <c r="W543" t="s">
        <v>73</v>
      </c>
      <c r="X543" t="s">
        <v>1916</v>
      </c>
    </row>
    <row r="544" spans="1:24" ht="12.75">
      <c r="A544" s="1" t="str">
        <f>HYPERLINK("http://www.ofsted.gov.uk/inspection-reports/find-inspection-report/provider/ELS/58273","Ofsted FES Webpage")</f>
        <v>Ofsted FES Webpage</v>
      </c>
      <c r="B544" t="s">
        <v>736</v>
      </c>
      <c r="C544">
        <v>58273</v>
      </c>
      <c r="D544">
        <v>117081</v>
      </c>
      <c r="E544" t="s">
        <v>126</v>
      </c>
      <c r="F544" t="s">
        <v>68</v>
      </c>
      <c r="G544" t="s">
        <v>17</v>
      </c>
      <c r="H544" s="2">
        <v>41660</v>
      </c>
      <c r="I544" s="2">
        <v>41663</v>
      </c>
      <c r="J544" t="s">
        <v>27</v>
      </c>
      <c r="K544" s="2">
        <v>41696.13550755787</v>
      </c>
      <c r="L544" t="s">
        <v>60</v>
      </c>
      <c r="M544">
        <v>429238</v>
      </c>
      <c r="N544">
        <v>2</v>
      </c>
      <c r="O544">
        <v>2</v>
      </c>
      <c r="P544">
        <v>3</v>
      </c>
      <c r="Q544">
        <v>3</v>
      </c>
      <c r="R544">
        <v>482</v>
      </c>
      <c r="S544" t="s">
        <v>3837</v>
      </c>
      <c r="T544" t="s">
        <v>3298</v>
      </c>
      <c r="U544" t="s">
        <v>126</v>
      </c>
      <c r="X544" t="s">
        <v>1917</v>
      </c>
    </row>
    <row r="545" spans="1:24" ht="12.75">
      <c r="A545" s="1" t="str">
        <f>HYPERLINK("http://www.ofsted.gov.uk/inspection-reports/find-inspection-report/provider/ELS/58277","Ofsted FES Webpage")</f>
        <v>Ofsted FES Webpage</v>
      </c>
      <c r="B545" t="s">
        <v>737</v>
      </c>
      <c r="C545">
        <v>58277</v>
      </c>
      <c r="D545">
        <v>118148</v>
      </c>
      <c r="E545" t="s">
        <v>234</v>
      </c>
      <c r="F545" t="s">
        <v>16</v>
      </c>
      <c r="G545" t="s">
        <v>17</v>
      </c>
      <c r="H545" s="2">
        <v>41820</v>
      </c>
      <c r="I545" s="2">
        <v>41824</v>
      </c>
      <c r="J545" t="s">
        <v>27</v>
      </c>
      <c r="K545" s="2">
        <v>41856.13544517361</v>
      </c>
      <c r="L545" t="s">
        <v>29</v>
      </c>
      <c r="M545">
        <v>434054</v>
      </c>
      <c r="N545">
        <v>2</v>
      </c>
      <c r="O545">
        <v>2</v>
      </c>
      <c r="P545">
        <v>3</v>
      </c>
      <c r="Q545">
        <v>3</v>
      </c>
      <c r="R545">
        <v>1856</v>
      </c>
      <c r="S545" t="s">
        <v>3839</v>
      </c>
      <c r="T545" t="s">
        <v>3840</v>
      </c>
      <c r="U545" t="s">
        <v>3248</v>
      </c>
      <c r="X545" t="s">
        <v>1918</v>
      </c>
    </row>
    <row r="546" spans="1:24" ht="12.75">
      <c r="A546" s="1" t="str">
        <f>HYPERLINK("http://www.ofsted.gov.uk/inspection-reports/find-inspection-report/provider/ELS/58290","Ofsted FES Webpage")</f>
        <v>Ofsted FES Webpage</v>
      </c>
      <c r="B546" t="s">
        <v>738</v>
      </c>
      <c r="C546">
        <v>58290</v>
      </c>
      <c r="D546">
        <v>117275</v>
      </c>
      <c r="E546" t="s">
        <v>401</v>
      </c>
      <c r="F546" t="s">
        <v>39</v>
      </c>
      <c r="G546" t="s">
        <v>40</v>
      </c>
      <c r="H546" s="2">
        <v>40925</v>
      </c>
      <c r="I546" s="2">
        <v>40928</v>
      </c>
      <c r="J546" t="s">
        <v>23</v>
      </c>
      <c r="K546" s="2">
        <v>40963.13570825232</v>
      </c>
      <c r="L546" t="s">
        <v>45</v>
      </c>
      <c r="M546">
        <v>385042</v>
      </c>
      <c r="N546">
        <v>2</v>
      </c>
      <c r="O546">
        <v>1</v>
      </c>
      <c r="P546" t="s">
        <v>20</v>
      </c>
      <c r="Q546" t="s">
        <v>20</v>
      </c>
      <c r="R546">
        <v>197</v>
      </c>
      <c r="S546" t="s">
        <v>3841</v>
      </c>
      <c r="T546" t="s">
        <v>3842</v>
      </c>
      <c r="U546" t="s">
        <v>401</v>
      </c>
      <c r="X546" t="s">
        <v>1919</v>
      </c>
    </row>
    <row r="547" spans="1:24" ht="12.75">
      <c r="A547" s="1" t="str">
        <f>HYPERLINK("http://www.ofsted.gov.uk/inspection-reports/find-inspection-report/provider/ELS/58323","Ofsted FES Webpage")</f>
        <v>Ofsted FES Webpage</v>
      </c>
      <c r="B547" t="s">
        <v>739</v>
      </c>
      <c r="C547">
        <v>58323</v>
      </c>
      <c r="D547">
        <v>118246</v>
      </c>
      <c r="E547" t="s">
        <v>59</v>
      </c>
      <c r="F547" t="s">
        <v>43</v>
      </c>
      <c r="G547" t="s">
        <v>17</v>
      </c>
      <c r="H547" s="2">
        <v>40029</v>
      </c>
      <c r="I547" s="2">
        <v>40032</v>
      </c>
      <c r="J547" t="s">
        <v>44</v>
      </c>
      <c r="K547" s="2">
        <v>40077.13548414352</v>
      </c>
      <c r="L547" t="s">
        <v>141</v>
      </c>
      <c r="M547">
        <v>333270</v>
      </c>
      <c r="N547">
        <v>2</v>
      </c>
      <c r="O547">
        <v>3</v>
      </c>
      <c r="P547" t="s">
        <v>20</v>
      </c>
      <c r="Q547" t="s">
        <v>20</v>
      </c>
      <c r="R547">
        <v>15</v>
      </c>
      <c r="S547" t="s">
        <v>3844</v>
      </c>
      <c r="T547" t="s">
        <v>2531</v>
      </c>
      <c r="U547" t="s">
        <v>2935</v>
      </c>
      <c r="X547" t="s">
        <v>1495</v>
      </c>
    </row>
    <row r="548" spans="1:24" ht="12.75">
      <c r="A548" s="1" t="str">
        <f>HYPERLINK("http://www.ofsted.gov.uk/inspection-reports/find-inspection-report/provider/ELS/58340","Ofsted FES Webpage")</f>
        <v>Ofsted FES Webpage</v>
      </c>
      <c r="B548" t="s">
        <v>740</v>
      </c>
      <c r="C548">
        <v>58340</v>
      </c>
      <c r="D548">
        <v>118131</v>
      </c>
      <c r="E548" t="s">
        <v>77</v>
      </c>
      <c r="F548" t="s">
        <v>35</v>
      </c>
      <c r="G548" t="s">
        <v>17</v>
      </c>
      <c r="H548" s="2">
        <v>41442</v>
      </c>
      <c r="I548" s="2">
        <v>41446</v>
      </c>
      <c r="J548" t="s">
        <v>32</v>
      </c>
      <c r="K548" s="2">
        <v>41481.13551299769</v>
      </c>
      <c r="L548" t="s">
        <v>29</v>
      </c>
      <c r="M548">
        <v>410653</v>
      </c>
      <c r="N548">
        <v>3</v>
      </c>
      <c r="O548">
        <v>3</v>
      </c>
      <c r="P548">
        <v>3</v>
      </c>
      <c r="Q548">
        <v>3</v>
      </c>
      <c r="R548">
        <v>970</v>
      </c>
      <c r="S548" t="s">
        <v>3219</v>
      </c>
      <c r="T548" t="s">
        <v>3845</v>
      </c>
      <c r="U548" t="s">
        <v>3846</v>
      </c>
      <c r="V548" t="s">
        <v>35</v>
      </c>
      <c r="X548" t="s">
        <v>1920</v>
      </c>
    </row>
    <row r="549" spans="1:24" ht="12.75">
      <c r="A549" s="1" t="str">
        <f>HYPERLINK("http://www.ofsted.gov.uk/inspection-reports/find-inspection-report/provider/ELS/58362","Ofsted FES Webpage")</f>
        <v>Ofsted FES Webpage</v>
      </c>
      <c r="B549" t="s">
        <v>741</v>
      </c>
      <c r="C549">
        <v>58362</v>
      </c>
      <c r="D549">
        <v>117665</v>
      </c>
      <c r="E549" t="s">
        <v>99</v>
      </c>
      <c r="F549" t="s">
        <v>43</v>
      </c>
      <c r="G549" t="s">
        <v>17</v>
      </c>
      <c r="H549" s="2">
        <v>39790</v>
      </c>
      <c r="I549" s="2">
        <v>39793</v>
      </c>
      <c r="J549" t="s">
        <v>44</v>
      </c>
      <c r="K549" s="2">
        <v>39833.13556577546</v>
      </c>
      <c r="L549" t="s">
        <v>141</v>
      </c>
      <c r="M549">
        <v>330084</v>
      </c>
      <c r="N549">
        <v>2</v>
      </c>
      <c r="O549">
        <v>2</v>
      </c>
      <c r="P549" t="s">
        <v>20</v>
      </c>
      <c r="Q549" t="s">
        <v>20</v>
      </c>
      <c r="R549">
        <v>1751</v>
      </c>
      <c r="S549" t="s">
        <v>3847</v>
      </c>
      <c r="T549" t="s">
        <v>2798</v>
      </c>
      <c r="U549" t="s">
        <v>2799</v>
      </c>
      <c r="X549" t="s">
        <v>1445</v>
      </c>
    </row>
    <row r="550" spans="1:24" ht="12.75">
      <c r="A550" s="1" t="str">
        <f>HYPERLINK("http://www.ofsted.gov.uk/inspection-reports/find-inspection-report/provider/ELS/58367","Ofsted FES Webpage")</f>
        <v>Ofsted FES Webpage</v>
      </c>
      <c r="B550" t="s">
        <v>742</v>
      </c>
      <c r="C550">
        <v>58367</v>
      </c>
      <c r="D550">
        <v>118112</v>
      </c>
      <c r="E550" t="s">
        <v>460</v>
      </c>
      <c r="F550" t="s">
        <v>35</v>
      </c>
      <c r="G550" t="s">
        <v>17</v>
      </c>
      <c r="H550" s="2">
        <v>41051</v>
      </c>
      <c r="I550" s="2">
        <v>41053</v>
      </c>
      <c r="J550" t="s">
        <v>23</v>
      </c>
      <c r="K550" s="2">
        <v>41092.13557549768</v>
      </c>
      <c r="L550" t="s">
        <v>19</v>
      </c>
      <c r="M550">
        <v>393644</v>
      </c>
      <c r="N550">
        <v>2</v>
      </c>
      <c r="O550">
        <v>2</v>
      </c>
      <c r="P550">
        <v>2</v>
      </c>
      <c r="Q550">
        <v>2</v>
      </c>
      <c r="R550">
        <v>516</v>
      </c>
      <c r="S550" t="s">
        <v>3848</v>
      </c>
      <c r="T550" t="s">
        <v>3849</v>
      </c>
      <c r="U550" t="s">
        <v>35</v>
      </c>
      <c r="X550" t="s">
        <v>1921</v>
      </c>
    </row>
    <row r="551" spans="1:24" ht="12.75">
      <c r="A551" s="1" t="str">
        <f>HYPERLINK("http://www.ofsted.gov.uk/inspection-reports/find-inspection-report/provider/ELS/58370","Ofsted FES Webpage")</f>
        <v>Ofsted FES Webpage</v>
      </c>
      <c r="B551" t="s">
        <v>743</v>
      </c>
      <c r="C551">
        <v>58370</v>
      </c>
      <c r="D551">
        <v>118169</v>
      </c>
      <c r="E551" t="s">
        <v>85</v>
      </c>
      <c r="F551" t="s">
        <v>35</v>
      </c>
      <c r="G551" t="s">
        <v>17</v>
      </c>
      <c r="H551" s="2">
        <v>40036</v>
      </c>
      <c r="I551" s="2">
        <v>40039</v>
      </c>
      <c r="J551" t="s">
        <v>44</v>
      </c>
      <c r="K551" s="2">
        <v>40084.13547908565</v>
      </c>
      <c r="L551" t="s">
        <v>141</v>
      </c>
      <c r="M551">
        <v>333284</v>
      </c>
      <c r="N551">
        <v>2</v>
      </c>
      <c r="O551">
        <v>2</v>
      </c>
      <c r="P551" t="s">
        <v>20</v>
      </c>
      <c r="Q551" t="s">
        <v>20</v>
      </c>
      <c r="R551">
        <v>1235</v>
      </c>
      <c r="S551" t="s">
        <v>3850</v>
      </c>
      <c r="T551" t="s">
        <v>35</v>
      </c>
      <c r="X551" t="s">
        <v>1922</v>
      </c>
    </row>
    <row r="552" spans="1:24" ht="12.75">
      <c r="A552" s="1" t="str">
        <f>HYPERLINK("http://www.ofsted.gov.uk/inspection-reports/find-inspection-report/provider/ELS/58380","Ofsted FES Webpage")</f>
        <v>Ofsted FES Webpage</v>
      </c>
      <c r="B552" t="s">
        <v>744</v>
      </c>
      <c r="C552">
        <v>58380</v>
      </c>
      <c r="D552">
        <v>116135</v>
      </c>
      <c r="E552" t="s">
        <v>15</v>
      </c>
      <c r="F552" t="s">
        <v>16</v>
      </c>
      <c r="G552" t="s">
        <v>40</v>
      </c>
      <c r="H552" s="2">
        <v>41618</v>
      </c>
      <c r="I552" s="2">
        <v>41621</v>
      </c>
      <c r="J552" t="s">
        <v>27</v>
      </c>
      <c r="K552" s="2">
        <v>41654.135448726855</v>
      </c>
      <c r="L552" t="s">
        <v>45</v>
      </c>
      <c r="M552">
        <v>410628</v>
      </c>
      <c r="N552">
        <v>2</v>
      </c>
      <c r="O552">
        <v>2</v>
      </c>
      <c r="P552">
        <v>3</v>
      </c>
      <c r="Q552">
        <v>3</v>
      </c>
      <c r="R552">
        <v>1248</v>
      </c>
      <c r="S552" t="s">
        <v>3851</v>
      </c>
      <c r="T552" t="s">
        <v>15</v>
      </c>
      <c r="X552" t="s">
        <v>1923</v>
      </c>
    </row>
    <row r="553" spans="1:24" ht="12.75">
      <c r="A553" s="1" t="str">
        <f>HYPERLINK("http://www.ofsted.gov.uk/inspection-reports/find-inspection-report/provider/ELS/58383","Ofsted FES Webpage")</f>
        <v>Ofsted FES Webpage</v>
      </c>
      <c r="B553" t="s">
        <v>745</v>
      </c>
      <c r="C553">
        <v>58383</v>
      </c>
      <c r="D553">
        <v>115411</v>
      </c>
      <c r="E553" t="s">
        <v>99</v>
      </c>
      <c r="F553" t="s">
        <v>43</v>
      </c>
      <c r="G553" t="s">
        <v>40</v>
      </c>
      <c r="H553" s="2">
        <v>41555</v>
      </c>
      <c r="I553" s="2">
        <v>41558</v>
      </c>
      <c r="J553" t="s">
        <v>27</v>
      </c>
      <c r="K553" s="2">
        <v>41593.13549008102</v>
      </c>
      <c r="L553" t="s">
        <v>36</v>
      </c>
      <c r="M553">
        <v>423836</v>
      </c>
      <c r="N553">
        <v>3</v>
      </c>
      <c r="O553">
        <v>3</v>
      </c>
      <c r="P553" t="s">
        <v>20</v>
      </c>
      <c r="Q553" t="s">
        <v>20</v>
      </c>
      <c r="R553">
        <v>27</v>
      </c>
      <c r="S553" t="s">
        <v>2416</v>
      </c>
      <c r="T553" t="s">
        <v>3454</v>
      </c>
      <c r="U553" t="s">
        <v>3455</v>
      </c>
      <c r="V553" t="s">
        <v>99</v>
      </c>
      <c r="X553" t="s">
        <v>1924</v>
      </c>
    </row>
    <row r="554" spans="1:24" ht="12.75">
      <c r="A554" s="1" t="str">
        <f>HYPERLINK("http://www.ofsted.gov.uk/inspection-reports/find-inspection-report/provider/ELS/58385","Ofsted FES Webpage")</f>
        <v>Ofsted FES Webpage</v>
      </c>
      <c r="B554" t="s">
        <v>746</v>
      </c>
      <c r="C554">
        <v>58385</v>
      </c>
      <c r="D554">
        <v>118233</v>
      </c>
      <c r="E554" t="s">
        <v>104</v>
      </c>
      <c r="F554" t="s">
        <v>43</v>
      </c>
      <c r="G554" t="s">
        <v>17</v>
      </c>
      <c r="H554" s="2">
        <v>41716</v>
      </c>
      <c r="I554" s="2">
        <v>41719</v>
      </c>
      <c r="J554" t="s">
        <v>27</v>
      </c>
      <c r="K554" s="2">
        <v>41758.13555494213</v>
      </c>
      <c r="L554" t="s">
        <v>36</v>
      </c>
      <c r="M554">
        <v>429102</v>
      </c>
      <c r="N554">
        <v>2</v>
      </c>
      <c r="O554">
        <v>2</v>
      </c>
      <c r="P554">
        <v>3</v>
      </c>
      <c r="Q554">
        <v>3</v>
      </c>
      <c r="R554">
        <v>266</v>
      </c>
      <c r="S554" t="s">
        <v>3853</v>
      </c>
      <c r="T554" t="s">
        <v>3679</v>
      </c>
      <c r="X554" t="s">
        <v>1925</v>
      </c>
    </row>
    <row r="555" spans="1:24" ht="12.75">
      <c r="A555" s="1" t="str">
        <f>HYPERLINK("http://www.ofsted.gov.uk/inspection-reports/find-inspection-report/provider/ELS/58395","Ofsted FES Webpage")</f>
        <v>Ofsted FES Webpage</v>
      </c>
      <c r="B555" t="s">
        <v>747</v>
      </c>
      <c r="C555">
        <v>58395</v>
      </c>
      <c r="D555">
        <v>118282</v>
      </c>
      <c r="E555" t="s">
        <v>213</v>
      </c>
      <c r="F555" t="s">
        <v>49</v>
      </c>
      <c r="G555" t="s">
        <v>160</v>
      </c>
      <c r="H555" s="2">
        <v>40050</v>
      </c>
      <c r="I555" s="2">
        <v>40053</v>
      </c>
      <c r="J555" t="s">
        <v>44</v>
      </c>
      <c r="K555" s="2">
        <v>40098.1355025463</v>
      </c>
      <c r="L555" t="s">
        <v>29</v>
      </c>
      <c r="M555">
        <v>332084</v>
      </c>
      <c r="N555">
        <v>2</v>
      </c>
      <c r="O555">
        <v>2</v>
      </c>
      <c r="P555" t="s">
        <v>20</v>
      </c>
      <c r="Q555" t="s">
        <v>20</v>
      </c>
      <c r="R555">
        <v>1724</v>
      </c>
      <c r="S555" t="s">
        <v>3854</v>
      </c>
      <c r="T555" t="s">
        <v>3855</v>
      </c>
      <c r="U555" t="s">
        <v>2689</v>
      </c>
      <c r="X555" t="s">
        <v>1926</v>
      </c>
    </row>
    <row r="556" spans="1:24" ht="12.75">
      <c r="A556" s="1" t="str">
        <f>HYPERLINK("http://www.ofsted.gov.uk/inspection-reports/find-inspection-report/provider/ELS/58397","Ofsted FES Webpage")</f>
        <v>Ofsted FES Webpage</v>
      </c>
      <c r="B556" t="s">
        <v>748</v>
      </c>
      <c r="C556">
        <v>58397</v>
      </c>
      <c r="D556">
        <v>118211</v>
      </c>
      <c r="E556" t="s">
        <v>397</v>
      </c>
      <c r="F556" t="s">
        <v>16</v>
      </c>
      <c r="G556" t="s">
        <v>17</v>
      </c>
      <c r="H556" s="2">
        <v>40819</v>
      </c>
      <c r="I556" s="2">
        <v>40822</v>
      </c>
      <c r="J556" t="s">
        <v>23</v>
      </c>
      <c r="K556" s="2">
        <v>40857.135473298615</v>
      </c>
      <c r="L556" t="s">
        <v>29</v>
      </c>
      <c r="M556">
        <v>376203</v>
      </c>
      <c r="N556">
        <v>2</v>
      </c>
      <c r="O556">
        <v>2</v>
      </c>
      <c r="P556">
        <v>3</v>
      </c>
      <c r="Q556">
        <v>3</v>
      </c>
      <c r="R556">
        <v>723</v>
      </c>
      <c r="S556" t="s">
        <v>3856</v>
      </c>
      <c r="T556" t="s">
        <v>2687</v>
      </c>
      <c r="U556" t="s">
        <v>397</v>
      </c>
      <c r="X556" t="s">
        <v>1585</v>
      </c>
    </row>
    <row r="557" spans="1:24" ht="12.75">
      <c r="A557" s="1" t="str">
        <f>HYPERLINK("http://www.ofsted.gov.uk/inspection-reports/find-inspection-report/provider/ELS/58400","Ofsted FES Webpage")</f>
        <v>Ofsted FES Webpage</v>
      </c>
      <c r="B557" t="s">
        <v>749</v>
      </c>
      <c r="C557">
        <v>58400</v>
      </c>
      <c r="D557">
        <v>118269</v>
      </c>
      <c r="E557" t="s">
        <v>67</v>
      </c>
      <c r="F557" t="s">
        <v>68</v>
      </c>
      <c r="G557" t="s">
        <v>40</v>
      </c>
      <c r="H557" s="8">
        <v>41863</v>
      </c>
      <c r="I557" s="9">
        <v>41866</v>
      </c>
      <c r="J557" s="8" t="s">
        <v>27</v>
      </c>
      <c r="K557" s="9">
        <v>41899.13545763889</v>
      </c>
      <c r="L557" s="10" t="s">
        <v>36</v>
      </c>
      <c r="M557" s="10">
        <v>404560</v>
      </c>
      <c r="N557">
        <v>2</v>
      </c>
      <c r="O557">
        <v>2</v>
      </c>
      <c r="P557">
        <v>3</v>
      </c>
      <c r="Q557">
        <v>3</v>
      </c>
      <c r="R557">
        <v>223</v>
      </c>
      <c r="T557" t="s">
        <v>3857</v>
      </c>
      <c r="U557" t="s">
        <v>67</v>
      </c>
      <c r="X557" t="s">
        <v>1927</v>
      </c>
    </row>
    <row r="558" spans="1:24" ht="12.75">
      <c r="A558" s="1" t="str">
        <f>HYPERLINK("http://www.ofsted.gov.uk/inspection-reports/find-inspection-report/provider/ELS/58403","Ofsted FES Webpage")</f>
        <v>Ofsted FES Webpage</v>
      </c>
      <c r="B558" t="s">
        <v>750</v>
      </c>
      <c r="C558">
        <v>58403</v>
      </c>
      <c r="D558">
        <v>112415</v>
      </c>
      <c r="E558" t="s">
        <v>516</v>
      </c>
      <c r="F558" t="s">
        <v>43</v>
      </c>
      <c r="G558" t="s">
        <v>160</v>
      </c>
      <c r="H558" s="2">
        <v>39846</v>
      </c>
      <c r="I558" s="2">
        <v>39850</v>
      </c>
      <c r="J558" t="s">
        <v>44</v>
      </c>
      <c r="K558" s="2">
        <v>39882.135577546294</v>
      </c>
      <c r="L558" t="s">
        <v>29</v>
      </c>
      <c r="M558">
        <v>330255</v>
      </c>
      <c r="N558">
        <v>2</v>
      </c>
      <c r="O558">
        <v>2</v>
      </c>
      <c r="P558" t="s">
        <v>20</v>
      </c>
      <c r="Q558" t="s">
        <v>20</v>
      </c>
      <c r="R558">
        <v>4129</v>
      </c>
      <c r="S558" t="s">
        <v>3858</v>
      </c>
      <c r="T558" t="s">
        <v>3859</v>
      </c>
      <c r="U558" t="s">
        <v>3860</v>
      </c>
      <c r="V558" t="s">
        <v>3861</v>
      </c>
      <c r="W558" t="s">
        <v>516</v>
      </c>
      <c r="X558" t="s">
        <v>1928</v>
      </c>
    </row>
    <row r="559" spans="1:24" ht="12.75">
      <c r="A559" s="1" t="str">
        <f>HYPERLINK("http://www.ofsted.gov.uk/inspection-reports/find-inspection-report/provider/ELS/58437","Ofsted FES Webpage")</f>
        <v>Ofsted FES Webpage</v>
      </c>
      <c r="B559" t="s">
        <v>751</v>
      </c>
      <c r="C559">
        <v>58437</v>
      </c>
      <c r="D559">
        <v>124707</v>
      </c>
      <c r="E559" t="s">
        <v>199</v>
      </c>
      <c r="F559" t="s">
        <v>63</v>
      </c>
      <c r="G559" t="s">
        <v>40</v>
      </c>
      <c r="H559" s="2">
        <v>41386</v>
      </c>
      <c r="I559" s="2">
        <v>41390</v>
      </c>
      <c r="J559" t="s">
        <v>32</v>
      </c>
      <c r="K559" s="2">
        <v>41417.13573700232</v>
      </c>
      <c r="L559" t="s">
        <v>29</v>
      </c>
      <c r="M559">
        <v>410651</v>
      </c>
      <c r="N559">
        <v>3</v>
      </c>
      <c r="O559">
        <v>3</v>
      </c>
      <c r="P559">
        <v>3</v>
      </c>
      <c r="Q559">
        <v>3</v>
      </c>
      <c r="R559">
        <v>666</v>
      </c>
      <c r="S559" t="s">
        <v>3862</v>
      </c>
      <c r="T559" t="s">
        <v>3863</v>
      </c>
      <c r="W559" t="s">
        <v>2484</v>
      </c>
      <c r="X559" t="s">
        <v>1929</v>
      </c>
    </row>
    <row r="560" spans="1:24" ht="12.75">
      <c r="A560" s="1" t="str">
        <f>HYPERLINK("http://www.ofsted.gov.uk/inspection-reports/find-inspection-report/provider/ELS/58444","Ofsted FES Webpage")</f>
        <v>Ofsted FES Webpage</v>
      </c>
      <c r="B560" t="s">
        <v>752</v>
      </c>
      <c r="C560">
        <v>58444</v>
      </c>
      <c r="D560">
        <v>118356</v>
      </c>
      <c r="E560" t="s">
        <v>399</v>
      </c>
      <c r="F560" t="s">
        <v>16</v>
      </c>
      <c r="G560" t="s">
        <v>17</v>
      </c>
      <c r="H560" s="2">
        <v>41610</v>
      </c>
      <c r="I560" s="2">
        <v>41614</v>
      </c>
      <c r="J560" t="s">
        <v>27</v>
      </c>
      <c r="K560" s="2">
        <v>41654.13560069445</v>
      </c>
      <c r="L560" t="s">
        <v>29</v>
      </c>
      <c r="M560">
        <v>429004</v>
      </c>
      <c r="N560">
        <v>2</v>
      </c>
      <c r="O560">
        <v>2</v>
      </c>
      <c r="P560">
        <v>2</v>
      </c>
      <c r="Q560">
        <v>2</v>
      </c>
      <c r="R560">
        <v>1297</v>
      </c>
      <c r="S560" t="s">
        <v>2504</v>
      </c>
      <c r="T560" t="s">
        <v>3864</v>
      </c>
      <c r="U560" t="s">
        <v>3181</v>
      </c>
      <c r="V560" t="s">
        <v>397</v>
      </c>
      <c r="X560" t="s">
        <v>1930</v>
      </c>
    </row>
    <row r="561" spans="1:24" ht="12.75">
      <c r="A561" s="1" t="str">
        <f>HYPERLINK("http://www.ofsted.gov.uk/inspection-reports/find-inspection-report/provider/ELS/58456","Ofsted FES Webpage")</f>
        <v>Ofsted FES Webpage</v>
      </c>
      <c r="B561" t="s">
        <v>753</v>
      </c>
      <c r="C561">
        <v>58456</v>
      </c>
      <c r="D561">
        <v>118381</v>
      </c>
      <c r="E561" t="s">
        <v>82</v>
      </c>
      <c r="F561" t="s">
        <v>43</v>
      </c>
      <c r="G561" t="s">
        <v>160</v>
      </c>
      <c r="H561" s="2">
        <v>41226</v>
      </c>
      <c r="I561" s="2">
        <v>41229</v>
      </c>
      <c r="J561" t="s">
        <v>32</v>
      </c>
      <c r="K561" s="2">
        <v>41264.135726967594</v>
      </c>
      <c r="L561" t="s">
        <v>29</v>
      </c>
      <c r="M561">
        <v>404571</v>
      </c>
      <c r="N561">
        <v>2</v>
      </c>
      <c r="O561">
        <v>2</v>
      </c>
      <c r="P561">
        <v>3</v>
      </c>
      <c r="Q561">
        <v>3</v>
      </c>
      <c r="R561">
        <v>327</v>
      </c>
      <c r="S561" t="s">
        <v>3865</v>
      </c>
      <c r="T561" t="s">
        <v>3866</v>
      </c>
      <c r="U561" t="s">
        <v>82</v>
      </c>
      <c r="X561" t="s">
        <v>1931</v>
      </c>
    </row>
    <row r="562" spans="1:24" ht="12.75">
      <c r="A562" s="1" t="str">
        <f>HYPERLINK("http://www.ofsted.gov.uk/inspection-reports/find-inspection-report/provider/ELS/58461","Ofsted FES Webpage")</f>
        <v>Ofsted FES Webpage</v>
      </c>
      <c r="B562" t="s">
        <v>754</v>
      </c>
      <c r="C562">
        <v>58461</v>
      </c>
      <c r="D562">
        <v>117972</v>
      </c>
      <c r="E562" t="s">
        <v>446</v>
      </c>
      <c r="F562" t="s">
        <v>68</v>
      </c>
      <c r="G562" t="s">
        <v>17</v>
      </c>
      <c r="H562" s="2">
        <v>41828</v>
      </c>
      <c r="I562" s="2">
        <v>41831</v>
      </c>
      <c r="J562" t="s">
        <v>27</v>
      </c>
      <c r="K562" s="2">
        <v>41862.13546755787</v>
      </c>
      <c r="L562" t="s">
        <v>36</v>
      </c>
      <c r="M562">
        <v>446610</v>
      </c>
      <c r="N562">
        <v>4</v>
      </c>
      <c r="O562">
        <v>4</v>
      </c>
      <c r="P562">
        <v>2</v>
      </c>
      <c r="Q562">
        <v>2</v>
      </c>
      <c r="R562">
        <v>312</v>
      </c>
      <c r="S562" t="s">
        <v>3868</v>
      </c>
      <c r="T562" t="s">
        <v>446</v>
      </c>
      <c r="X562" t="s">
        <v>1932</v>
      </c>
    </row>
    <row r="563" spans="1:24" ht="12.75">
      <c r="A563" s="1" t="str">
        <f>HYPERLINK("http://www.ofsted.gov.uk/inspection-reports/find-inspection-report/provider/ELS/58464","Ofsted FES Webpage")</f>
        <v>Ofsted FES Webpage</v>
      </c>
      <c r="B563" t="s">
        <v>755</v>
      </c>
      <c r="C563">
        <v>58464</v>
      </c>
      <c r="D563">
        <v>118288</v>
      </c>
      <c r="E563" t="s">
        <v>114</v>
      </c>
      <c r="F563" t="s">
        <v>26</v>
      </c>
      <c r="G563" t="s">
        <v>17</v>
      </c>
      <c r="H563" s="2">
        <v>40287</v>
      </c>
      <c r="I563" s="2">
        <v>40291</v>
      </c>
      <c r="J563" t="s">
        <v>18</v>
      </c>
      <c r="K563" s="2">
        <v>40327.13551030093</v>
      </c>
      <c r="L563" t="s">
        <v>141</v>
      </c>
      <c r="M563">
        <v>345909</v>
      </c>
      <c r="N563">
        <v>2</v>
      </c>
      <c r="O563">
        <v>2</v>
      </c>
      <c r="P563" t="s">
        <v>20</v>
      </c>
      <c r="Q563" t="s">
        <v>20</v>
      </c>
      <c r="R563">
        <v>1859</v>
      </c>
      <c r="S563" t="s">
        <v>3762</v>
      </c>
      <c r="T563" t="s">
        <v>3763</v>
      </c>
      <c r="U563" t="s">
        <v>3339</v>
      </c>
      <c r="X563" t="s">
        <v>1884</v>
      </c>
    </row>
    <row r="564" spans="1:24" ht="12.75">
      <c r="A564" s="1" t="str">
        <f>HYPERLINK("http://www.ofsted.gov.uk/inspection-reports/find-inspection-report/provider/ELS/58468","Ofsted FES Webpage")</f>
        <v>Ofsted FES Webpage</v>
      </c>
      <c r="B564" t="s">
        <v>756</v>
      </c>
      <c r="C564">
        <v>58468</v>
      </c>
      <c r="D564">
        <v>118245</v>
      </c>
      <c r="E564" t="s">
        <v>170</v>
      </c>
      <c r="F564" t="s">
        <v>68</v>
      </c>
      <c r="G564" t="s">
        <v>17</v>
      </c>
      <c r="H564" s="2">
        <v>41723</v>
      </c>
      <c r="I564" s="2">
        <v>41726</v>
      </c>
      <c r="J564" t="s">
        <v>27</v>
      </c>
      <c r="K564" s="2">
        <v>41779.13548457176</v>
      </c>
      <c r="L564" t="s">
        <v>36</v>
      </c>
      <c r="M564">
        <v>434043</v>
      </c>
      <c r="N564">
        <v>2</v>
      </c>
      <c r="O564">
        <v>2</v>
      </c>
      <c r="P564">
        <v>3</v>
      </c>
      <c r="Q564">
        <v>3</v>
      </c>
      <c r="R564">
        <v>171</v>
      </c>
      <c r="S564" t="s">
        <v>3869</v>
      </c>
      <c r="T564" t="s">
        <v>3870</v>
      </c>
      <c r="U564" t="s">
        <v>3041</v>
      </c>
      <c r="X564" t="s">
        <v>1933</v>
      </c>
    </row>
    <row r="565" spans="1:24" ht="12.75">
      <c r="A565" s="1" t="str">
        <f>HYPERLINK("http://www.ofsted.gov.uk/inspection-reports/find-inspection-report/provider/ELS/58469","Ofsted FES Webpage")</f>
        <v>Ofsted FES Webpage</v>
      </c>
      <c r="B565" t="s">
        <v>757</v>
      </c>
      <c r="C565">
        <v>58469</v>
      </c>
      <c r="D565">
        <v>118575</v>
      </c>
      <c r="E565" t="s">
        <v>446</v>
      </c>
      <c r="F565" t="s">
        <v>68</v>
      </c>
      <c r="G565" t="s">
        <v>225</v>
      </c>
      <c r="H565" s="2">
        <v>41575</v>
      </c>
      <c r="I565" s="2">
        <v>41579</v>
      </c>
      <c r="J565" t="s">
        <v>27</v>
      </c>
      <c r="K565" s="2">
        <v>41614.13547395833</v>
      </c>
      <c r="L565" t="s">
        <v>226</v>
      </c>
      <c r="M565">
        <v>422636</v>
      </c>
      <c r="N565">
        <v>2</v>
      </c>
      <c r="O565">
        <v>2</v>
      </c>
      <c r="P565">
        <v>2</v>
      </c>
      <c r="Q565">
        <v>2</v>
      </c>
      <c r="R565" t="s">
        <v>20</v>
      </c>
      <c r="S565" t="s">
        <v>3871</v>
      </c>
      <c r="T565" t="s">
        <v>3872</v>
      </c>
      <c r="U565" t="s">
        <v>446</v>
      </c>
      <c r="X565" t="s">
        <v>1934</v>
      </c>
    </row>
    <row r="566" spans="1:24" ht="12.75">
      <c r="A566" s="1" t="str">
        <f>HYPERLINK("http://www.ofsted.gov.uk/inspection-reports/find-inspection-report/provider/ELS/58472","Ofsted FES Webpage")</f>
        <v>Ofsted FES Webpage</v>
      </c>
      <c r="B566" t="s">
        <v>758</v>
      </c>
      <c r="C566">
        <v>58472</v>
      </c>
      <c r="D566">
        <v>117799</v>
      </c>
      <c r="E566" t="s">
        <v>686</v>
      </c>
      <c r="F566" t="s">
        <v>26</v>
      </c>
      <c r="G566" t="s">
        <v>17</v>
      </c>
      <c r="H566" s="2">
        <v>41820</v>
      </c>
      <c r="I566" s="2">
        <v>41824</v>
      </c>
      <c r="J566" t="s">
        <v>27</v>
      </c>
      <c r="K566" s="2">
        <v>41857.1354571412</v>
      </c>
      <c r="L566" t="s">
        <v>60</v>
      </c>
      <c r="M566">
        <v>429265</v>
      </c>
      <c r="N566">
        <v>2</v>
      </c>
      <c r="O566">
        <v>2</v>
      </c>
      <c r="P566">
        <v>3</v>
      </c>
      <c r="Q566">
        <v>3</v>
      </c>
      <c r="R566">
        <v>1889</v>
      </c>
      <c r="S566" t="s">
        <v>3873</v>
      </c>
      <c r="T566" t="s">
        <v>3874</v>
      </c>
      <c r="U566" t="s">
        <v>3875</v>
      </c>
      <c r="V566" t="s">
        <v>686</v>
      </c>
      <c r="X566" t="s">
        <v>1935</v>
      </c>
    </row>
    <row r="567" spans="1:24" ht="12.75">
      <c r="A567" s="1" t="str">
        <f>HYPERLINK("http://www.ofsted.gov.uk/inspection-reports/find-inspection-report/provider/ELS/58504","Ofsted FES Webpage")</f>
        <v>Ofsted FES Webpage</v>
      </c>
      <c r="B567" t="s">
        <v>759</v>
      </c>
      <c r="C567">
        <v>58504</v>
      </c>
      <c r="D567">
        <v>112602</v>
      </c>
      <c r="E567" t="s">
        <v>70</v>
      </c>
      <c r="F567" t="s">
        <v>39</v>
      </c>
      <c r="G567" t="s">
        <v>17</v>
      </c>
      <c r="H567" s="2">
        <v>41813</v>
      </c>
      <c r="I567" s="2">
        <v>41817</v>
      </c>
      <c r="J567" t="s">
        <v>27</v>
      </c>
      <c r="K567" s="2">
        <v>41852.135462881946</v>
      </c>
      <c r="L567" t="s">
        <v>29</v>
      </c>
      <c r="M567">
        <v>444791</v>
      </c>
      <c r="N567">
        <v>3</v>
      </c>
      <c r="O567">
        <v>3</v>
      </c>
      <c r="P567" t="s">
        <v>20</v>
      </c>
      <c r="Q567" t="s">
        <v>20</v>
      </c>
      <c r="R567">
        <v>1206</v>
      </c>
      <c r="S567" t="s">
        <v>3877</v>
      </c>
      <c r="T567" t="s">
        <v>3878</v>
      </c>
      <c r="U567" t="s">
        <v>3043</v>
      </c>
      <c r="X567" t="s">
        <v>1937</v>
      </c>
    </row>
    <row r="568" spans="1:24" ht="12.75">
      <c r="A568" s="1" t="str">
        <f>HYPERLINK("http://www.ofsted.gov.uk/inspection-reports/find-inspection-report/provider/ELS/58513","Ofsted FES Webpage")</f>
        <v>Ofsted FES Webpage</v>
      </c>
      <c r="B568" t="s">
        <v>760</v>
      </c>
      <c r="C568">
        <v>58513</v>
      </c>
      <c r="D568">
        <v>116413</v>
      </c>
      <c r="E568" t="s">
        <v>122</v>
      </c>
      <c r="F568" t="s">
        <v>35</v>
      </c>
      <c r="G568" t="s">
        <v>17</v>
      </c>
      <c r="H568" s="8">
        <v>41855</v>
      </c>
      <c r="I568" s="9">
        <v>41859</v>
      </c>
      <c r="J568" s="8" t="s">
        <v>27</v>
      </c>
      <c r="K568" s="9">
        <v>41899.13547369213</v>
      </c>
      <c r="L568" s="10" t="s">
        <v>28</v>
      </c>
      <c r="M568" s="10">
        <v>429041</v>
      </c>
      <c r="N568">
        <v>2</v>
      </c>
      <c r="O568">
        <v>2</v>
      </c>
      <c r="P568">
        <v>4</v>
      </c>
      <c r="Q568">
        <v>4</v>
      </c>
      <c r="R568">
        <v>753</v>
      </c>
      <c r="S568" t="s">
        <v>3879</v>
      </c>
      <c r="T568" t="s">
        <v>2693</v>
      </c>
      <c r="U568" t="s">
        <v>35</v>
      </c>
      <c r="X568" t="s">
        <v>1938</v>
      </c>
    </row>
    <row r="569" spans="1:24" ht="12.75">
      <c r="A569" s="1" t="str">
        <f>HYPERLINK("http://www.ofsted.gov.uk/inspection-reports/find-inspection-report/provider/ELS/58515","Ofsted FES Webpage")</f>
        <v>Ofsted FES Webpage</v>
      </c>
      <c r="B569" t="s">
        <v>761</v>
      </c>
      <c r="C569">
        <v>58515</v>
      </c>
      <c r="D569">
        <v>116433</v>
      </c>
      <c r="E569" t="s">
        <v>598</v>
      </c>
      <c r="F569" t="s">
        <v>68</v>
      </c>
      <c r="G569" t="s">
        <v>17</v>
      </c>
      <c r="H569" s="2">
        <v>40666</v>
      </c>
      <c r="I569" s="2">
        <v>40669</v>
      </c>
      <c r="J569" t="s">
        <v>56</v>
      </c>
      <c r="K569" s="2">
        <v>40707.13548005787</v>
      </c>
      <c r="L569" t="s">
        <v>141</v>
      </c>
      <c r="M569">
        <v>364590</v>
      </c>
      <c r="N569">
        <v>2</v>
      </c>
      <c r="O569">
        <v>2</v>
      </c>
      <c r="P569" t="s">
        <v>20</v>
      </c>
      <c r="Q569" t="s">
        <v>20</v>
      </c>
      <c r="R569">
        <v>968</v>
      </c>
      <c r="S569" t="s">
        <v>3880</v>
      </c>
      <c r="T569" t="s">
        <v>3881</v>
      </c>
      <c r="U569" t="s">
        <v>598</v>
      </c>
      <c r="X569" t="s">
        <v>1939</v>
      </c>
    </row>
    <row r="570" spans="1:24" ht="12.75">
      <c r="A570" s="1" t="str">
        <f>HYPERLINK("http://www.ofsted.gov.uk/inspection-reports/find-inspection-report/provider/ELS/58518","Ofsted FES Webpage")</f>
        <v>Ofsted FES Webpage</v>
      </c>
      <c r="B570" t="s">
        <v>762</v>
      </c>
      <c r="C570">
        <v>58518</v>
      </c>
      <c r="D570">
        <v>119216</v>
      </c>
      <c r="E570" t="s">
        <v>67</v>
      </c>
      <c r="F570" t="s">
        <v>68</v>
      </c>
      <c r="G570" t="s">
        <v>17</v>
      </c>
      <c r="H570" s="2">
        <v>41723</v>
      </c>
      <c r="I570" s="2">
        <v>41726</v>
      </c>
      <c r="J570" t="s">
        <v>27</v>
      </c>
      <c r="K570" s="2">
        <v>41759.135494594906</v>
      </c>
      <c r="L570" t="s">
        <v>36</v>
      </c>
      <c r="M570">
        <v>429112</v>
      </c>
      <c r="N570">
        <v>2</v>
      </c>
      <c r="O570">
        <v>2</v>
      </c>
      <c r="P570">
        <v>3</v>
      </c>
      <c r="Q570">
        <v>3</v>
      </c>
      <c r="R570">
        <v>527</v>
      </c>
      <c r="S570" t="s">
        <v>3638</v>
      </c>
      <c r="T570" t="s">
        <v>67</v>
      </c>
      <c r="X570" t="s">
        <v>1818</v>
      </c>
    </row>
    <row r="571" spans="1:24" ht="12.75">
      <c r="A571" s="1" t="str">
        <f>HYPERLINK("http://www.ofsted.gov.uk/inspection-reports/find-inspection-report/provider/ELS/58519","Ofsted FES Webpage")</f>
        <v>Ofsted FES Webpage</v>
      </c>
      <c r="B571" t="s">
        <v>763</v>
      </c>
      <c r="C571">
        <v>58519</v>
      </c>
      <c r="D571">
        <v>117658</v>
      </c>
      <c r="E571" t="s">
        <v>262</v>
      </c>
      <c r="F571" t="s">
        <v>26</v>
      </c>
      <c r="G571" t="s">
        <v>17</v>
      </c>
      <c r="H571" s="2">
        <v>41561</v>
      </c>
      <c r="I571" s="2">
        <v>41565</v>
      </c>
      <c r="J571" t="s">
        <v>27</v>
      </c>
      <c r="K571" s="2">
        <v>41599.13550405092</v>
      </c>
      <c r="L571" t="s">
        <v>29</v>
      </c>
      <c r="M571">
        <v>424464</v>
      </c>
      <c r="N571">
        <v>2</v>
      </c>
      <c r="O571">
        <v>2</v>
      </c>
      <c r="P571">
        <v>2</v>
      </c>
      <c r="Q571">
        <v>2</v>
      </c>
      <c r="R571">
        <v>1501</v>
      </c>
      <c r="S571" t="s">
        <v>3882</v>
      </c>
      <c r="T571" t="s">
        <v>3883</v>
      </c>
      <c r="U571" t="s">
        <v>262</v>
      </c>
      <c r="V571" t="s">
        <v>3048</v>
      </c>
      <c r="X571" t="s">
        <v>1940</v>
      </c>
    </row>
    <row r="572" spans="1:24" ht="12.75">
      <c r="A572" s="1" t="str">
        <f>HYPERLINK("http://www.ofsted.gov.uk/inspection-reports/find-inspection-report/provider/ELS/58521","Ofsted FES Webpage")</f>
        <v>Ofsted FES Webpage</v>
      </c>
      <c r="B572" t="s">
        <v>764</v>
      </c>
      <c r="C572">
        <v>58521</v>
      </c>
      <c r="D572">
        <v>119756</v>
      </c>
      <c r="E572" t="s">
        <v>95</v>
      </c>
      <c r="F572" t="s">
        <v>39</v>
      </c>
      <c r="G572" t="s">
        <v>17</v>
      </c>
      <c r="H572" s="2">
        <v>40567</v>
      </c>
      <c r="I572" s="2">
        <v>40570</v>
      </c>
      <c r="J572" t="s">
        <v>56</v>
      </c>
      <c r="K572" s="2">
        <v>40605.13550104167</v>
      </c>
      <c r="L572" t="s">
        <v>29</v>
      </c>
      <c r="M572">
        <v>363167</v>
      </c>
      <c r="N572">
        <v>2</v>
      </c>
      <c r="O572">
        <v>2</v>
      </c>
      <c r="P572" t="s">
        <v>20</v>
      </c>
      <c r="Q572" t="s">
        <v>20</v>
      </c>
      <c r="R572">
        <v>3548</v>
      </c>
      <c r="S572" t="s">
        <v>3884</v>
      </c>
      <c r="T572" t="s">
        <v>3885</v>
      </c>
      <c r="U572" t="s">
        <v>2778</v>
      </c>
      <c r="X572" t="s">
        <v>1941</v>
      </c>
    </row>
    <row r="573" spans="1:24" ht="12.75">
      <c r="A573" s="1" t="str">
        <f>HYPERLINK("http://www.ofsted.gov.uk/inspection-reports/find-inspection-report/provider/ELS/58534","Ofsted FES Webpage")</f>
        <v>Ofsted FES Webpage</v>
      </c>
      <c r="B573" t="s">
        <v>765</v>
      </c>
      <c r="C573">
        <v>58534</v>
      </c>
      <c r="D573">
        <v>118435</v>
      </c>
      <c r="E573" t="s">
        <v>653</v>
      </c>
      <c r="F573" t="s">
        <v>68</v>
      </c>
      <c r="G573" t="s">
        <v>17</v>
      </c>
      <c r="H573" s="2">
        <v>40477</v>
      </c>
      <c r="I573" s="2">
        <v>40480</v>
      </c>
      <c r="J573" t="s">
        <v>56</v>
      </c>
      <c r="K573" s="2">
        <v>40515.13544953704</v>
      </c>
      <c r="L573" t="s">
        <v>141</v>
      </c>
      <c r="M573">
        <v>354662</v>
      </c>
      <c r="N573">
        <v>1</v>
      </c>
      <c r="O573">
        <v>1</v>
      </c>
      <c r="P573" t="s">
        <v>20</v>
      </c>
      <c r="Q573" t="s">
        <v>20</v>
      </c>
      <c r="R573">
        <v>1075</v>
      </c>
      <c r="S573" t="s">
        <v>3886</v>
      </c>
      <c r="T573" t="s">
        <v>3887</v>
      </c>
      <c r="X573" t="s">
        <v>1942</v>
      </c>
    </row>
    <row r="574" spans="1:24" ht="12.75">
      <c r="A574" s="1" t="str">
        <f>HYPERLINK("http://www.ofsted.gov.uk/inspection-reports/find-inspection-report/provider/ELS/58550","Ofsted FES Webpage")</f>
        <v>Ofsted FES Webpage</v>
      </c>
      <c r="B574" t="s">
        <v>766</v>
      </c>
      <c r="C574">
        <v>58550</v>
      </c>
      <c r="D574">
        <v>118472</v>
      </c>
      <c r="E574" t="s">
        <v>284</v>
      </c>
      <c r="F574" t="s">
        <v>26</v>
      </c>
      <c r="G574" t="s">
        <v>17</v>
      </c>
      <c r="H574" s="2">
        <v>41120</v>
      </c>
      <c r="I574" s="2">
        <v>41124</v>
      </c>
      <c r="J574" t="s">
        <v>23</v>
      </c>
      <c r="K574" s="2">
        <v>41155.13548344908</v>
      </c>
      <c r="L574" t="s">
        <v>29</v>
      </c>
      <c r="M574">
        <v>388124</v>
      </c>
      <c r="N574">
        <v>2</v>
      </c>
      <c r="O574">
        <v>2</v>
      </c>
      <c r="P574">
        <v>2</v>
      </c>
      <c r="Q574">
        <v>2</v>
      </c>
      <c r="R574">
        <v>1019</v>
      </c>
      <c r="S574" t="s">
        <v>3753</v>
      </c>
      <c r="T574" t="s">
        <v>3754</v>
      </c>
      <c r="U574" t="s">
        <v>3755</v>
      </c>
      <c r="X574" t="s">
        <v>1879</v>
      </c>
    </row>
    <row r="575" spans="1:24" ht="12.75">
      <c r="A575" s="1" t="str">
        <f>HYPERLINK("http://www.ofsted.gov.uk/inspection-reports/find-inspection-report/provider/ELS/58551","Ofsted FES Webpage")</f>
        <v>Ofsted FES Webpage</v>
      </c>
      <c r="B575" t="s">
        <v>767</v>
      </c>
      <c r="C575">
        <v>58551</v>
      </c>
      <c r="D575">
        <v>118473</v>
      </c>
      <c r="E575" t="s">
        <v>529</v>
      </c>
      <c r="F575" t="s">
        <v>68</v>
      </c>
      <c r="G575" t="s">
        <v>17</v>
      </c>
      <c r="H575" s="2">
        <v>40385</v>
      </c>
      <c r="I575" s="2">
        <v>40388</v>
      </c>
      <c r="J575" t="s">
        <v>18</v>
      </c>
      <c r="K575" s="2">
        <v>40416.13552488426</v>
      </c>
      <c r="L575" t="s">
        <v>19</v>
      </c>
      <c r="M575">
        <v>362387</v>
      </c>
      <c r="N575">
        <v>2</v>
      </c>
      <c r="O575">
        <v>2</v>
      </c>
      <c r="P575" t="s">
        <v>20</v>
      </c>
      <c r="Q575" t="s">
        <v>20</v>
      </c>
      <c r="R575">
        <v>104</v>
      </c>
      <c r="S575" t="s">
        <v>3888</v>
      </c>
      <c r="T575" t="s">
        <v>2839</v>
      </c>
      <c r="X575" t="s">
        <v>1943</v>
      </c>
    </row>
    <row r="576" spans="1:24" ht="12.75">
      <c r="A576" s="1" t="str">
        <f>HYPERLINK("http://www.ofsted.gov.uk/inspection-reports/find-inspection-report/provider/ELS/58553","Ofsted FES Webpage")</f>
        <v>Ofsted FES Webpage</v>
      </c>
      <c r="B576" t="s">
        <v>768</v>
      </c>
      <c r="C576">
        <v>58553</v>
      </c>
      <c r="D576">
        <v>119011</v>
      </c>
      <c r="E576" t="s">
        <v>192</v>
      </c>
      <c r="F576" t="s">
        <v>43</v>
      </c>
      <c r="G576" t="s">
        <v>17</v>
      </c>
      <c r="H576" s="2">
        <v>41169</v>
      </c>
      <c r="I576" s="2">
        <v>41173</v>
      </c>
      <c r="J576" t="s">
        <v>32</v>
      </c>
      <c r="K576" s="2">
        <v>41208.13570737268</v>
      </c>
      <c r="L576" t="s">
        <v>29</v>
      </c>
      <c r="M576">
        <v>406776</v>
      </c>
      <c r="N576">
        <v>2</v>
      </c>
      <c r="O576">
        <v>2</v>
      </c>
      <c r="P576">
        <v>3</v>
      </c>
      <c r="Q576">
        <v>3</v>
      </c>
      <c r="R576">
        <v>1850</v>
      </c>
      <c r="S576" t="s">
        <v>3889</v>
      </c>
      <c r="T576" t="s">
        <v>3890</v>
      </c>
      <c r="U576" t="s">
        <v>2686</v>
      </c>
      <c r="X576" t="s">
        <v>1944</v>
      </c>
    </row>
    <row r="577" spans="1:24" ht="12.75">
      <c r="A577" s="1" t="str">
        <f>HYPERLINK("http://www.ofsted.gov.uk/inspection-reports/find-inspection-report/provider/ELS/58560","Ofsted FES Webpage")</f>
        <v>Ofsted FES Webpage</v>
      </c>
      <c r="B577" t="s">
        <v>769</v>
      </c>
      <c r="C577">
        <v>58560</v>
      </c>
      <c r="D577">
        <v>118490</v>
      </c>
      <c r="E577" t="s">
        <v>131</v>
      </c>
      <c r="F577" t="s">
        <v>63</v>
      </c>
      <c r="G577" t="s">
        <v>17</v>
      </c>
      <c r="H577" s="2">
        <v>41239</v>
      </c>
      <c r="I577" s="2">
        <v>41243</v>
      </c>
      <c r="J577" t="s">
        <v>32</v>
      </c>
      <c r="K577" s="2">
        <v>41283.13581901621</v>
      </c>
      <c r="L577" t="s">
        <v>29</v>
      </c>
      <c r="M577">
        <v>408535</v>
      </c>
      <c r="N577">
        <v>2</v>
      </c>
      <c r="O577">
        <v>2</v>
      </c>
      <c r="P577">
        <v>3</v>
      </c>
      <c r="Q577">
        <v>3</v>
      </c>
      <c r="R577">
        <v>2353</v>
      </c>
      <c r="S577" t="s">
        <v>3892</v>
      </c>
      <c r="T577" t="s">
        <v>3893</v>
      </c>
      <c r="U577" t="s">
        <v>615</v>
      </c>
      <c r="X577" t="s">
        <v>1945</v>
      </c>
    </row>
    <row r="578" spans="1:24" ht="12.75">
      <c r="A578" s="1" t="str">
        <f>HYPERLINK("http://www.ofsted.gov.uk/inspection-reports/find-inspection-report/provider/ELS/58563","Ofsted FES Webpage")</f>
        <v>Ofsted FES Webpage</v>
      </c>
      <c r="B578" t="s">
        <v>770</v>
      </c>
      <c r="C578">
        <v>58563</v>
      </c>
      <c r="D578">
        <v>118493</v>
      </c>
      <c r="E578" t="s">
        <v>95</v>
      </c>
      <c r="F578" t="s">
        <v>39</v>
      </c>
      <c r="G578" t="s">
        <v>17</v>
      </c>
      <c r="H578" s="2">
        <v>41597</v>
      </c>
      <c r="I578" s="2">
        <v>41600</v>
      </c>
      <c r="J578" t="s">
        <v>27</v>
      </c>
      <c r="K578" s="2">
        <v>41636.13545980324</v>
      </c>
      <c r="L578" t="s">
        <v>29</v>
      </c>
      <c r="M578">
        <v>429012</v>
      </c>
      <c r="N578">
        <v>2</v>
      </c>
      <c r="O578">
        <v>2</v>
      </c>
      <c r="P578">
        <v>2</v>
      </c>
      <c r="Q578">
        <v>2</v>
      </c>
      <c r="R578">
        <v>814</v>
      </c>
      <c r="S578" t="s">
        <v>3894</v>
      </c>
      <c r="T578" t="s">
        <v>3895</v>
      </c>
      <c r="U578" t="s">
        <v>3896</v>
      </c>
      <c r="V578" t="s">
        <v>3736</v>
      </c>
      <c r="X578" t="s">
        <v>1946</v>
      </c>
    </row>
    <row r="579" spans="1:24" ht="12.75">
      <c r="A579" s="1" t="str">
        <f>HYPERLINK("http://www.ofsted.gov.uk/inspection-reports/find-inspection-report/provider/ELS/58573","Ofsted FES Webpage")</f>
        <v>Ofsted FES Webpage</v>
      </c>
      <c r="B579" t="s">
        <v>771</v>
      </c>
      <c r="C579">
        <v>58573</v>
      </c>
      <c r="D579">
        <v>118513</v>
      </c>
      <c r="E579" t="s">
        <v>284</v>
      </c>
      <c r="F579" t="s">
        <v>26</v>
      </c>
      <c r="G579" t="s">
        <v>17</v>
      </c>
      <c r="H579" s="2">
        <v>40722</v>
      </c>
      <c r="I579" s="2">
        <v>40725</v>
      </c>
      <c r="J579" t="s">
        <v>56</v>
      </c>
      <c r="K579" s="2">
        <v>40760.13551076389</v>
      </c>
      <c r="L579" t="s">
        <v>19</v>
      </c>
      <c r="M579">
        <v>366046</v>
      </c>
      <c r="N579">
        <v>2</v>
      </c>
      <c r="O579">
        <v>2</v>
      </c>
      <c r="P579" t="s">
        <v>20</v>
      </c>
      <c r="Q579" t="s">
        <v>20</v>
      </c>
      <c r="R579">
        <v>1184</v>
      </c>
      <c r="S579" t="s">
        <v>3897</v>
      </c>
      <c r="T579" t="s">
        <v>3898</v>
      </c>
      <c r="U579" t="s">
        <v>2631</v>
      </c>
      <c r="X579" t="s">
        <v>1947</v>
      </c>
    </row>
    <row r="580" spans="1:24" ht="12.75">
      <c r="A580" s="1" t="str">
        <f>HYPERLINK("http://www.ofsted.gov.uk/inspection-reports/find-inspection-report/provider/ELS/58581","Ofsted FES Webpage")</f>
        <v>Ofsted FES Webpage</v>
      </c>
      <c r="B580" t="s">
        <v>772</v>
      </c>
      <c r="C580">
        <v>58581</v>
      </c>
      <c r="D580">
        <v>118525</v>
      </c>
      <c r="E580" t="s">
        <v>124</v>
      </c>
      <c r="F580" t="s">
        <v>26</v>
      </c>
      <c r="G580" t="s">
        <v>17</v>
      </c>
      <c r="H580" s="2">
        <v>40581</v>
      </c>
      <c r="I580" s="2">
        <v>40585</v>
      </c>
      <c r="J580" t="s">
        <v>56</v>
      </c>
      <c r="K580" s="2">
        <v>40621.13549853009</v>
      </c>
      <c r="L580" t="s">
        <v>141</v>
      </c>
      <c r="M580">
        <v>354304</v>
      </c>
      <c r="N580">
        <v>2</v>
      </c>
      <c r="O580">
        <v>2</v>
      </c>
      <c r="P580" t="s">
        <v>20</v>
      </c>
      <c r="Q580" t="s">
        <v>20</v>
      </c>
      <c r="R580">
        <v>1555</v>
      </c>
      <c r="S580" t="s">
        <v>3901</v>
      </c>
      <c r="T580" t="s">
        <v>124</v>
      </c>
      <c r="X580" t="s">
        <v>1948</v>
      </c>
    </row>
    <row r="581" spans="1:24" ht="12.75">
      <c r="A581" s="1" t="str">
        <f>HYPERLINK("http://www.ofsted.gov.uk/inspection-reports/find-inspection-report/provider/ELS/58587","Ofsted FES Webpage")</f>
        <v>Ofsted FES Webpage</v>
      </c>
      <c r="B581" t="s">
        <v>773</v>
      </c>
      <c r="C581">
        <v>58587</v>
      </c>
      <c r="D581">
        <v>118533</v>
      </c>
      <c r="E581" t="s">
        <v>460</v>
      </c>
      <c r="F581" t="s">
        <v>35</v>
      </c>
      <c r="G581" t="s">
        <v>17</v>
      </c>
      <c r="H581" s="2">
        <v>41786</v>
      </c>
      <c r="I581" s="2">
        <v>41789</v>
      </c>
      <c r="J581" t="s">
        <v>27</v>
      </c>
      <c r="K581" s="2">
        <v>41824.13546153935</v>
      </c>
      <c r="L581" t="s">
        <v>60</v>
      </c>
      <c r="M581">
        <v>429239</v>
      </c>
      <c r="N581">
        <v>2</v>
      </c>
      <c r="O581">
        <v>2</v>
      </c>
      <c r="P581">
        <v>3</v>
      </c>
      <c r="Q581">
        <v>3</v>
      </c>
      <c r="R581">
        <v>663</v>
      </c>
      <c r="S581" t="s">
        <v>3902</v>
      </c>
      <c r="T581" t="s">
        <v>3903</v>
      </c>
      <c r="U581" t="s">
        <v>35</v>
      </c>
      <c r="X581" t="s">
        <v>1949</v>
      </c>
    </row>
    <row r="582" spans="1:24" ht="12.75">
      <c r="A582" s="1" t="str">
        <f>HYPERLINK("http://www.ofsted.gov.uk/inspection-reports/find-inspection-report/provider/ELS/58588","Ofsted FES Webpage")</f>
        <v>Ofsted FES Webpage</v>
      </c>
      <c r="B582" t="s">
        <v>774</v>
      </c>
      <c r="C582">
        <v>58588</v>
      </c>
      <c r="D582">
        <v>118082</v>
      </c>
      <c r="E582" t="s">
        <v>131</v>
      </c>
      <c r="F582" t="s">
        <v>63</v>
      </c>
      <c r="G582" t="s">
        <v>160</v>
      </c>
      <c r="H582" s="2">
        <v>40805</v>
      </c>
      <c r="I582" s="2">
        <v>40809</v>
      </c>
      <c r="J582" t="s">
        <v>23</v>
      </c>
      <c r="K582" s="2">
        <v>40844.13544077546</v>
      </c>
      <c r="L582" t="s">
        <v>29</v>
      </c>
      <c r="M582">
        <v>376250</v>
      </c>
      <c r="N582">
        <v>2</v>
      </c>
      <c r="O582">
        <v>2</v>
      </c>
      <c r="P582" t="s">
        <v>20</v>
      </c>
      <c r="Q582" t="s">
        <v>20</v>
      </c>
      <c r="R582">
        <v>809</v>
      </c>
      <c r="S582" t="s">
        <v>3904</v>
      </c>
      <c r="T582" t="s">
        <v>2415</v>
      </c>
      <c r="X582" t="s">
        <v>1950</v>
      </c>
    </row>
    <row r="583" spans="1:24" ht="12.75">
      <c r="A583" s="1" t="str">
        <f>HYPERLINK("http://www.ofsted.gov.uk/inspection-reports/find-inspection-report/provider/ELS/58590","Ofsted FES Webpage")</f>
        <v>Ofsted FES Webpage</v>
      </c>
      <c r="B583" t="s">
        <v>775</v>
      </c>
      <c r="C583">
        <v>58590</v>
      </c>
      <c r="D583">
        <v>118470</v>
      </c>
      <c r="E583" t="s">
        <v>159</v>
      </c>
      <c r="F583" t="s">
        <v>43</v>
      </c>
      <c r="G583" t="s">
        <v>160</v>
      </c>
      <c r="H583" s="2">
        <v>41170</v>
      </c>
      <c r="I583" s="2">
        <v>41173</v>
      </c>
      <c r="J583" t="s">
        <v>32</v>
      </c>
      <c r="K583" s="2">
        <v>41208.135675543985</v>
      </c>
      <c r="L583" t="s">
        <v>29</v>
      </c>
      <c r="M583">
        <v>404582</v>
      </c>
      <c r="N583">
        <v>2</v>
      </c>
      <c r="O583">
        <v>2</v>
      </c>
      <c r="P583">
        <v>3</v>
      </c>
      <c r="Q583">
        <v>3</v>
      </c>
      <c r="R583">
        <v>414</v>
      </c>
      <c r="S583" t="s">
        <v>3905</v>
      </c>
      <c r="T583" t="s">
        <v>3906</v>
      </c>
      <c r="U583" t="s">
        <v>3605</v>
      </c>
      <c r="X583" t="s">
        <v>1951</v>
      </c>
    </row>
    <row r="584" spans="1:24" ht="12.75">
      <c r="A584" s="1" t="str">
        <f>HYPERLINK("http://www.ofsted.gov.uk/inspection-reports/find-inspection-report/provider/ELS/58591","Ofsted FES Webpage")</f>
        <v>Ofsted FES Webpage</v>
      </c>
      <c r="B584" t="s">
        <v>776</v>
      </c>
      <c r="C584">
        <v>58591</v>
      </c>
      <c r="D584">
        <v>118481</v>
      </c>
      <c r="E584" t="s">
        <v>446</v>
      </c>
      <c r="F584" t="s">
        <v>68</v>
      </c>
      <c r="G584" t="s">
        <v>160</v>
      </c>
      <c r="H584" s="2">
        <v>40728</v>
      </c>
      <c r="I584" s="2">
        <v>40732</v>
      </c>
      <c r="J584" t="s">
        <v>56</v>
      </c>
      <c r="K584" s="2">
        <v>40767.135496180555</v>
      </c>
      <c r="L584" t="s">
        <v>29</v>
      </c>
      <c r="M584">
        <v>366045</v>
      </c>
      <c r="N584">
        <v>2</v>
      </c>
      <c r="O584">
        <v>2</v>
      </c>
      <c r="P584" t="s">
        <v>20</v>
      </c>
      <c r="Q584" t="s">
        <v>20</v>
      </c>
      <c r="R584">
        <v>807</v>
      </c>
      <c r="S584" t="s">
        <v>3907</v>
      </c>
      <c r="T584" t="s">
        <v>3908</v>
      </c>
      <c r="U584" t="s">
        <v>446</v>
      </c>
      <c r="X584" t="s">
        <v>1952</v>
      </c>
    </row>
    <row r="585" spans="1:24" ht="12.75">
      <c r="A585" s="1" t="str">
        <f>HYPERLINK("http://www.ofsted.gov.uk/inspection-reports/find-inspection-report/provider/ELS/58611","Ofsted FES Webpage")</f>
        <v>Ofsted FES Webpage</v>
      </c>
      <c r="B585" t="s">
        <v>777</v>
      </c>
      <c r="C585">
        <v>58611</v>
      </c>
      <c r="D585">
        <v>118798</v>
      </c>
      <c r="E585" t="s">
        <v>240</v>
      </c>
      <c r="F585" t="s">
        <v>35</v>
      </c>
      <c r="G585" t="s">
        <v>40</v>
      </c>
      <c r="H585" s="2">
        <v>41449</v>
      </c>
      <c r="I585" s="2">
        <v>41453</v>
      </c>
      <c r="J585" t="s">
        <v>32</v>
      </c>
      <c r="K585" s="2">
        <v>41488.13545459491</v>
      </c>
      <c r="L585" t="s">
        <v>36</v>
      </c>
      <c r="M585">
        <v>399131</v>
      </c>
      <c r="N585">
        <v>3</v>
      </c>
      <c r="O585">
        <v>3</v>
      </c>
      <c r="P585">
        <v>3</v>
      </c>
      <c r="Q585">
        <v>3</v>
      </c>
      <c r="R585">
        <v>2397</v>
      </c>
      <c r="S585" t="s">
        <v>3909</v>
      </c>
      <c r="T585" t="s">
        <v>3910</v>
      </c>
      <c r="U585" t="s">
        <v>240</v>
      </c>
      <c r="X585" t="s">
        <v>1953</v>
      </c>
    </row>
    <row r="586" spans="1:24" ht="12.75">
      <c r="A586" s="1" t="str">
        <f>HYPERLINK("http://www.ofsted.gov.uk/inspection-reports/find-inspection-report/provider/ELS/58614","Ofsted FES Webpage")</f>
        <v>Ofsted FES Webpage</v>
      </c>
      <c r="B586" t="s">
        <v>778</v>
      </c>
      <c r="C586">
        <v>58614</v>
      </c>
      <c r="D586">
        <v>110023</v>
      </c>
      <c r="E586" t="s">
        <v>15</v>
      </c>
      <c r="F586" t="s">
        <v>16</v>
      </c>
      <c r="G586" t="s">
        <v>17</v>
      </c>
      <c r="H586" s="2">
        <v>41470</v>
      </c>
      <c r="I586" s="2">
        <v>41474</v>
      </c>
      <c r="J586" t="s">
        <v>32</v>
      </c>
      <c r="K586" s="2">
        <v>41509.1354534375</v>
      </c>
      <c r="L586" t="s">
        <v>29</v>
      </c>
      <c r="M586">
        <v>410650</v>
      </c>
      <c r="N586">
        <v>3</v>
      </c>
      <c r="O586">
        <v>2</v>
      </c>
      <c r="P586">
        <v>3</v>
      </c>
      <c r="Q586">
        <v>2</v>
      </c>
      <c r="R586">
        <v>7288</v>
      </c>
      <c r="S586" t="s">
        <v>3911</v>
      </c>
      <c r="T586" t="s">
        <v>3912</v>
      </c>
      <c r="U586" t="s">
        <v>15</v>
      </c>
      <c r="X586" t="s">
        <v>1954</v>
      </c>
    </row>
    <row r="587" spans="1:24" ht="12.75">
      <c r="A587" s="1" t="str">
        <f>HYPERLINK("http://www.ofsted.gov.uk/inspection-reports/find-inspection-report/provider/ELS/58695","Ofsted FES Webpage")</f>
        <v>Ofsted FES Webpage</v>
      </c>
      <c r="B587" t="s">
        <v>779</v>
      </c>
      <c r="C587">
        <v>58695</v>
      </c>
      <c r="D587">
        <v>117829</v>
      </c>
      <c r="E587" t="s">
        <v>109</v>
      </c>
      <c r="F587" t="s">
        <v>16</v>
      </c>
      <c r="G587" t="s">
        <v>40</v>
      </c>
      <c r="H587" s="2">
        <v>41429</v>
      </c>
      <c r="I587" s="2">
        <v>41431</v>
      </c>
      <c r="J587" t="s">
        <v>32</v>
      </c>
      <c r="K587" s="2">
        <v>41466.13564641204</v>
      </c>
      <c r="L587" t="s">
        <v>45</v>
      </c>
      <c r="M587">
        <v>409857</v>
      </c>
      <c r="N587">
        <v>3</v>
      </c>
      <c r="O587">
        <v>3</v>
      </c>
      <c r="P587" t="s">
        <v>20</v>
      </c>
      <c r="Q587" t="s">
        <v>20</v>
      </c>
      <c r="R587">
        <v>182</v>
      </c>
      <c r="S587" t="s">
        <v>2859</v>
      </c>
      <c r="T587" t="s">
        <v>109</v>
      </c>
      <c r="X587" t="s">
        <v>1955</v>
      </c>
    </row>
    <row r="588" spans="1:24" ht="12.75">
      <c r="A588" s="1" t="str">
        <f>HYPERLINK("http://www.ofsted.gov.uk/inspection-reports/find-inspection-report/provider/ELS/58700","Ofsted FES Webpage")</f>
        <v>Ofsted FES Webpage</v>
      </c>
      <c r="B588" t="s">
        <v>780</v>
      </c>
      <c r="C588">
        <v>58700</v>
      </c>
      <c r="D588">
        <v>115359</v>
      </c>
      <c r="E588" t="s">
        <v>236</v>
      </c>
      <c r="F588" t="s">
        <v>26</v>
      </c>
      <c r="G588" t="s">
        <v>40</v>
      </c>
      <c r="H588" s="2">
        <v>41044</v>
      </c>
      <c r="I588" s="2">
        <v>41047</v>
      </c>
      <c r="J588" t="s">
        <v>23</v>
      </c>
      <c r="K588" s="2">
        <v>41075.13558966435</v>
      </c>
      <c r="L588" t="s">
        <v>45</v>
      </c>
      <c r="M588">
        <v>387965</v>
      </c>
      <c r="N588">
        <v>2</v>
      </c>
      <c r="O588">
        <v>2</v>
      </c>
      <c r="P588" t="s">
        <v>20</v>
      </c>
      <c r="Q588" t="s">
        <v>20</v>
      </c>
      <c r="R588">
        <v>932</v>
      </c>
      <c r="S588" t="s">
        <v>3913</v>
      </c>
      <c r="T588" t="s">
        <v>2675</v>
      </c>
      <c r="X588" t="s">
        <v>1956</v>
      </c>
    </row>
    <row r="589" spans="1:24" ht="12.75">
      <c r="A589" s="1" t="str">
        <f>HYPERLINK("http://www.ofsted.gov.uk/inspection-reports/find-inspection-report/provider/ELS/58719","Ofsted FES Webpage")</f>
        <v>Ofsted FES Webpage</v>
      </c>
      <c r="B589" t="s">
        <v>781</v>
      </c>
      <c r="C589">
        <v>58719</v>
      </c>
      <c r="D589">
        <v>117927</v>
      </c>
      <c r="E589" t="s">
        <v>615</v>
      </c>
      <c r="F589" t="s">
        <v>63</v>
      </c>
      <c r="G589" t="s">
        <v>17</v>
      </c>
      <c r="H589" s="2">
        <v>40519</v>
      </c>
      <c r="I589" s="2">
        <v>40522</v>
      </c>
      <c r="J589" t="s">
        <v>56</v>
      </c>
      <c r="K589" s="2">
        <v>40562.13544621528</v>
      </c>
      <c r="L589" t="s">
        <v>141</v>
      </c>
      <c r="M589">
        <v>354700</v>
      </c>
      <c r="N589">
        <v>2</v>
      </c>
      <c r="O589">
        <v>2</v>
      </c>
      <c r="P589" t="s">
        <v>20</v>
      </c>
      <c r="Q589" t="s">
        <v>20</v>
      </c>
      <c r="R589">
        <v>381</v>
      </c>
      <c r="S589" t="s">
        <v>3914</v>
      </c>
      <c r="T589" t="s">
        <v>615</v>
      </c>
      <c r="X589" t="s">
        <v>1957</v>
      </c>
    </row>
    <row r="590" spans="1:24" ht="12.75">
      <c r="A590" s="1" t="str">
        <f>HYPERLINK("http://www.ofsted.gov.uk/inspection-reports/find-inspection-report/provider/ELS/58725","Ofsted FES Webpage")</f>
        <v>Ofsted FES Webpage</v>
      </c>
      <c r="B590" t="s">
        <v>782</v>
      </c>
      <c r="C590">
        <v>58725</v>
      </c>
      <c r="D590">
        <v>118145</v>
      </c>
      <c r="E590" t="s">
        <v>51</v>
      </c>
      <c r="F590" t="s">
        <v>16</v>
      </c>
      <c r="G590" t="s">
        <v>17</v>
      </c>
      <c r="H590" s="2">
        <v>41696</v>
      </c>
      <c r="I590" s="2">
        <v>41698</v>
      </c>
      <c r="J590" t="s">
        <v>27</v>
      </c>
      <c r="K590" s="2">
        <v>41732.13546130787</v>
      </c>
      <c r="L590" t="s">
        <v>36</v>
      </c>
      <c r="M590">
        <v>423813</v>
      </c>
      <c r="N590">
        <v>2</v>
      </c>
      <c r="O590">
        <v>2</v>
      </c>
      <c r="P590" t="s">
        <v>20</v>
      </c>
      <c r="Q590" t="s">
        <v>20</v>
      </c>
      <c r="R590">
        <v>169</v>
      </c>
      <c r="S590" t="s">
        <v>3915</v>
      </c>
      <c r="T590" t="s">
        <v>3916</v>
      </c>
      <c r="U590" t="s">
        <v>3917</v>
      </c>
      <c r="V590" t="s">
        <v>2398</v>
      </c>
      <c r="X590" t="s">
        <v>1958</v>
      </c>
    </row>
    <row r="591" spans="1:24" ht="12.75">
      <c r="A591" s="1" t="str">
        <f>HYPERLINK("http://www.ofsted.gov.uk/inspection-reports/find-inspection-report/provider/ELS/58729","Ofsted FES Webpage")</f>
        <v>Ofsted FES Webpage</v>
      </c>
      <c r="B591" t="s">
        <v>783</v>
      </c>
      <c r="C591">
        <v>58729</v>
      </c>
      <c r="D591">
        <v>118584</v>
      </c>
      <c r="E591" t="s">
        <v>232</v>
      </c>
      <c r="F591" t="s">
        <v>35</v>
      </c>
      <c r="G591" t="s">
        <v>17</v>
      </c>
      <c r="H591" s="2">
        <v>41666</v>
      </c>
      <c r="I591" s="2">
        <v>41670</v>
      </c>
      <c r="J591" t="s">
        <v>27</v>
      </c>
      <c r="K591" s="2">
        <v>41705.135493518515</v>
      </c>
      <c r="L591" t="s">
        <v>29</v>
      </c>
      <c r="M591">
        <v>429137</v>
      </c>
      <c r="N591">
        <v>2</v>
      </c>
      <c r="O591">
        <v>2</v>
      </c>
      <c r="P591">
        <v>3</v>
      </c>
      <c r="Q591">
        <v>3</v>
      </c>
      <c r="R591">
        <v>1982</v>
      </c>
      <c r="S591" t="s">
        <v>3513</v>
      </c>
      <c r="T591" t="s">
        <v>3512</v>
      </c>
      <c r="U591" t="s">
        <v>2888</v>
      </c>
      <c r="V591" t="s">
        <v>2491</v>
      </c>
      <c r="X591" t="s">
        <v>1750</v>
      </c>
    </row>
    <row r="592" spans="1:24" ht="12.75">
      <c r="A592" s="1" t="str">
        <f>HYPERLINK("http://www.ofsted.gov.uk/inspection-reports/find-inspection-report/provider/ELS/58731","Ofsted FES Webpage")</f>
        <v>Ofsted FES Webpage</v>
      </c>
      <c r="B592" t="s">
        <v>784</v>
      </c>
      <c r="C592">
        <v>58731</v>
      </c>
      <c r="D592">
        <v>118543</v>
      </c>
      <c r="E592" t="s">
        <v>51</v>
      </c>
      <c r="F592" t="s">
        <v>16</v>
      </c>
      <c r="G592" t="s">
        <v>160</v>
      </c>
      <c r="H592" s="2">
        <v>40883</v>
      </c>
      <c r="I592" s="2">
        <v>40886</v>
      </c>
      <c r="J592" t="s">
        <v>23</v>
      </c>
      <c r="K592" s="2">
        <v>40926.13548892361</v>
      </c>
      <c r="L592" t="s">
        <v>29</v>
      </c>
      <c r="M592">
        <v>376207</v>
      </c>
      <c r="N592">
        <v>2</v>
      </c>
      <c r="O592">
        <v>2</v>
      </c>
      <c r="P592" t="s">
        <v>20</v>
      </c>
      <c r="Q592" t="s">
        <v>20</v>
      </c>
      <c r="R592">
        <v>93</v>
      </c>
      <c r="S592" t="s">
        <v>3918</v>
      </c>
      <c r="T592" t="s">
        <v>3919</v>
      </c>
      <c r="U592" t="s">
        <v>15</v>
      </c>
      <c r="X592" t="s">
        <v>1490</v>
      </c>
    </row>
    <row r="593" spans="1:24" ht="12.75">
      <c r="A593" s="1" t="str">
        <f>HYPERLINK("http://www.ofsted.gov.uk/inspection-reports/find-inspection-report/provider/ELS/58736","Ofsted FES Webpage")</f>
        <v>Ofsted FES Webpage</v>
      </c>
      <c r="B593" t="s">
        <v>785</v>
      </c>
      <c r="C593">
        <v>58736</v>
      </c>
      <c r="D593">
        <v>118558</v>
      </c>
      <c r="E593" t="s">
        <v>166</v>
      </c>
      <c r="F593" t="s">
        <v>26</v>
      </c>
      <c r="G593" t="s">
        <v>160</v>
      </c>
      <c r="H593" s="2">
        <v>40155</v>
      </c>
      <c r="I593" s="2">
        <v>40158</v>
      </c>
      <c r="J593" t="s">
        <v>18</v>
      </c>
      <c r="K593" s="2">
        <v>40198.13552858796</v>
      </c>
      <c r="L593" t="s">
        <v>19</v>
      </c>
      <c r="M593">
        <v>346074</v>
      </c>
      <c r="N593">
        <v>2</v>
      </c>
      <c r="O593">
        <v>2</v>
      </c>
      <c r="P593" t="s">
        <v>20</v>
      </c>
      <c r="Q593" t="s">
        <v>20</v>
      </c>
      <c r="R593">
        <v>244</v>
      </c>
      <c r="S593" t="s">
        <v>3920</v>
      </c>
      <c r="T593" t="s">
        <v>3285</v>
      </c>
      <c r="U593" t="s">
        <v>2816</v>
      </c>
      <c r="X593" t="s">
        <v>1959</v>
      </c>
    </row>
    <row r="594" spans="1:24" ht="12.75">
      <c r="A594" s="1" t="str">
        <f>HYPERLINK("http://www.ofsted.gov.uk/inspection-reports/find-inspection-report/provider/ELS/58766","Ofsted FES Webpage")</f>
        <v>Ofsted FES Webpage</v>
      </c>
      <c r="B594" t="s">
        <v>786</v>
      </c>
      <c r="C594">
        <v>58766</v>
      </c>
      <c r="D594">
        <v>108082</v>
      </c>
      <c r="E594" t="s">
        <v>31</v>
      </c>
      <c r="F594" t="s">
        <v>26</v>
      </c>
      <c r="G594" t="s">
        <v>17</v>
      </c>
      <c r="H594" s="2">
        <v>41548</v>
      </c>
      <c r="I594" s="2">
        <v>41550</v>
      </c>
      <c r="J594" t="s">
        <v>27</v>
      </c>
      <c r="K594" s="2">
        <v>41585.135510416665</v>
      </c>
      <c r="L594" t="s">
        <v>45</v>
      </c>
      <c r="M594">
        <v>423427</v>
      </c>
      <c r="N594">
        <v>2</v>
      </c>
      <c r="O594">
        <v>2</v>
      </c>
      <c r="P594">
        <v>3</v>
      </c>
      <c r="Q594">
        <v>3</v>
      </c>
      <c r="R594">
        <v>879</v>
      </c>
      <c r="S594" t="s">
        <v>3922</v>
      </c>
      <c r="T594" t="s">
        <v>3923</v>
      </c>
      <c r="U594" t="s">
        <v>31</v>
      </c>
      <c r="X594" t="s">
        <v>1960</v>
      </c>
    </row>
    <row r="595" spans="1:24" ht="12.75">
      <c r="A595" s="1" t="str">
        <f>HYPERLINK("http://www.ofsted.gov.uk/inspection-reports/find-inspection-report/provider/ELS/58768","Ofsted FES Webpage")</f>
        <v>Ofsted FES Webpage</v>
      </c>
      <c r="B595" t="s">
        <v>787</v>
      </c>
      <c r="C595">
        <v>58768</v>
      </c>
      <c r="D595">
        <v>114925</v>
      </c>
      <c r="E595" t="s">
        <v>350</v>
      </c>
      <c r="F595" t="s">
        <v>43</v>
      </c>
      <c r="G595" t="s">
        <v>40</v>
      </c>
      <c r="H595" s="2">
        <v>40890</v>
      </c>
      <c r="I595" s="2">
        <v>40893</v>
      </c>
      <c r="J595" t="s">
        <v>23</v>
      </c>
      <c r="K595" s="2">
        <v>40935.135453090275</v>
      </c>
      <c r="L595" t="s">
        <v>19</v>
      </c>
      <c r="M595">
        <v>376251</v>
      </c>
      <c r="N595">
        <v>2</v>
      </c>
      <c r="O595">
        <v>2</v>
      </c>
      <c r="P595" t="s">
        <v>20</v>
      </c>
      <c r="Q595" t="s">
        <v>20</v>
      </c>
      <c r="R595">
        <v>31</v>
      </c>
      <c r="S595" t="s">
        <v>3924</v>
      </c>
      <c r="T595" t="s">
        <v>3925</v>
      </c>
      <c r="U595" t="s">
        <v>2757</v>
      </c>
      <c r="X595" t="s">
        <v>1961</v>
      </c>
    </row>
    <row r="596" spans="1:24" ht="12.75">
      <c r="A596" s="1" t="str">
        <f>HYPERLINK("http://www.ofsted.gov.uk/inspection-reports/find-inspection-report/provider/ELS/58781","Ofsted FES Webpage")</f>
        <v>Ofsted FES Webpage</v>
      </c>
      <c r="B596" t="s">
        <v>788</v>
      </c>
      <c r="C596">
        <v>58781</v>
      </c>
      <c r="D596">
        <v>118729</v>
      </c>
      <c r="E596" t="s">
        <v>331</v>
      </c>
      <c r="F596" t="s">
        <v>35</v>
      </c>
      <c r="G596" t="s">
        <v>17</v>
      </c>
      <c r="H596" s="2">
        <v>41589</v>
      </c>
      <c r="I596" s="2">
        <v>41592</v>
      </c>
      <c r="J596" t="s">
        <v>27</v>
      </c>
      <c r="K596" s="2">
        <v>41627.135449421294</v>
      </c>
      <c r="L596" t="s">
        <v>36</v>
      </c>
      <c r="M596">
        <v>410128</v>
      </c>
      <c r="N596">
        <v>3</v>
      </c>
      <c r="O596">
        <v>3</v>
      </c>
      <c r="P596">
        <v>3</v>
      </c>
      <c r="Q596">
        <v>3</v>
      </c>
      <c r="R596">
        <v>126</v>
      </c>
      <c r="S596" t="s">
        <v>3926</v>
      </c>
      <c r="T596" t="s">
        <v>3927</v>
      </c>
      <c r="U596" t="s">
        <v>331</v>
      </c>
      <c r="X596" t="s">
        <v>1962</v>
      </c>
    </row>
    <row r="597" spans="1:24" ht="12.75">
      <c r="A597" s="1" t="str">
        <f>HYPERLINK("http://www.ofsted.gov.uk/inspection-reports/find-inspection-report/provider/ELS/58782","Ofsted FES Webpage")</f>
        <v>Ofsted FES Webpage</v>
      </c>
      <c r="B597" t="s">
        <v>789</v>
      </c>
      <c r="C597">
        <v>58782</v>
      </c>
      <c r="D597">
        <v>118728</v>
      </c>
      <c r="E597" t="s">
        <v>331</v>
      </c>
      <c r="F597" t="s">
        <v>35</v>
      </c>
      <c r="G597" t="s">
        <v>160</v>
      </c>
      <c r="H597" s="2">
        <v>41232</v>
      </c>
      <c r="I597" s="2">
        <v>41236</v>
      </c>
      <c r="J597" t="s">
        <v>32</v>
      </c>
      <c r="K597" s="2">
        <v>41275.135446064814</v>
      </c>
      <c r="L597" t="s">
        <v>29</v>
      </c>
      <c r="M597">
        <v>385773</v>
      </c>
      <c r="N597">
        <v>2</v>
      </c>
      <c r="O597">
        <v>2</v>
      </c>
      <c r="P597" t="s">
        <v>20</v>
      </c>
      <c r="Q597" t="s">
        <v>20</v>
      </c>
      <c r="R597">
        <v>180</v>
      </c>
      <c r="S597" t="s">
        <v>3928</v>
      </c>
      <c r="T597" t="s">
        <v>3929</v>
      </c>
      <c r="U597" t="s">
        <v>331</v>
      </c>
      <c r="X597" t="s">
        <v>1963</v>
      </c>
    </row>
    <row r="598" spans="1:24" ht="12.75">
      <c r="A598" s="1" t="str">
        <f>HYPERLINK("http://www.ofsted.gov.uk/inspection-reports/find-inspection-report/provider/ELS/58791","Ofsted FES Webpage")</f>
        <v>Ofsted FES Webpage</v>
      </c>
      <c r="B598" t="s">
        <v>790</v>
      </c>
      <c r="C598">
        <v>58791</v>
      </c>
      <c r="D598">
        <v>118709</v>
      </c>
      <c r="E598" t="s">
        <v>59</v>
      </c>
      <c r="F598" t="s">
        <v>43</v>
      </c>
      <c r="G598" t="s">
        <v>17</v>
      </c>
      <c r="H598" s="2">
        <v>41829</v>
      </c>
      <c r="I598" s="2">
        <v>41831</v>
      </c>
      <c r="J598" t="s">
        <v>27</v>
      </c>
      <c r="K598" s="2">
        <v>41866.135477118056</v>
      </c>
      <c r="L598" t="s">
        <v>36</v>
      </c>
      <c r="M598">
        <v>434061</v>
      </c>
      <c r="N598">
        <v>2</v>
      </c>
      <c r="O598">
        <v>2</v>
      </c>
      <c r="P598">
        <v>3</v>
      </c>
      <c r="Q598">
        <v>3</v>
      </c>
      <c r="R598">
        <v>30</v>
      </c>
      <c r="S598" t="s">
        <v>2845</v>
      </c>
      <c r="T598" t="s">
        <v>2846</v>
      </c>
      <c r="X598" t="s">
        <v>1462</v>
      </c>
    </row>
    <row r="599" spans="1:24" ht="12.75">
      <c r="A599" s="1" t="str">
        <f>HYPERLINK("http://www.ofsted.gov.uk/inspection-reports/find-inspection-report/provider/ELS/58798","Ofsted FES Webpage")</f>
        <v>Ofsted FES Webpage</v>
      </c>
      <c r="B599" t="s">
        <v>791</v>
      </c>
      <c r="C599">
        <v>58798</v>
      </c>
      <c r="D599">
        <v>118697</v>
      </c>
      <c r="E599" t="s">
        <v>75</v>
      </c>
      <c r="F599" t="s">
        <v>63</v>
      </c>
      <c r="G599" t="s">
        <v>160</v>
      </c>
      <c r="H599" s="2">
        <v>40945</v>
      </c>
      <c r="I599" s="2">
        <v>40948</v>
      </c>
      <c r="J599" t="s">
        <v>23</v>
      </c>
      <c r="K599" s="2">
        <v>40982.13544961806</v>
      </c>
      <c r="L599" t="s">
        <v>29</v>
      </c>
      <c r="M599">
        <v>376252</v>
      </c>
      <c r="N599">
        <v>2</v>
      </c>
      <c r="O599">
        <v>2</v>
      </c>
      <c r="P599" t="s">
        <v>20</v>
      </c>
      <c r="Q599" t="s">
        <v>20</v>
      </c>
      <c r="R599">
        <v>3180</v>
      </c>
      <c r="S599" t="s">
        <v>3930</v>
      </c>
      <c r="T599" t="s">
        <v>3931</v>
      </c>
      <c r="U599" t="s">
        <v>3519</v>
      </c>
      <c r="V599" t="s">
        <v>2484</v>
      </c>
      <c r="X599" t="s">
        <v>1964</v>
      </c>
    </row>
    <row r="600" spans="1:24" ht="12.75">
      <c r="A600" s="1" t="str">
        <f>HYPERLINK("http://www.ofsted.gov.uk/inspection-reports/find-inspection-report/provider/ELS/58800","Ofsted FES Webpage")</f>
        <v>Ofsted FES Webpage</v>
      </c>
      <c r="B600" t="s">
        <v>792</v>
      </c>
      <c r="C600">
        <v>58800</v>
      </c>
      <c r="D600">
        <v>118723</v>
      </c>
      <c r="E600" t="s">
        <v>146</v>
      </c>
      <c r="F600" t="s">
        <v>26</v>
      </c>
      <c r="G600" t="s">
        <v>17</v>
      </c>
      <c r="H600" s="2">
        <v>41022</v>
      </c>
      <c r="I600" s="2">
        <v>41025</v>
      </c>
      <c r="J600" t="s">
        <v>23</v>
      </c>
      <c r="K600" s="2">
        <v>41048.13546053241</v>
      </c>
      <c r="L600" t="s">
        <v>19</v>
      </c>
      <c r="M600">
        <v>388113</v>
      </c>
      <c r="N600">
        <v>3</v>
      </c>
      <c r="O600">
        <v>3</v>
      </c>
      <c r="P600" t="s">
        <v>20</v>
      </c>
      <c r="Q600" t="s">
        <v>20</v>
      </c>
      <c r="R600">
        <v>806</v>
      </c>
      <c r="S600" t="s">
        <v>3932</v>
      </c>
      <c r="T600" t="s">
        <v>3933</v>
      </c>
      <c r="U600" t="s">
        <v>3934</v>
      </c>
      <c r="V600" t="s">
        <v>97</v>
      </c>
      <c r="X600" t="s">
        <v>1965</v>
      </c>
    </row>
    <row r="601" spans="1:24" ht="12.75">
      <c r="A601" s="1" t="str">
        <f>HYPERLINK("http://www.ofsted.gov.uk/inspection-reports/find-inspection-report/provider/ELS/58805","Ofsted FES Webpage")</f>
        <v>Ofsted FES Webpage</v>
      </c>
      <c r="B601" t="s">
        <v>793</v>
      </c>
      <c r="C601">
        <v>58805</v>
      </c>
      <c r="D601">
        <v>118703</v>
      </c>
      <c r="E601" t="s">
        <v>350</v>
      </c>
      <c r="F601" t="s">
        <v>43</v>
      </c>
      <c r="G601" t="s">
        <v>160</v>
      </c>
      <c r="H601" s="2">
        <v>41428</v>
      </c>
      <c r="I601" s="2">
        <v>41432</v>
      </c>
      <c r="J601" t="s">
        <v>32</v>
      </c>
      <c r="K601" s="2">
        <v>41467.1355290162</v>
      </c>
      <c r="L601" t="s">
        <v>29</v>
      </c>
      <c r="M601">
        <v>408528</v>
      </c>
      <c r="N601">
        <v>3</v>
      </c>
      <c r="O601">
        <v>3</v>
      </c>
      <c r="P601">
        <v>3</v>
      </c>
      <c r="Q601">
        <v>3</v>
      </c>
      <c r="R601">
        <v>1391</v>
      </c>
      <c r="S601" t="s">
        <v>3672</v>
      </c>
      <c r="T601" t="s">
        <v>3673</v>
      </c>
      <c r="U601" t="s">
        <v>350</v>
      </c>
      <c r="X601" t="s">
        <v>1966</v>
      </c>
    </row>
    <row r="602" spans="1:24" ht="12.75">
      <c r="A602" s="1" t="str">
        <f>HYPERLINK("http://www.ofsted.gov.uk/inspection-reports/find-inspection-report/provider/ELS/58806","Ofsted FES Webpage")</f>
        <v>Ofsted FES Webpage</v>
      </c>
      <c r="B602" t="s">
        <v>794</v>
      </c>
      <c r="C602">
        <v>58806</v>
      </c>
      <c r="D602">
        <v>118496</v>
      </c>
      <c r="E602" t="s">
        <v>59</v>
      </c>
      <c r="F602" t="s">
        <v>43</v>
      </c>
      <c r="G602" t="s">
        <v>17</v>
      </c>
      <c r="H602" s="8">
        <v>41848</v>
      </c>
      <c r="I602" s="9">
        <v>41852</v>
      </c>
      <c r="J602" s="8" t="s">
        <v>27</v>
      </c>
      <c r="K602" s="9">
        <v>41890.13551678241</v>
      </c>
      <c r="L602" s="10" t="s">
        <v>36</v>
      </c>
      <c r="M602" s="10">
        <v>434058</v>
      </c>
      <c r="N602">
        <v>1</v>
      </c>
      <c r="O602">
        <v>1</v>
      </c>
      <c r="P602">
        <v>2</v>
      </c>
      <c r="Q602">
        <v>2</v>
      </c>
      <c r="R602">
        <v>475</v>
      </c>
      <c r="S602" t="s">
        <v>3935</v>
      </c>
      <c r="T602" t="s">
        <v>3936</v>
      </c>
      <c r="U602" t="s">
        <v>2414</v>
      </c>
      <c r="X602" t="s">
        <v>1967</v>
      </c>
    </row>
    <row r="603" spans="1:24" ht="12.75">
      <c r="A603" s="1" t="str">
        <f>HYPERLINK("http://www.ofsted.gov.uk/inspection-reports/find-inspection-report/provider/ELS/58810","Ofsted FES Webpage")</f>
        <v>Ofsted FES Webpage</v>
      </c>
      <c r="B603" t="s">
        <v>795</v>
      </c>
      <c r="C603">
        <v>58810</v>
      </c>
      <c r="D603">
        <v>118679</v>
      </c>
      <c r="E603" t="s">
        <v>59</v>
      </c>
      <c r="F603" t="s">
        <v>43</v>
      </c>
      <c r="G603" t="s">
        <v>17</v>
      </c>
      <c r="H603" s="2">
        <v>41149</v>
      </c>
      <c r="I603" s="2">
        <v>41152</v>
      </c>
      <c r="J603" t="s">
        <v>23</v>
      </c>
      <c r="K603" s="2">
        <v>41187.135472766204</v>
      </c>
      <c r="L603" t="s">
        <v>19</v>
      </c>
      <c r="M603">
        <v>387970</v>
      </c>
      <c r="N603">
        <v>2</v>
      </c>
      <c r="O603">
        <v>2</v>
      </c>
      <c r="P603" t="s">
        <v>20</v>
      </c>
      <c r="Q603" t="s">
        <v>20</v>
      </c>
      <c r="R603">
        <v>401</v>
      </c>
      <c r="S603">
        <v>41926</v>
      </c>
      <c r="T603" t="s">
        <v>3352</v>
      </c>
      <c r="U603" t="s">
        <v>3353</v>
      </c>
      <c r="V603" t="s">
        <v>3354</v>
      </c>
      <c r="X603" t="s">
        <v>1675</v>
      </c>
    </row>
    <row r="604" spans="1:24" ht="12.75">
      <c r="A604" s="1" t="str">
        <f>HYPERLINK("http://www.ofsted.gov.uk/inspection-reports/find-inspection-report/provider/ELS/58818","Ofsted FES Webpage")</f>
        <v>Ofsted FES Webpage</v>
      </c>
      <c r="B604" t="s">
        <v>796</v>
      </c>
      <c r="C604">
        <v>58818</v>
      </c>
      <c r="D604">
        <v>118164</v>
      </c>
      <c r="E604" t="s">
        <v>67</v>
      </c>
      <c r="F604" t="s">
        <v>68</v>
      </c>
      <c r="G604" t="s">
        <v>17</v>
      </c>
      <c r="H604" s="2">
        <v>41372</v>
      </c>
      <c r="I604" s="2">
        <v>41376</v>
      </c>
      <c r="J604" t="s">
        <v>32</v>
      </c>
      <c r="K604" s="2">
        <v>41411.13559976852</v>
      </c>
      <c r="L604" t="s">
        <v>36</v>
      </c>
      <c r="M604">
        <v>410683</v>
      </c>
      <c r="N604">
        <v>2</v>
      </c>
      <c r="O604">
        <v>2</v>
      </c>
      <c r="P604">
        <v>2</v>
      </c>
      <c r="Q604">
        <v>2</v>
      </c>
      <c r="R604">
        <v>687</v>
      </c>
      <c r="S604" t="s">
        <v>3271</v>
      </c>
      <c r="T604" t="s">
        <v>3937</v>
      </c>
      <c r="U604" t="s">
        <v>67</v>
      </c>
      <c r="X604" t="s">
        <v>1968</v>
      </c>
    </row>
    <row r="605" spans="1:24" ht="12.75">
      <c r="A605" s="1" t="str">
        <f>HYPERLINK("http://www.ofsted.gov.uk/inspection-reports/find-inspection-report/provider/ELS/58820","Ofsted FES Webpage")</f>
        <v>Ofsted FES Webpage</v>
      </c>
      <c r="B605" t="s">
        <v>797</v>
      </c>
      <c r="C605">
        <v>58820</v>
      </c>
      <c r="D605">
        <v>118589</v>
      </c>
      <c r="E605" t="s">
        <v>268</v>
      </c>
      <c r="F605" t="s">
        <v>63</v>
      </c>
      <c r="G605" t="s">
        <v>17</v>
      </c>
      <c r="H605" s="2">
        <v>40987</v>
      </c>
      <c r="I605" s="2">
        <v>40991</v>
      </c>
      <c r="J605" t="s">
        <v>23</v>
      </c>
      <c r="K605" s="2">
        <v>41030.13561716435</v>
      </c>
      <c r="L605" t="s">
        <v>19</v>
      </c>
      <c r="M605">
        <v>385772</v>
      </c>
      <c r="N605">
        <v>1</v>
      </c>
      <c r="O605">
        <v>1</v>
      </c>
      <c r="P605" t="s">
        <v>20</v>
      </c>
      <c r="Q605" t="s">
        <v>20</v>
      </c>
      <c r="R605">
        <v>2355</v>
      </c>
      <c r="S605" t="s">
        <v>3938</v>
      </c>
      <c r="T605" t="s">
        <v>3939</v>
      </c>
      <c r="U605" t="s">
        <v>2414</v>
      </c>
      <c r="X605" t="s">
        <v>1969</v>
      </c>
    </row>
    <row r="606" spans="1:24" ht="12.75">
      <c r="A606" s="1" t="str">
        <f>HYPERLINK("http://www.ofsted.gov.uk/inspection-reports/find-inspection-report/provider/ELS/58825","Ofsted FES Webpage")</f>
        <v>Ofsted FES Webpage</v>
      </c>
      <c r="B606" t="s">
        <v>798</v>
      </c>
      <c r="C606">
        <v>58825</v>
      </c>
      <c r="D606">
        <v>118583</v>
      </c>
      <c r="E606" t="s">
        <v>59</v>
      </c>
      <c r="F606" t="s">
        <v>43</v>
      </c>
      <c r="G606" t="s">
        <v>160</v>
      </c>
      <c r="H606" s="2">
        <v>40861</v>
      </c>
      <c r="I606" s="2">
        <v>40864</v>
      </c>
      <c r="J606" t="s">
        <v>23</v>
      </c>
      <c r="K606" s="2">
        <v>40898.135490706016</v>
      </c>
      <c r="L606" t="s">
        <v>29</v>
      </c>
      <c r="M606">
        <v>376253</v>
      </c>
      <c r="N606">
        <v>3</v>
      </c>
      <c r="O606">
        <v>3</v>
      </c>
      <c r="P606" t="s">
        <v>20</v>
      </c>
      <c r="Q606" t="s">
        <v>20</v>
      </c>
      <c r="R606">
        <v>111</v>
      </c>
      <c r="S606" t="s">
        <v>3940</v>
      </c>
      <c r="T606" t="s">
        <v>3941</v>
      </c>
      <c r="U606" t="s">
        <v>3843</v>
      </c>
      <c r="V606" t="s">
        <v>2829</v>
      </c>
      <c r="X606" t="s">
        <v>1970</v>
      </c>
    </row>
    <row r="607" spans="1:24" ht="12.75">
      <c r="A607" s="1" t="str">
        <f>HYPERLINK("http://www.ofsted.gov.uk/inspection-reports/find-inspection-report/provider/ELS/58830","Ofsted FES Webpage")</f>
        <v>Ofsted FES Webpage</v>
      </c>
      <c r="B607" t="s">
        <v>799</v>
      </c>
      <c r="C607">
        <v>58830</v>
      </c>
      <c r="D607">
        <v>120278</v>
      </c>
      <c r="E607" t="s">
        <v>331</v>
      </c>
      <c r="F607" t="s">
        <v>35</v>
      </c>
      <c r="G607" t="s">
        <v>17</v>
      </c>
      <c r="H607" s="2">
        <v>40854</v>
      </c>
      <c r="I607" s="2">
        <v>40858</v>
      </c>
      <c r="J607" t="s">
        <v>23</v>
      </c>
      <c r="K607" s="2">
        <v>40893.13547048611</v>
      </c>
      <c r="L607" t="s">
        <v>29</v>
      </c>
      <c r="M607">
        <v>376254</v>
      </c>
      <c r="N607">
        <v>2</v>
      </c>
      <c r="O607">
        <v>2</v>
      </c>
      <c r="P607" t="s">
        <v>20</v>
      </c>
      <c r="Q607" t="s">
        <v>20</v>
      </c>
      <c r="R607">
        <v>1248</v>
      </c>
      <c r="S607" t="s">
        <v>3018</v>
      </c>
      <c r="T607" t="s">
        <v>3019</v>
      </c>
      <c r="U607" t="s">
        <v>331</v>
      </c>
      <c r="X607" t="s">
        <v>1527</v>
      </c>
    </row>
    <row r="608" spans="1:24" ht="12.75">
      <c r="A608" s="1" t="str">
        <f>HYPERLINK("http://www.ofsted.gov.uk/inspection-reports/find-inspection-report/provider/ELS/58841","Ofsted FES Webpage")</f>
        <v>Ofsted FES Webpage</v>
      </c>
      <c r="B608" t="s">
        <v>800</v>
      </c>
      <c r="C608">
        <v>58841</v>
      </c>
      <c r="D608">
        <v>118467</v>
      </c>
      <c r="E608" t="s">
        <v>436</v>
      </c>
      <c r="F608" t="s">
        <v>35</v>
      </c>
      <c r="G608" t="s">
        <v>40</v>
      </c>
      <c r="H608" s="2">
        <v>40512</v>
      </c>
      <c r="I608" s="2">
        <v>40515</v>
      </c>
      <c r="J608" t="s">
        <v>56</v>
      </c>
      <c r="K608" s="2">
        <v>40555.13545443287</v>
      </c>
      <c r="L608" t="s">
        <v>19</v>
      </c>
      <c r="M608">
        <v>364060</v>
      </c>
      <c r="N608">
        <v>1</v>
      </c>
      <c r="O608">
        <v>1</v>
      </c>
      <c r="P608" t="s">
        <v>20</v>
      </c>
      <c r="Q608" t="s">
        <v>20</v>
      </c>
      <c r="R608">
        <v>476</v>
      </c>
      <c r="S608" t="s">
        <v>3942</v>
      </c>
      <c r="T608" t="s">
        <v>35</v>
      </c>
      <c r="X608" t="s">
        <v>1971</v>
      </c>
    </row>
    <row r="609" spans="1:24" ht="12.75">
      <c r="A609" s="1" t="str">
        <f>HYPERLINK("http://www.ofsted.gov.uk/inspection-reports/find-inspection-report/provider/ELS/58850","Ofsted FES Webpage")</f>
        <v>Ofsted FES Webpage</v>
      </c>
      <c r="B609" t="s">
        <v>801</v>
      </c>
      <c r="C609">
        <v>58850</v>
      </c>
      <c r="D609">
        <v>118469</v>
      </c>
      <c r="E609" t="s">
        <v>146</v>
      </c>
      <c r="F609" t="s">
        <v>26</v>
      </c>
      <c r="G609" t="s">
        <v>17</v>
      </c>
      <c r="H609" s="2">
        <v>41834</v>
      </c>
      <c r="I609" s="2">
        <v>41838</v>
      </c>
      <c r="J609" t="s">
        <v>27</v>
      </c>
      <c r="K609" s="2">
        <v>41866.13546686342</v>
      </c>
      <c r="L609" t="s">
        <v>60</v>
      </c>
      <c r="M609">
        <v>429267</v>
      </c>
      <c r="N609">
        <v>4</v>
      </c>
      <c r="O609">
        <v>4</v>
      </c>
      <c r="P609">
        <v>3</v>
      </c>
      <c r="Q609">
        <v>3</v>
      </c>
      <c r="R609">
        <v>2792</v>
      </c>
      <c r="S609" t="s">
        <v>3943</v>
      </c>
      <c r="T609" t="s">
        <v>3944</v>
      </c>
      <c r="U609" t="s">
        <v>2598</v>
      </c>
      <c r="V609" t="s">
        <v>146</v>
      </c>
      <c r="X609" t="s">
        <v>1972</v>
      </c>
    </row>
    <row r="610" spans="1:24" ht="12.75">
      <c r="A610" s="1" t="str">
        <f>HYPERLINK("http://www.ofsted.gov.uk/inspection-reports/find-inspection-report/provider/ELS/58863","Ofsted FES Webpage")</f>
        <v>Ofsted FES Webpage</v>
      </c>
      <c r="B610" t="s">
        <v>802</v>
      </c>
      <c r="C610">
        <v>58863</v>
      </c>
      <c r="D610">
        <v>108002</v>
      </c>
      <c r="E610" t="s">
        <v>365</v>
      </c>
      <c r="F610" t="s">
        <v>39</v>
      </c>
      <c r="G610" t="s">
        <v>225</v>
      </c>
      <c r="H610" s="2">
        <v>41491</v>
      </c>
      <c r="I610" s="2">
        <v>41495</v>
      </c>
      <c r="J610" t="s">
        <v>32</v>
      </c>
      <c r="K610" s="2">
        <v>41533.135529513886</v>
      </c>
      <c r="L610" t="s">
        <v>226</v>
      </c>
      <c r="M610">
        <v>420097</v>
      </c>
      <c r="N610">
        <v>2</v>
      </c>
      <c r="O610">
        <v>2</v>
      </c>
      <c r="P610">
        <v>3</v>
      </c>
      <c r="Q610">
        <v>3</v>
      </c>
      <c r="R610">
        <v>6866</v>
      </c>
      <c r="S610" t="s">
        <v>3945</v>
      </c>
      <c r="T610" t="s">
        <v>3946</v>
      </c>
      <c r="U610" t="s">
        <v>2570</v>
      </c>
      <c r="X610" t="s">
        <v>1973</v>
      </c>
    </row>
    <row r="611" spans="1:24" ht="12.75">
      <c r="A611" s="1" t="str">
        <f>HYPERLINK("http://www.ofsted.gov.uk/inspection-reports/find-inspection-report/provider/ELS/58864","Ofsted FES Webpage")</f>
        <v>Ofsted FES Webpage</v>
      </c>
      <c r="B611" t="s">
        <v>803</v>
      </c>
      <c r="C611">
        <v>58864</v>
      </c>
      <c r="D611">
        <v>115382</v>
      </c>
      <c r="E611" t="s">
        <v>146</v>
      </c>
      <c r="F611" t="s">
        <v>26</v>
      </c>
      <c r="G611" t="s">
        <v>225</v>
      </c>
      <c r="H611" s="2">
        <v>41533</v>
      </c>
      <c r="I611" s="2">
        <v>41537</v>
      </c>
      <c r="J611" t="s">
        <v>27</v>
      </c>
      <c r="K611" s="2">
        <v>41572.135487037034</v>
      </c>
      <c r="L611" t="s">
        <v>226</v>
      </c>
      <c r="M611">
        <v>422622</v>
      </c>
      <c r="N611">
        <v>2</v>
      </c>
      <c r="O611">
        <v>1</v>
      </c>
      <c r="P611">
        <v>3</v>
      </c>
      <c r="Q611">
        <v>3</v>
      </c>
      <c r="R611">
        <v>460</v>
      </c>
      <c r="S611" t="s">
        <v>1323</v>
      </c>
      <c r="T611" t="s">
        <v>3947</v>
      </c>
      <c r="U611" t="s">
        <v>146</v>
      </c>
      <c r="X611" t="s">
        <v>1860</v>
      </c>
    </row>
    <row r="612" spans="1:24" ht="12.75">
      <c r="A612" s="1" t="str">
        <f>HYPERLINK("http://www.ofsted.gov.uk/inspection-reports/find-inspection-report/provider/ELS/58865","Ofsted FES Webpage")</f>
        <v>Ofsted FES Webpage</v>
      </c>
      <c r="B612" t="s">
        <v>804</v>
      </c>
      <c r="C612">
        <v>58865</v>
      </c>
      <c r="D612">
        <v>116497</v>
      </c>
      <c r="E612" t="s">
        <v>67</v>
      </c>
      <c r="F612" t="s">
        <v>68</v>
      </c>
      <c r="G612" t="s">
        <v>225</v>
      </c>
      <c r="H612" s="2">
        <v>41456</v>
      </c>
      <c r="I612" s="2">
        <v>41460</v>
      </c>
      <c r="J612" t="s">
        <v>32</v>
      </c>
      <c r="K612" s="2">
        <v>41494.135462881946</v>
      </c>
      <c r="L612" t="s">
        <v>226</v>
      </c>
      <c r="M612">
        <v>422630</v>
      </c>
      <c r="N612">
        <v>2</v>
      </c>
      <c r="O612">
        <v>2</v>
      </c>
      <c r="P612">
        <v>3</v>
      </c>
      <c r="Q612">
        <v>3</v>
      </c>
      <c r="R612" t="s">
        <v>20</v>
      </c>
      <c r="S612" t="s">
        <v>3948</v>
      </c>
      <c r="T612" t="s">
        <v>3949</v>
      </c>
      <c r="U612" t="s">
        <v>3950</v>
      </c>
      <c r="V612" t="s">
        <v>67</v>
      </c>
      <c r="X612" t="s">
        <v>1515</v>
      </c>
    </row>
    <row r="613" spans="1:24" ht="12.75">
      <c r="A613" s="1" t="str">
        <f>HYPERLINK("http://www.ofsted.gov.uk/inspection-reports/find-inspection-report/provider/ELS/58866","Ofsted FES Webpage")</f>
        <v>Ofsted FES Webpage</v>
      </c>
      <c r="B613" t="s">
        <v>805</v>
      </c>
      <c r="C613">
        <v>58866</v>
      </c>
      <c r="D613">
        <v>116386</v>
      </c>
      <c r="E613" t="s">
        <v>249</v>
      </c>
      <c r="F613" t="s">
        <v>63</v>
      </c>
      <c r="G613" t="s">
        <v>225</v>
      </c>
      <c r="H613" s="2">
        <v>41463</v>
      </c>
      <c r="I613" s="2">
        <v>41467</v>
      </c>
      <c r="J613" t="s">
        <v>32</v>
      </c>
      <c r="K613" s="2">
        <v>41502.13548078704</v>
      </c>
      <c r="L613" t="s">
        <v>226</v>
      </c>
      <c r="M613">
        <v>422633</v>
      </c>
      <c r="N613">
        <v>2</v>
      </c>
      <c r="O613">
        <v>2</v>
      </c>
      <c r="P613">
        <v>3</v>
      </c>
      <c r="Q613">
        <v>3</v>
      </c>
      <c r="R613" t="s">
        <v>20</v>
      </c>
      <c r="S613" t="s">
        <v>2812</v>
      </c>
      <c r="T613" t="s">
        <v>2813</v>
      </c>
      <c r="U613" t="s">
        <v>2720</v>
      </c>
      <c r="V613" t="s">
        <v>249</v>
      </c>
      <c r="X613" t="s">
        <v>1450</v>
      </c>
    </row>
    <row r="614" spans="1:24" ht="12.75">
      <c r="A614" s="1" t="str">
        <f>HYPERLINK("http://www.ofsted.gov.uk/inspection-reports/find-inspection-report/provider/ELS/58867","Ofsted FES Webpage")</f>
        <v>Ofsted FES Webpage</v>
      </c>
      <c r="B614" t="s">
        <v>806</v>
      </c>
      <c r="C614">
        <v>58867</v>
      </c>
      <c r="D614">
        <v>115875</v>
      </c>
      <c r="E614" t="s">
        <v>294</v>
      </c>
      <c r="F614" t="s">
        <v>35</v>
      </c>
      <c r="G614" t="s">
        <v>225</v>
      </c>
      <c r="H614" s="2">
        <v>41442</v>
      </c>
      <c r="I614" s="2">
        <v>41446</v>
      </c>
      <c r="J614" t="s">
        <v>32</v>
      </c>
      <c r="K614" s="2">
        <v>41481.13560385416</v>
      </c>
      <c r="L614" t="s">
        <v>226</v>
      </c>
      <c r="M614">
        <v>420096</v>
      </c>
      <c r="N614">
        <v>2</v>
      </c>
      <c r="O614">
        <v>2</v>
      </c>
      <c r="P614">
        <v>3</v>
      </c>
      <c r="Q614">
        <v>3</v>
      </c>
      <c r="R614">
        <v>702</v>
      </c>
      <c r="S614" t="s">
        <v>3417</v>
      </c>
      <c r="T614" t="s">
        <v>294</v>
      </c>
      <c r="X614" t="s">
        <v>1704</v>
      </c>
    </row>
    <row r="615" spans="1:24" ht="12.75">
      <c r="A615" s="1" t="str">
        <f>HYPERLINK("http://www.ofsted.gov.uk/inspection-reports/find-inspection-report/provider/ELS/58868","Ofsted FES Webpage")</f>
        <v>Ofsted FES Webpage</v>
      </c>
      <c r="B615" t="s">
        <v>807</v>
      </c>
      <c r="C615">
        <v>58868</v>
      </c>
      <c r="D615">
        <v>116164</v>
      </c>
      <c r="E615" t="s">
        <v>686</v>
      </c>
      <c r="F615" t="s">
        <v>26</v>
      </c>
      <c r="G615" t="s">
        <v>225</v>
      </c>
      <c r="H615" s="2">
        <v>41484</v>
      </c>
      <c r="I615" s="2">
        <v>41488</v>
      </c>
      <c r="J615" t="s">
        <v>32</v>
      </c>
      <c r="K615" s="2">
        <v>41523.13567280093</v>
      </c>
      <c r="L615" t="s">
        <v>226</v>
      </c>
      <c r="M615">
        <v>420095</v>
      </c>
      <c r="N615">
        <v>2</v>
      </c>
      <c r="O615">
        <v>2</v>
      </c>
      <c r="P615">
        <v>3</v>
      </c>
      <c r="Q615">
        <v>3</v>
      </c>
      <c r="R615" t="s">
        <v>20</v>
      </c>
      <c r="S615" t="s">
        <v>3951</v>
      </c>
      <c r="T615" t="s">
        <v>3108</v>
      </c>
      <c r="U615" t="s">
        <v>3952</v>
      </c>
      <c r="V615" t="s">
        <v>686</v>
      </c>
      <c r="X615" t="s">
        <v>1974</v>
      </c>
    </row>
    <row r="616" spans="1:24" ht="12.75">
      <c r="A616" s="1" t="str">
        <f>HYPERLINK("http://www.ofsted.gov.uk/inspection-reports/find-inspection-report/provider/ELS/58926","Ofsted FES Webpage")</f>
        <v>Ofsted FES Webpage</v>
      </c>
      <c r="B616" t="s">
        <v>808</v>
      </c>
      <c r="C616">
        <v>58926</v>
      </c>
      <c r="D616">
        <v>118752</v>
      </c>
      <c r="E616" t="s">
        <v>179</v>
      </c>
      <c r="F616" t="s">
        <v>49</v>
      </c>
      <c r="G616" t="s">
        <v>160</v>
      </c>
      <c r="H616" s="2">
        <v>40673</v>
      </c>
      <c r="I616" s="2">
        <v>40676</v>
      </c>
      <c r="J616" t="s">
        <v>56</v>
      </c>
      <c r="K616" s="2">
        <v>40714.13544679398</v>
      </c>
      <c r="L616" t="s">
        <v>29</v>
      </c>
      <c r="M616">
        <v>366073</v>
      </c>
      <c r="N616">
        <v>2</v>
      </c>
      <c r="O616">
        <v>2</v>
      </c>
      <c r="P616" t="s">
        <v>20</v>
      </c>
      <c r="Q616" t="s">
        <v>20</v>
      </c>
      <c r="R616">
        <v>156</v>
      </c>
      <c r="S616" t="s">
        <v>3953</v>
      </c>
      <c r="T616" t="s">
        <v>3954</v>
      </c>
      <c r="U616" t="s">
        <v>106</v>
      </c>
      <c r="X616" t="s">
        <v>1975</v>
      </c>
    </row>
    <row r="617" spans="1:24" ht="12.75">
      <c r="A617" s="1" t="str">
        <f>HYPERLINK("http://www.ofsted.gov.uk/inspection-reports/find-inspection-report/provider/ELS/58927","Ofsted FES Webpage")</f>
        <v>Ofsted FES Webpage</v>
      </c>
      <c r="B617" t="s">
        <v>809</v>
      </c>
      <c r="C617">
        <v>58927</v>
      </c>
      <c r="D617">
        <v>118861</v>
      </c>
      <c r="E617" t="s">
        <v>350</v>
      </c>
      <c r="F617" t="s">
        <v>43</v>
      </c>
      <c r="G617" t="s">
        <v>160</v>
      </c>
      <c r="H617" s="2">
        <v>41288</v>
      </c>
      <c r="I617" s="2">
        <v>41292</v>
      </c>
      <c r="J617" t="s">
        <v>32</v>
      </c>
      <c r="K617" s="2">
        <v>41327.13547369213</v>
      </c>
      <c r="L617" t="s">
        <v>28</v>
      </c>
      <c r="M617">
        <v>399348</v>
      </c>
      <c r="N617">
        <v>2</v>
      </c>
      <c r="O617">
        <v>2</v>
      </c>
      <c r="P617">
        <v>4</v>
      </c>
      <c r="Q617">
        <v>4</v>
      </c>
      <c r="R617">
        <v>139</v>
      </c>
      <c r="S617" t="s">
        <v>3955</v>
      </c>
      <c r="T617" t="s">
        <v>3956</v>
      </c>
      <c r="U617" t="s">
        <v>3957</v>
      </c>
      <c r="V617" t="s">
        <v>2685</v>
      </c>
      <c r="X617" t="s">
        <v>1976</v>
      </c>
    </row>
    <row r="618" spans="1:24" ht="12.75">
      <c r="A618" s="1" t="str">
        <f>HYPERLINK("http://www.ofsted.gov.uk/inspection-reports/find-inspection-report/provider/ELS/58928","Ofsted FES Webpage")</f>
        <v>Ofsted FES Webpage</v>
      </c>
      <c r="B618" t="s">
        <v>810</v>
      </c>
      <c r="C618">
        <v>58928</v>
      </c>
      <c r="D618">
        <v>118834</v>
      </c>
      <c r="E618" t="s">
        <v>70</v>
      </c>
      <c r="F618" t="s">
        <v>39</v>
      </c>
      <c r="G618" t="s">
        <v>160</v>
      </c>
      <c r="H618" s="2">
        <v>40666</v>
      </c>
      <c r="I618" s="2">
        <v>40669</v>
      </c>
      <c r="J618" t="s">
        <v>56</v>
      </c>
      <c r="K618" s="2">
        <v>40703.13545891204</v>
      </c>
      <c r="L618" t="s">
        <v>29</v>
      </c>
      <c r="M618">
        <v>363543</v>
      </c>
      <c r="N618">
        <v>3</v>
      </c>
      <c r="O618">
        <v>3</v>
      </c>
      <c r="P618" t="s">
        <v>20</v>
      </c>
      <c r="Q618" t="s">
        <v>20</v>
      </c>
      <c r="R618">
        <v>747</v>
      </c>
      <c r="S618" t="s">
        <v>3958</v>
      </c>
      <c r="T618" t="s">
        <v>2433</v>
      </c>
      <c r="U618" t="s">
        <v>3959</v>
      </c>
      <c r="V618" t="s">
        <v>2537</v>
      </c>
      <c r="X618" t="s">
        <v>1977</v>
      </c>
    </row>
    <row r="619" spans="1:24" ht="12.75">
      <c r="A619" s="1" t="str">
        <f>HYPERLINK("http://www.ofsted.gov.uk/inspection-reports/find-inspection-report/provider/ELS/58929","Ofsted FES Webpage")</f>
        <v>Ofsted FES Webpage</v>
      </c>
      <c r="B619" t="s">
        <v>811</v>
      </c>
      <c r="C619">
        <v>58929</v>
      </c>
      <c r="D619">
        <v>118800</v>
      </c>
      <c r="E619" t="s">
        <v>365</v>
      </c>
      <c r="F619" t="s">
        <v>39</v>
      </c>
      <c r="G619" t="s">
        <v>160</v>
      </c>
      <c r="H619" s="8">
        <v>41848</v>
      </c>
      <c r="I619" s="9">
        <v>41852</v>
      </c>
      <c r="J619" s="8" t="s">
        <v>27</v>
      </c>
      <c r="K619" s="9">
        <v>41890.13550729166</v>
      </c>
      <c r="L619" s="10" t="s">
        <v>29</v>
      </c>
      <c r="M619" s="10">
        <v>434046</v>
      </c>
      <c r="N619">
        <v>3</v>
      </c>
      <c r="O619">
        <v>3</v>
      </c>
      <c r="P619">
        <v>3</v>
      </c>
      <c r="Q619">
        <v>3</v>
      </c>
      <c r="R619">
        <v>795</v>
      </c>
      <c r="S619" t="s">
        <v>3899</v>
      </c>
      <c r="T619" t="s">
        <v>3960</v>
      </c>
      <c r="U619" t="s">
        <v>3900</v>
      </c>
      <c r="V619" t="s">
        <v>2570</v>
      </c>
      <c r="W619" t="s">
        <v>365</v>
      </c>
      <c r="X619" t="s">
        <v>1978</v>
      </c>
    </row>
    <row r="620" spans="1:24" ht="12.75">
      <c r="A620" s="1" t="str">
        <f>HYPERLINK("http://www.ofsted.gov.uk/inspection-reports/find-inspection-report/provider/ELS/58930","Ofsted FES Webpage")</f>
        <v>Ofsted FES Webpage</v>
      </c>
      <c r="B620" t="s">
        <v>812</v>
      </c>
      <c r="C620">
        <v>58930</v>
      </c>
      <c r="D620">
        <v>118685</v>
      </c>
      <c r="E620" t="s">
        <v>653</v>
      </c>
      <c r="F620" t="s">
        <v>68</v>
      </c>
      <c r="G620" t="s">
        <v>40</v>
      </c>
      <c r="H620" s="2">
        <v>40560</v>
      </c>
      <c r="I620" s="2">
        <v>40564</v>
      </c>
      <c r="J620" t="s">
        <v>56</v>
      </c>
      <c r="K620" s="2">
        <v>40599.135452546296</v>
      </c>
      <c r="L620" t="s">
        <v>45</v>
      </c>
      <c r="M620">
        <v>363137</v>
      </c>
      <c r="N620">
        <v>2</v>
      </c>
      <c r="O620">
        <v>2</v>
      </c>
      <c r="P620" t="s">
        <v>20</v>
      </c>
      <c r="Q620" t="s">
        <v>20</v>
      </c>
      <c r="R620">
        <v>8726</v>
      </c>
      <c r="S620" t="s">
        <v>3961</v>
      </c>
      <c r="T620" t="s">
        <v>3962</v>
      </c>
      <c r="U620" t="s">
        <v>2419</v>
      </c>
      <c r="X620" t="s">
        <v>1979</v>
      </c>
    </row>
    <row r="621" spans="1:24" ht="12.75">
      <c r="A621" s="1" t="str">
        <f>HYPERLINK("http://www.ofsted.gov.uk/inspection-reports/find-inspection-report/provider/ELS/58933","Ofsted FES Webpage")</f>
        <v>Ofsted FES Webpage</v>
      </c>
      <c r="B621" t="s">
        <v>813</v>
      </c>
      <c r="C621">
        <v>58933</v>
      </c>
      <c r="D621">
        <v>118804</v>
      </c>
      <c r="E621" t="s">
        <v>124</v>
      </c>
      <c r="F621" t="s">
        <v>26</v>
      </c>
      <c r="G621" t="s">
        <v>17</v>
      </c>
      <c r="H621" s="2">
        <v>40841</v>
      </c>
      <c r="I621" s="2">
        <v>40844</v>
      </c>
      <c r="J621" t="s">
        <v>23</v>
      </c>
      <c r="K621" s="2">
        <v>40879.13545663194</v>
      </c>
      <c r="L621" t="s">
        <v>29</v>
      </c>
      <c r="M621">
        <v>376231</v>
      </c>
      <c r="N621">
        <v>2</v>
      </c>
      <c r="O621">
        <v>3</v>
      </c>
      <c r="P621" t="s">
        <v>20</v>
      </c>
      <c r="Q621" t="s">
        <v>20</v>
      </c>
      <c r="R621">
        <v>288</v>
      </c>
      <c r="S621" t="s">
        <v>3551</v>
      </c>
      <c r="T621" t="s">
        <v>124</v>
      </c>
      <c r="X621" t="s">
        <v>1773</v>
      </c>
    </row>
    <row r="622" spans="1:24" ht="12.75">
      <c r="A622" s="1" t="str">
        <f>HYPERLINK("http://www.ofsted.gov.uk/inspection-reports/find-inspection-report/provider/ELS/58935","Ofsted FES Webpage")</f>
        <v>Ofsted FES Webpage</v>
      </c>
      <c r="B622" t="s">
        <v>814</v>
      </c>
      <c r="C622">
        <v>58935</v>
      </c>
      <c r="D622">
        <v>118792</v>
      </c>
      <c r="E622" t="s">
        <v>106</v>
      </c>
      <c r="F622" t="s">
        <v>49</v>
      </c>
      <c r="G622" t="s">
        <v>17</v>
      </c>
      <c r="H622" s="2">
        <v>41331</v>
      </c>
      <c r="I622" s="2">
        <v>41334</v>
      </c>
      <c r="J622" t="s">
        <v>32</v>
      </c>
      <c r="K622" s="2">
        <v>41373.13551211805</v>
      </c>
      <c r="L622" t="s">
        <v>36</v>
      </c>
      <c r="M622">
        <v>408484</v>
      </c>
      <c r="N622">
        <v>2</v>
      </c>
      <c r="O622">
        <v>2</v>
      </c>
      <c r="P622" t="s">
        <v>20</v>
      </c>
      <c r="Q622" t="s">
        <v>20</v>
      </c>
      <c r="R622">
        <v>377</v>
      </c>
      <c r="S622" t="s">
        <v>3784</v>
      </c>
      <c r="T622" t="s">
        <v>106</v>
      </c>
      <c r="X622" t="s">
        <v>1353</v>
      </c>
    </row>
    <row r="623" spans="1:24" ht="12.75">
      <c r="A623" s="1" t="str">
        <f>HYPERLINK("http://www.ofsted.gov.uk/inspection-reports/find-inspection-report/provider/ELS/58936","Ofsted FES Webpage")</f>
        <v>Ofsted FES Webpage</v>
      </c>
      <c r="B623" t="s">
        <v>815</v>
      </c>
      <c r="C623">
        <v>58936</v>
      </c>
      <c r="D623">
        <v>118790</v>
      </c>
      <c r="E623" t="s">
        <v>51</v>
      </c>
      <c r="F623" t="s">
        <v>16</v>
      </c>
      <c r="G623" t="s">
        <v>17</v>
      </c>
      <c r="H623" s="2">
        <v>41072</v>
      </c>
      <c r="I623" s="2">
        <v>41075</v>
      </c>
      <c r="J623" t="s">
        <v>23</v>
      </c>
      <c r="K623" s="2">
        <v>41110.13563040509</v>
      </c>
      <c r="L623" t="s">
        <v>29</v>
      </c>
      <c r="M623">
        <v>388132</v>
      </c>
      <c r="N623">
        <v>2</v>
      </c>
      <c r="O623">
        <v>2</v>
      </c>
      <c r="P623" t="s">
        <v>20</v>
      </c>
      <c r="Q623" t="s">
        <v>20</v>
      </c>
      <c r="R623">
        <v>506</v>
      </c>
      <c r="S623" t="s">
        <v>2447</v>
      </c>
      <c r="T623" t="s">
        <v>2448</v>
      </c>
      <c r="W623" t="s">
        <v>15</v>
      </c>
      <c r="X623" t="s">
        <v>1335</v>
      </c>
    </row>
    <row r="624" spans="1:24" ht="12.75">
      <c r="A624" s="1" t="str">
        <f>HYPERLINK("http://www.ofsted.gov.uk/inspection-reports/find-inspection-report/provider/ELS/58951","Ofsted FES Webpage")</f>
        <v>Ofsted FES Webpage</v>
      </c>
      <c r="B624" t="s">
        <v>816</v>
      </c>
      <c r="C624">
        <v>58951</v>
      </c>
      <c r="D624">
        <v>118786</v>
      </c>
      <c r="E624" t="s">
        <v>653</v>
      </c>
      <c r="F624" t="s">
        <v>68</v>
      </c>
      <c r="G624" t="s">
        <v>17</v>
      </c>
      <c r="H624" s="2">
        <v>41435</v>
      </c>
      <c r="I624" s="2">
        <v>41439</v>
      </c>
      <c r="J624" t="s">
        <v>32</v>
      </c>
      <c r="K624" s="2">
        <v>41474.13544386574</v>
      </c>
      <c r="L624" t="s">
        <v>36</v>
      </c>
      <c r="M624">
        <v>388115</v>
      </c>
      <c r="N624">
        <v>2</v>
      </c>
      <c r="O624">
        <v>2</v>
      </c>
      <c r="P624" t="s">
        <v>20</v>
      </c>
      <c r="Q624" t="s">
        <v>20</v>
      </c>
      <c r="R624">
        <v>216</v>
      </c>
      <c r="S624" t="s">
        <v>3963</v>
      </c>
      <c r="T624" t="s">
        <v>2988</v>
      </c>
      <c r="U624" t="s">
        <v>2754</v>
      </c>
      <c r="X624" t="s">
        <v>1980</v>
      </c>
    </row>
    <row r="625" spans="1:24" ht="12.75">
      <c r="A625" s="1" t="str">
        <f>HYPERLINK("http://www.ofsted.gov.uk/inspection-reports/find-inspection-report/provider/ELS/58966","Ofsted FES Webpage")</f>
        <v>Ofsted FES Webpage</v>
      </c>
      <c r="B625" t="s">
        <v>817</v>
      </c>
      <c r="C625">
        <v>58966</v>
      </c>
      <c r="D625">
        <v>118929</v>
      </c>
      <c r="E625" t="s">
        <v>70</v>
      </c>
      <c r="F625" t="s">
        <v>39</v>
      </c>
      <c r="G625" t="s">
        <v>160</v>
      </c>
      <c r="H625" s="2">
        <v>41226</v>
      </c>
      <c r="I625" s="2">
        <v>41229</v>
      </c>
      <c r="J625" t="s">
        <v>32</v>
      </c>
      <c r="K625" s="2">
        <v>41264.13545825231</v>
      </c>
      <c r="L625" t="s">
        <v>28</v>
      </c>
      <c r="M625">
        <v>393392</v>
      </c>
      <c r="N625">
        <v>3</v>
      </c>
      <c r="O625">
        <v>3</v>
      </c>
      <c r="P625">
        <v>4</v>
      </c>
      <c r="Q625">
        <v>4</v>
      </c>
      <c r="R625">
        <v>247</v>
      </c>
      <c r="S625" t="s">
        <v>3964</v>
      </c>
      <c r="T625" t="s">
        <v>3965</v>
      </c>
      <c r="U625" t="s">
        <v>3046</v>
      </c>
      <c r="X625" t="s">
        <v>1981</v>
      </c>
    </row>
    <row r="626" spans="1:24" ht="12.75">
      <c r="A626" s="1" t="str">
        <f>HYPERLINK("http://www.ofsted.gov.uk/inspection-reports/find-inspection-report/provider/ELS/59017","Ofsted FES Webpage")</f>
        <v>Ofsted FES Webpage</v>
      </c>
      <c r="B626" t="s">
        <v>818</v>
      </c>
      <c r="C626">
        <v>59017</v>
      </c>
      <c r="D626">
        <v>118684</v>
      </c>
      <c r="E626" t="s">
        <v>644</v>
      </c>
      <c r="F626" t="s">
        <v>68</v>
      </c>
      <c r="G626" t="s">
        <v>40</v>
      </c>
      <c r="H626" s="2">
        <v>41779</v>
      </c>
      <c r="I626" s="2">
        <v>41782</v>
      </c>
      <c r="J626" t="s">
        <v>27</v>
      </c>
      <c r="K626" s="2">
        <v>41816.135544641205</v>
      </c>
      <c r="L626" t="s">
        <v>83</v>
      </c>
      <c r="M626">
        <v>434067</v>
      </c>
      <c r="N626">
        <v>2</v>
      </c>
      <c r="O626">
        <v>2</v>
      </c>
      <c r="P626">
        <v>2</v>
      </c>
      <c r="Q626">
        <v>2</v>
      </c>
      <c r="R626">
        <v>5642</v>
      </c>
      <c r="S626" t="s">
        <v>3967</v>
      </c>
      <c r="T626" t="s">
        <v>3968</v>
      </c>
      <c r="W626" t="s">
        <v>3969</v>
      </c>
      <c r="X626" t="s">
        <v>1982</v>
      </c>
    </row>
    <row r="627" spans="1:24" ht="12.75">
      <c r="A627" s="1" t="str">
        <f>HYPERLINK("http://www.ofsted.gov.uk/inspection-reports/find-inspection-report/provider/ELS/59020","Ofsted FES Webpage")</f>
        <v>Ofsted FES Webpage</v>
      </c>
      <c r="B627" t="s">
        <v>819</v>
      </c>
      <c r="C627">
        <v>59020</v>
      </c>
      <c r="D627">
        <v>119922</v>
      </c>
      <c r="E627" t="s">
        <v>213</v>
      </c>
      <c r="F627" t="s">
        <v>49</v>
      </c>
      <c r="G627" t="s">
        <v>160</v>
      </c>
      <c r="H627" s="2">
        <v>41114</v>
      </c>
      <c r="I627" s="2">
        <v>41117</v>
      </c>
      <c r="J627" t="s">
        <v>23</v>
      </c>
      <c r="K627" s="2">
        <v>41155.135488657404</v>
      </c>
      <c r="L627" t="s">
        <v>29</v>
      </c>
      <c r="M627">
        <v>388134</v>
      </c>
      <c r="N627">
        <v>2</v>
      </c>
      <c r="O627">
        <v>2</v>
      </c>
      <c r="P627" t="s">
        <v>20</v>
      </c>
      <c r="Q627" t="s">
        <v>20</v>
      </c>
      <c r="R627">
        <v>718</v>
      </c>
      <c r="S627" t="s">
        <v>3971</v>
      </c>
      <c r="T627" t="s">
        <v>3617</v>
      </c>
      <c r="U627" t="s">
        <v>3867</v>
      </c>
      <c r="X627" t="s">
        <v>1984</v>
      </c>
    </row>
    <row r="628" spans="1:24" ht="12.75">
      <c r="A628" s="1" t="str">
        <f>HYPERLINK("http://www.ofsted.gov.uk/inspection-reports/find-inspection-report/provider/ELS/59021","Ofsted FES Webpage")</f>
        <v>Ofsted FES Webpage</v>
      </c>
      <c r="B628" t="s">
        <v>820</v>
      </c>
      <c r="C628">
        <v>59021</v>
      </c>
      <c r="D628">
        <v>118734</v>
      </c>
      <c r="E628" t="s">
        <v>286</v>
      </c>
      <c r="F628" t="s">
        <v>39</v>
      </c>
      <c r="G628" t="s">
        <v>40</v>
      </c>
      <c r="H628" s="2">
        <v>40707</v>
      </c>
      <c r="I628" s="2">
        <v>40711</v>
      </c>
      <c r="J628" t="s">
        <v>56</v>
      </c>
      <c r="K628" s="2">
        <v>40746.13546670139</v>
      </c>
      <c r="L628" t="s">
        <v>45</v>
      </c>
      <c r="M628">
        <v>363133</v>
      </c>
      <c r="N628">
        <v>2</v>
      </c>
      <c r="O628">
        <v>2</v>
      </c>
      <c r="P628" t="s">
        <v>20</v>
      </c>
      <c r="Q628" t="s">
        <v>20</v>
      </c>
      <c r="R628">
        <v>3048</v>
      </c>
      <c r="S628" t="s">
        <v>3972</v>
      </c>
      <c r="T628" t="s">
        <v>3973</v>
      </c>
      <c r="U628" t="s">
        <v>3750</v>
      </c>
      <c r="V628" t="s">
        <v>3751</v>
      </c>
      <c r="X628" t="s">
        <v>1985</v>
      </c>
    </row>
    <row r="629" spans="1:24" ht="12.75">
      <c r="A629" s="1" t="str">
        <f>HYPERLINK("http://www.ofsted.gov.uk/inspection-reports/find-inspection-report/provider/ELS/59042","Ofsted FES Webpage")</f>
        <v>Ofsted FES Webpage</v>
      </c>
      <c r="B629" t="s">
        <v>821</v>
      </c>
      <c r="C629">
        <v>59042</v>
      </c>
      <c r="D629">
        <v>119205</v>
      </c>
      <c r="E629" t="s">
        <v>291</v>
      </c>
      <c r="F629" t="s">
        <v>35</v>
      </c>
      <c r="G629" t="s">
        <v>160</v>
      </c>
      <c r="H629" s="2">
        <v>41723</v>
      </c>
      <c r="I629" s="2">
        <v>41726</v>
      </c>
      <c r="J629" t="s">
        <v>27</v>
      </c>
      <c r="K629" s="2">
        <v>41768.13546427083</v>
      </c>
      <c r="L629" t="s">
        <v>29</v>
      </c>
      <c r="M629">
        <v>429777</v>
      </c>
      <c r="N629">
        <v>4</v>
      </c>
      <c r="O629">
        <v>3</v>
      </c>
      <c r="P629">
        <v>3</v>
      </c>
      <c r="Q629">
        <v>3</v>
      </c>
      <c r="R629">
        <v>716</v>
      </c>
      <c r="S629" t="s">
        <v>3974</v>
      </c>
      <c r="T629" t="s">
        <v>35</v>
      </c>
      <c r="X629" t="s">
        <v>1986</v>
      </c>
    </row>
    <row r="630" spans="1:24" ht="12.75">
      <c r="A630" s="1" t="str">
        <f>HYPERLINK("http://www.ofsted.gov.uk/inspection-reports/find-inspection-report/provider/ELS/59065","Ofsted FES Webpage")</f>
        <v>Ofsted FES Webpage</v>
      </c>
      <c r="B630" t="s">
        <v>822</v>
      </c>
      <c r="C630">
        <v>59065</v>
      </c>
      <c r="D630">
        <v>119231</v>
      </c>
      <c r="E630" t="s">
        <v>350</v>
      </c>
      <c r="F630" t="s">
        <v>43</v>
      </c>
      <c r="G630" t="s">
        <v>160</v>
      </c>
      <c r="H630" s="2">
        <v>41674</v>
      </c>
      <c r="I630" s="2">
        <v>41677</v>
      </c>
      <c r="J630" t="s">
        <v>27</v>
      </c>
      <c r="K630" s="2">
        <v>41715.13545069445</v>
      </c>
      <c r="L630" t="s">
        <v>60</v>
      </c>
      <c r="M630">
        <v>429093</v>
      </c>
      <c r="N630">
        <v>2</v>
      </c>
      <c r="O630">
        <v>2</v>
      </c>
      <c r="P630">
        <v>3</v>
      </c>
      <c r="Q630">
        <v>3</v>
      </c>
      <c r="R630">
        <v>522</v>
      </c>
      <c r="S630" t="s">
        <v>3976</v>
      </c>
      <c r="T630" t="s">
        <v>2685</v>
      </c>
      <c r="U630" t="s">
        <v>350</v>
      </c>
      <c r="X630" t="s">
        <v>1987</v>
      </c>
    </row>
    <row r="631" spans="1:24" ht="12.75">
      <c r="A631" s="1" t="str">
        <f>HYPERLINK("http://www.ofsted.gov.uk/inspection-reports/find-inspection-report/provider/ELS/59066","Ofsted FES Webpage")</f>
        <v>Ofsted FES Webpage</v>
      </c>
      <c r="B631" t="s">
        <v>823</v>
      </c>
      <c r="C631">
        <v>59066</v>
      </c>
      <c r="D631">
        <v>114960</v>
      </c>
      <c r="E631" t="s">
        <v>97</v>
      </c>
      <c r="F631" t="s">
        <v>26</v>
      </c>
      <c r="G631" t="s">
        <v>17</v>
      </c>
      <c r="H631" s="2">
        <v>41177</v>
      </c>
      <c r="I631" s="2">
        <v>41180</v>
      </c>
      <c r="J631" t="s">
        <v>32</v>
      </c>
      <c r="K631" s="2">
        <v>41215.13555424769</v>
      </c>
      <c r="L631" t="s">
        <v>36</v>
      </c>
      <c r="M631">
        <v>399128</v>
      </c>
      <c r="N631">
        <v>2</v>
      </c>
      <c r="O631">
        <v>2</v>
      </c>
      <c r="P631" t="s">
        <v>20</v>
      </c>
      <c r="Q631" t="s">
        <v>20</v>
      </c>
      <c r="R631">
        <v>197</v>
      </c>
      <c r="S631" t="s">
        <v>3977</v>
      </c>
      <c r="T631" t="s">
        <v>97</v>
      </c>
      <c r="X631" t="s">
        <v>1988</v>
      </c>
    </row>
    <row r="632" spans="1:24" ht="12.75">
      <c r="A632" s="1" t="str">
        <f>HYPERLINK("http://www.ofsted.gov.uk/inspection-reports/find-inspection-report/provider/ELS/59071","Ofsted FES Webpage")</f>
        <v>Ofsted FES Webpage</v>
      </c>
      <c r="B632" t="s">
        <v>824</v>
      </c>
      <c r="C632">
        <v>59071</v>
      </c>
      <c r="D632">
        <v>107646</v>
      </c>
      <c r="E632" t="s">
        <v>80</v>
      </c>
      <c r="F632" t="s">
        <v>26</v>
      </c>
      <c r="G632" t="s">
        <v>40</v>
      </c>
      <c r="H632" s="2">
        <v>40946</v>
      </c>
      <c r="I632" s="2">
        <v>40949</v>
      </c>
      <c r="J632" t="s">
        <v>23</v>
      </c>
      <c r="K632" s="2">
        <v>40983.13581550926</v>
      </c>
      <c r="L632" t="s">
        <v>19</v>
      </c>
      <c r="M632">
        <v>385751</v>
      </c>
      <c r="N632">
        <v>2</v>
      </c>
      <c r="O632">
        <v>2</v>
      </c>
      <c r="P632" t="s">
        <v>20</v>
      </c>
      <c r="Q632" t="s">
        <v>20</v>
      </c>
      <c r="R632">
        <v>504</v>
      </c>
      <c r="S632" t="s">
        <v>3503</v>
      </c>
      <c r="T632" t="s">
        <v>80</v>
      </c>
      <c r="X632" t="s">
        <v>1989</v>
      </c>
    </row>
    <row r="633" spans="1:24" ht="12.75">
      <c r="A633" s="1" t="str">
        <f>HYPERLINK("http://www.ofsted.gov.uk/inspection-reports/find-inspection-report/provider/ELS/59072","Ofsted FES Webpage")</f>
        <v>Ofsted FES Webpage</v>
      </c>
      <c r="B633" t="s">
        <v>825</v>
      </c>
      <c r="C633">
        <v>59072</v>
      </c>
      <c r="D633">
        <v>109922</v>
      </c>
      <c r="E633" t="s">
        <v>93</v>
      </c>
      <c r="F633" t="s">
        <v>49</v>
      </c>
      <c r="G633" t="s">
        <v>40</v>
      </c>
      <c r="H633" s="2">
        <v>40953</v>
      </c>
      <c r="I633" s="2">
        <v>40956</v>
      </c>
      <c r="J633" t="s">
        <v>23</v>
      </c>
      <c r="K633" s="2">
        <v>40991.13564930556</v>
      </c>
      <c r="L633" t="s">
        <v>19</v>
      </c>
      <c r="M633">
        <v>385726</v>
      </c>
      <c r="N633">
        <v>3</v>
      </c>
      <c r="O633">
        <v>3</v>
      </c>
      <c r="P633" t="s">
        <v>20</v>
      </c>
      <c r="Q633" t="s">
        <v>20</v>
      </c>
      <c r="R633">
        <v>209</v>
      </c>
      <c r="S633" t="s">
        <v>2664</v>
      </c>
      <c r="T633" t="s">
        <v>2665</v>
      </c>
      <c r="U633" t="s">
        <v>2666</v>
      </c>
      <c r="X633" t="s">
        <v>1990</v>
      </c>
    </row>
    <row r="634" spans="1:24" ht="12.75">
      <c r="A634" s="1" t="str">
        <f>HYPERLINK("http://www.ofsted.gov.uk/inspection-reports/find-inspection-report/provider/ELS/59074","Ofsted FES Webpage")</f>
        <v>Ofsted FES Webpage</v>
      </c>
      <c r="B634" t="s">
        <v>826</v>
      </c>
      <c r="C634">
        <v>59074</v>
      </c>
      <c r="D634">
        <v>119428</v>
      </c>
      <c r="E634" t="s">
        <v>653</v>
      </c>
      <c r="F634" t="s">
        <v>68</v>
      </c>
      <c r="G634" t="s">
        <v>160</v>
      </c>
      <c r="H634" s="2">
        <v>41533</v>
      </c>
      <c r="I634" s="2">
        <v>41537</v>
      </c>
      <c r="J634" t="s">
        <v>27</v>
      </c>
      <c r="K634" s="2">
        <v>41572.13552797454</v>
      </c>
      <c r="L634" t="s">
        <v>36</v>
      </c>
      <c r="M634">
        <v>424466</v>
      </c>
      <c r="N634">
        <v>3</v>
      </c>
      <c r="O634">
        <v>3</v>
      </c>
      <c r="P634" t="s">
        <v>20</v>
      </c>
      <c r="Q634" t="s">
        <v>20</v>
      </c>
      <c r="R634">
        <v>768</v>
      </c>
      <c r="S634" t="s">
        <v>3978</v>
      </c>
      <c r="T634" t="s">
        <v>3979</v>
      </c>
      <c r="U634" t="s">
        <v>3980</v>
      </c>
      <c r="V634" t="s">
        <v>3766</v>
      </c>
      <c r="W634" t="s">
        <v>3981</v>
      </c>
      <c r="X634" t="s">
        <v>1991</v>
      </c>
    </row>
    <row r="635" spans="1:24" ht="12.75">
      <c r="A635" s="1" t="str">
        <f>HYPERLINK("http://www.ofsted.gov.uk/inspection-reports/find-inspection-report/provider/ELS/59075","Ofsted FES Webpage")</f>
        <v>Ofsted FES Webpage</v>
      </c>
      <c r="B635" t="s">
        <v>827</v>
      </c>
      <c r="C635">
        <v>59075</v>
      </c>
      <c r="D635">
        <v>119419</v>
      </c>
      <c r="E635" t="s">
        <v>15</v>
      </c>
      <c r="F635" t="s">
        <v>16</v>
      </c>
      <c r="G635" t="s">
        <v>160</v>
      </c>
      <c r="H635" s="2">
        <v>41541</v>
      </c>
      <c r="I635" s="2">
        <v>41544</v>
      </c>
      <c r="J635" t="s">
        <v>27</v>
      </c>
      <c r="K635" s="2">
        <v>41579.135481446756</v>
      </c>
      <c r="L635" t="s">
        <v>29</v>
      </c>
      <c r="M635">
        <v>424465</v>
      </c>
      <c r="N635">
        <v>3</v>
      </c>
      <c r="O635">
        <v>3</v>
      </c>
      <c r="P635" t="s">
        <v>20</v>
      </c>
      <c r="Q635" t="s">
        <v>20</v>
      </c>
      <c r="R635">
        <v>394</v>
      </c>
      <c r="S635" t="s">
        <v>3982</v>
      </c>
      <c r="T635" t="s">
        <v>15</v>
      </c>
      <c r="X635" t="s">
        <v>1992</v>
      </c>
    </row>
    <row r="636" spans="1:24" ht="12.75">
      <c r="A636" s="1" t="str">
        <f>HYPERLINK("http://www.ofsted.gov.uk/inspection-reports/find-inspection-report/provider/ELS/59076","Ofsted FES Webpage")</f>
        <v>Ofsted FES Webpage</v>
      </c>
      <c r="B636" t="s">
        <v>828</v>
      </c>
      <c r="C636">
        <v>59076</v>
      </c>
      <c r="D636">
        <v>118083</v>
      </c>
      <c r="E636" t="s">
        <v>199</v>
      </c>
      <c r="F636" t="s">
        <v>63</v>
      </c>
      <c r="G636" t="s">
        <v>225</v>
      </c>
      <c r="H636" s="2">
        <v>41533</v>
      </c>
      <c r="I636" s="2">
        <v>41537</v>
      </c>
      <c r="J636" t="s">
        <v>27</v>
      </c>
      <c r="K636" s="2">
        <v>41572.135492824076</v>
      </c>
      <c r="L636" t="s">
        <v>226</v>
      </c>
      <c r="M636">
        <v>422635</v>
      </c>
      <c r="N636">
        <v>2</v>
      </c>
      <c r="O636">
        <v>2</v>
      </c>
      <c r="P636">
        <v>2</v>
      </c>
      <c r="Q636">
        <v>2</v>
      </c>
      <c r="R636">
        <v>437</v>
      </c>
      <c r="S636" t="s">
        <v>3983</v>
      </c>
      <c r="T636" t="s">
        <v>2484</v>
      </c>
      <c r="X636" t="s">
        <v>1993</v>
      </c>
    </row>
    <row r="637" spans="1:24" ht="12.75">
      <c r="A637" s="1" t="str">
        <f>HYPERLINK("http://www.ofsted.gov.uk/inspection-reports/find-inspection-report/provider/ELS/59079","Ofsted FES Webpage")</f>
        <v>Ofsted FES Webpage</v>
      </c>
      <c r="B637" t="s">
        <v>829</v>
      </c>
      <c r="C637">
        <v>59079</v>
      </c>
      <c r="D637">
        <v>119807</v>
      </c>
      <c r="E637" t="s">
        <v>91</v>
      </c>
      <c r="F637" t="s">
        <v>43</v>
      </c>
      <c r="G637" t="s">
        <v>17</v>
      </c>
      <c r="H637" s="2">
        <v>41534</v>
      </c>
      <c r="I637" s="2">
        <v>41537</v>
      </c>
      <c r="J637" t="s">
        <v>27</v>
      </c>
      <c r="K637" s="2">
        <v>41572.13552202546</v>
      </c>
      <c r="L637" t="s">
        <v>36</v>
      </c>
      <c r="M637">
        <v>423822</v>
      </c>
      <c r="N637">
        <v>2</v>
      </c>
      <c r="O637">
        <v>3</v>
      </c>
      <c r="P637" t="s">
        <v>20</v>
      </c>
      <c r="Q637" t="s">
        <v>20</v>
      </c>
      <c r="R637">
        <v>555</v>
      </c>
      <c r="S637" t="s">
        <v>3984</v>
      </c>
      <c r="T637" t="s">
        <v>3985</v>
      </c>
      <c r="U637" t="s">
        <v>3089</v>
      </c>
      <c r="V637" t="s">
        <v>91</v>
      </c>
      <c r="X637" t="s">
        <v>1994</v>
      </c>
    </row>
    <row r="638" spans="1:24" ht="12.75">
      <c r="A638" s="1" t="str">
        <f>HYPERLINK("http://www.ofsted.gov.uk/inspection-reports/find-inspection-report/provider/ELS/59080","Ofsted FES Webpage")</f>
        <v>Ofsted FES Webpage</v>
      </c>
      <c r="B638" t="s">
        <v>830</v>
      </c>
      <c r="C638">
        <v>59080</v>
      </c>
      <c r="D638">
        <v>119806</v>
      </c>
      <c r="E638" t="s">
        <v>350</v>
      </c>
      <c r="F638" t="s">
        <v>43</v>
      </c>
      <c r="G638" t="s">
        <v>17</v>
      </c>
      <c r="H638" s="8">
        <v>41869</v>
      </c>
      <c r="I638" s="9">
        <v>41873</v>
      </c>
      <c r="J638" s="8" t="s">
        <v>27</v>
      </c>
      <c r="K638" s="9">
        <v>41911.13546400463</v>
      </c>
      <c r="L638" s="10" t="s">
        <v>60</v>
      </c>
      <c r="M638" s="10">
        <v>429229</v>
      </c>
      <c r="N638">
        <v>2</v>
      </c>
      <c r="O638">
        <v>2</v>
      </c>
      <c r="P638">
        <v>3</v>
      </c>
      <c r="Q638">
        <v>3</v>
      </c>
      <c r="R638">
        <v>1140</v>
      </c>
      <c r="S638" t="s">
        <v>2577</v>
      </c>
      <c r="T638" t="s">
        <v>2910</v>
      </c>
      <c r="U638" t="s">
        <v>3291</v>
      </c>
      <c r="V638" t="s">
        <v>2381</v>
      </c>
      <c r="X638" t="s">
        <v>1646</v>
      </c>
    </row>
    <row r="639" spans="1:24" ht="12.75">
      <c r="A639" s="1" t="str">
        <f>HYPERLINK("http://www.ofsted.gov.uk/inspection-reports/find-inspection-report/provider/ELS/59082","Ofsted FES Webpage")</f>
        <v>Ofsted FES Webpage</v>
      </c>
      <c r="B639" t="s">
        <v>831</v>
      </c>
      <c r="C639">
        <v>59082</v>
      </c>
      <c r="D639">
        <v>119801</v>
      </c>
      <c r="E639" t="s">
        <v>456</v>
      </c>
      <c r="F639" t="s">
        <v>35</v>
      </c>
      <c r="G639" t="s">
        <v>17</v>
      </c>
      <c r="H639" s="2">
        <v>41576</v>
      </c>
      <c r="I639" s="2">
        <v>41579</v>
      </c>
      <c r="J639" t="s">
        <v>27</v>
      </c>
      <c r="K639" s="2">
        <v>41614.135497951385</v>
      </c>
      <c r="L639" t="s">
        <v>36</v>
      </c>
      <c r="M639">
        <v>423829</v>
      </c>
      <c r="N639">
        <v>2</v>
      </c>
      <c r="O639">
        <v>2</v>
      </c>
      <c r="P639" t="s">
        <v>20</v>
      </c>
      <c r="Q639" t="s">
        <v>20</v>
      </c>
      <c r="R639">
        <v>508</v>
      </c>
      <c r="S639" t="s">
        <v>3583</v>
      </c>
      <c r="T639" t="s">
        <v>3584</v>
      </c>
      <c r="U639" t="s">
        <v>35</v>
      </c>
      <c r="X639" t="s">
        <v>1791</v>
      </c>
    </row>
    <row r="640" spans="1:24" ht="12.75">
      <c r="A640" s="1" t="str">
        <f>HYPERLINK("http://www.ofsted.gov.uk/inspection-reports/find-inspection-report/provider/ELS/59083","Ofsted FES Webpage")</f>
        <v>Ofsted FES Webpage</v>
      </c>
      <c r="B640" t="s">
        <v>832</v>
      </c>
      <c r="C640">
        <v>59083</v>
      </c>
      <c r="D640">
        <v>119805</v>
      </c>
      <c r="E640" t="s">
        <v>51</v>
      </c>
      <c r="F640" t="s">
        <v>16</v>
      </c>
      <c r="G640" t="s">
        <v>17</v>
      </c>
      <c r="H640" s="2">
        <v>41590</v>
      </c>
      <c r="I640" s="2">
        <v>41593</v>
      </c>
      <c r="J640" t="s">
        <v>27</v>
      </c>
      <c r="K640" s="2">
        <v>41625.1354528125</v>
      </c>
      <c r="L640" t="s">
        <v>36</v>
      </c>
      <c r="M640">
        <v>423838</v>
      </c>
      <c r="N640">
        <v>2</v>
      </c>
      <c r="O640">
        <v>2</v>
      </c>
      <c r="P640" t="s">
        <v>20</v>
      </c>
      <c r="Q640" t="s">
        <v>20</v>
      </c>
      <c r="R640">
        <v>369</v>
      </c>
      <c r="S640" t="s">
        <v>3986</v>
      </c>
      <c r="T640" t="s">
        <v>2979</v>
      </c>
      <c r="U640" t="s">
        <v>51</v>
      </c>
      <c r="X640" t="s">
        <v>1511</v>
      </c>
    </row>
    <row r="641" spans="1:24" ht="12.75">
      <c r="A641" s="1" t="str">
        <f>HYPERLINK("http://www.ofsted.gov.uk/inspection-reports/find-inspection-report/provider/ELS/59093","Ofsted FES Webpage")</f>
        <v>Ofsted FES Webpage</v>
      </c>
      <c r="B641" t="s">
        <v>833</v>
      </c>
      <c r="C641">
        <v>59093</v>
      </c>
      <c r="D641">
        <v>119803</v>
      </c>
      <c r="E641" t="s">
        <v>268</v>
      </c>
      <c r="F641" t="s">
        <v>63</v>
      </c>
      <c r="G641" t="s">
        <v>17</v>
      </c>
      <c r="H641" s="2">
        <v>41330</v>
      </c>
      <c r="I641" s="2">
        <v>41334</v>
      </c>
      <c r="J641" t="s">
        <v>32</v>
      </c>
      <c r="K641" s="2">
        <v>41373.135529548614</v>
      </c>
      <c r="L641" t="s">
        <v>36</v>
      </c>
      <c r="M641">
        <v>408541</v>
      </c>
      <c r="N641">
        <v>2</v>
      </c>
      <c r="O641">
        <v>2</v>
      </c>
      <c r="P641" t="s">
        <v>20</v>
      </c>
      <c r="Q641" t="s">
        <v>20</v>
      </c>
      <c r="R641">
        <v>917</v>
      </c>
      <c r="S641" t="s">
        <v>3735</v>
      </c>
      <c r="T641" t="s">
        <v>2595</v>
      </c>
      <c r="U641" t="s">
        <v>268</v>
      </c>
      <c r="X641" t="s">
        <v>1995</v>
      </c>
    </row>
    <row r="642" spans="1:24" ht="12.75">
      <c r="A642" s="1" t="str">
        <f>HYPERLINK("http://www.ofsted.gov.uk/inspection-reports/find-inspection-report/provider/ELS/59094","Ofsted FES Webpage")</f>
        <v>Ofsted FES Webpage</v>
      </c>
      <c r="B642" t="s">
        <v>834</v>
      </c>
      <c r="C642">
        <v>59094</v>
      </c>
      <c r="D642">
        <v>119924</v>
      </c>
      <c r="E642" t="s">
        <v>25</v>
      </c>
      <c r="F642" t="s">
        <v>26</v>
      </c>
      <c r="G642" t="s">
        <v>17</v>
      </c>
      <c r="H642" s="2">
        <v>41617</v>
      </c>
      <c r="I642" s="2">
        <v>41621</v>
      </c>
      <c r="J642" t="s">
        <v>27</v>
      </c>
      <c r="K642" s="2">
        <v>41659.135477083335</v>
      </c>
      <c r="L642" t="s">
        <v>36</v>
      </c>
      <c r="M642">
        <v>423830</v>
      </c>
      <c r="N642">
        <v>2</v>
      </c>
      <c r="O642">
        <v>2</v>
      </c>
      <c r="P642" t="s">
        <v>20</v>
      </c>
      <c r="Q642" t="s">
        <v>20</v>
      </c>
      <c r="R642">
        <v>21010</v>
      </c>
      <c r="S642" t="s">
        <v>2512</v>
      </c>
      <c r="T642" t="s">
        <v>3966</v>
      </c>
      <c r="U642" t="s">
        <v>25</v>
      </c>
      <c r="X642" t="s">
        <v>1351</v>
      </c>
    </row>
    <row r="643" spans="1:24" ht="12.75">
      <c r="A643" s="1" t="str">
        <f>HYPERLINK("http://www.ofsted.gov.uk/inspection-reports/find-inspection-report/provider/ELS/59106","Ofsted FES Webpage")</f>
        <v>Ofsted FES Webpage</v>
      </c>
      <c r="B643" t="s">
        <v>835</v>
      </c>
      <c r="C643">
        <v>59106</v>
      </c>
      <c r="D643">
        <v>119750</v>
      </c>
      <c r="E643" t="s">
        <v>42</v>
      </c>
      <c r="F643" t="s">
        <v>43</v>
      </c>
      <c r="G643" t="s">
        <v>160</v>
      </c>
      <c r="H643" s="2">
        <v>41541</v>
      </c>
      <c r="I643" s="2">
        <v>41544</v>
      </c>
      <c r="J643" t="s">
        <v>27</v>
      </c>
      <c r="K643" s="2">
        <v>41579.135464039355</v>
      </c>
      <c r="L643" t="s">
        <v>29</v>
      </c>
      <c r="M643">
        <v>423729</v>
      </c>
      <c r="N643">
        <v>4</v>
      </c>
      <c r="O643">
        <v>4</v>
      </c>
      <c r="P643" t="s">
        <v>20</v>
      </c>
      <c r="Q643" t="s">
        <v>20</v>
      </c>
      <c r="R643">
        <v>47</v>
      </c>
      <c r="S643" t="s">
        <v>3987</v>
      </c>
      <c r="T643" t="s">
        <v>3988</v>
      </c>
      <c r="U643" t="s">
        <v>3752</v>
      </c>
      <c r="V643" t="s">
        <v>3221</v>
      </c>
      <c r="W643" t="s">
        <v>42</v>
      </c>
      <c r="X643" t="s">
        <v>1996</v>
      </c>
    </row>
    <row r="644" spans="1:24" ht="12.75">
      <c r="A644" s="1" t="str">
        <f>HYPERLINK("http://www.ofsted.gov.uk/inspection-reports/find-inspection-report/provider/ELS/59108","Ofsted FES Webpage")</f>
        <v>Ofsted FES Webpage</v>
      </c>
      <c r="B644" t="s">
        <v>836</v>
      </c>
      <c r="C644">
        <v>59108</v>
      </c>
      <c r="D644">
        <v>119831</v>
      </c>
      <c r="E644" t="s">
        <v>399</v>
      </c>
      <c r="F644" t="s">
        <v>16</v>
      </c>
      <c r="G644" t="s">
        <v>160</v>
      </c>
      <c r="H644" s="2">
        <v>41562</v>
      </c>
      <c r="I644" s="2">
        <v>41565</v>
      </c>
      <c r="J644" t="s">
        <v>27</v>
      </c>
      <c r="K644" s="2">
        <v>41596.135474270835</v>
      </c>
      <c r="L644" t="s">
        <v>29</v>
      </c>
      <c r="M644">
        <v>423727</v>
      </c>
      <c r="N644">
        <v>3</v>
      </c>
      <c r="O644">
        <v>3</v>
      </c>
      <c r="P644" t="s">
        <v>20</v>
      </c>
      <c r="Q644" t="s">
        <v>20</v>
      </c>
      <c r="R644">
        <v>693</v>
      </c>
      <c r="S644" t="s">
        <v>3989</v>
      </c>
      <c r="T644" t="s">
        <v>3990</v>
      </c>
      <c r="U644" t="s">
        <v>397</v>
      </c>
      <c r="X644" t="s">
        <v>1997</v>
      </c>
    </row>
    <row r="645" spans="1:24" ht="12.75">
      <c r="A645" s="1" t="str">
        <f>HYPERLINK("http://www.ofsted.gov.uk/inspection-reports/find-inspection-report/provider/ELS/59109","Ofsted FES Webpage")</f>
        <v>Ofsted FES Webpage</v>
      </c>
      <c r="B645" t="s">
        <v>837</v>
      </c>
      <c r="C645">
        <v>59109</v>
      </c>
      <c r="D645">
        <v>120015</v>
      </c>
      <c r="E645" t="s">
        <v>91</v>
      </c>
      <c r="F645" t="s">
        <v>43</v>
      </c>
      <c r="G645" t="s">
        <v>17</v>
      </c>
      <c r="H645" s="2">
        <v>41799</v>
      </c>
      <c r="I645" s="2">
        <v>41803</v>
      </c>
      <c r="J645" t="s">
        <v>27</v>
      </c>
      <c r="K645" s="2">
        <v>41838.13547943287</v>
      </c>
      <c r="L645" t="s">
        <v>60</v>
      </c>
      <c r="M645">
        <v>429230</v>
      </c>
      <c r="N645">
        <v>2</v>
      </c>
      <c r="O645">
        <v>2</v>
      </c>
      <c r="P645">
        <v>3</v>
      </c>
      <c r="Q645">
        <v>3</v>
      </c>
      <c r="R645">
        <v>65</v>
      </c>
      <c r="S645" t="s">
        <v>3970</v>
      </c>
      <c r="T645" t="s">
        <v>2739</v>
      </c>
      <c r="W645" t="s">
        <v>91</v>
      </c>
      <c r="X645" t="s">
        <v>1983</v>
      </c>
    </row>
    <row r="646" spans="1:24" ht="12.75">
      <c r="A646" s="1" t="str">
        <f>HYPERLINK("http://www.ofsted.gov.uk/inspection-reports/find-inspection-report/provider/ELS/59122","Ofsted FES Webpage")</f>
        <v>Ofsted FES Webpage</v>
      </c>
      <c r="B646" t="s">
        <v>838</v>
      </c>
      <c r="C646">
        <v>59122</v>
      </c>
      <c r="D646">
        <v>118146</v>
      </c>
      <c r="E646" t="s">
        <v>429</v>
      </c>
      <c r="F646" t="s">
        <v>35</v>
      </c>
      <c r="G646" t="s">
        <v>17</v>
      </c>
      <c r="H646" s="2">
        <v>41561</v>
      </c>
      <c r="I646" s="2">
        <v>41564</v>
      </c>
      <c r="J646" t="s">
        <v>27</v>
      </c>
      <c r="K646" s="2">
        <v>41599.13548052083</v>
      </c>
      <c r="L646" t="s">
        <v>36</v>
      </c>
      <c r="M646">
        <v>423832</v>
      </c>
      <c r="N646">
        <v>3</v>
      </c>
      <c r="O646">
        <v>3</v>
      </c>
      <c r="P646" t="s">
        <v>20</v>
      </c>
      <c r="Q646" t="s">
        <v>20</v>
      </c>
      <c r="R646">
        <v>228</v>
      </c>
      <c r="S646" t="s">
        <v>3993</v>
      </c>
      <c r="T646" t="s">
        <v>35</v>
      </c>
      <c r="X646" t="s">
        <v>2001</v>
      </c>
    </row>
    <row r="647" spans="1:24" ht="12.75">
      <c r="A647" s="1" t="str">
        <f>HYPERLINK("http://www.ofsted.gov.uk/inspection-reports/find-inspection-report/provider/ELS/59124","Ofsted FES Webpage")</f>
        <v>Ofsted FES Webpage</v>
      </c>
      <c r="B647" t="s">
        <v>839</v>
      </c>
      <c r="C647">
        <v>59124</v>
      </c>
      <c r="D647">
        <v>121216</v>
      </c>
      <c r="E647" t="s">
        <v>38</v>
      </c>
      <c r="F647" t="s">
        <v>39</v>
      </c>
      <c r="G647" t="s">
        <v>17</v>
      </c>
      <c r="H647" s="2">
        <v>41605</v>
      </c>
      <c r="I647" s="2">
        <v>41607</v>
      </c>
      <c r="J647" t="s">
        <v>27</v>
      </c>
      <c r="K647" s="2">
        <v>41647.13555413194</v>
      </c>
      <c r="L647" t="s">
        <v>36</v>
      </c>
      <c r="M647">
        <v>423816</v>
      </c>
      <c r="N647">
        <v>3</v>
      </c>
      <c r="O647">
        <v>3</v>
      </c>
      <c r="P647" t="s">
        <v>20</v>
      </c>
      <c r="Q647" t="s">
        <v>20</v>
      </c>
      <c r="R647">
        <v>25</v>
      </c>
      <c r="S647" t="s">
        <v>2516</v>
      </c>
      <c r="T647" t="s">
        <v>3994</v>
      </c>
      <c r="U647" t="s">
        <v>3995</v>
      </c>
      <c r="V647" t="s">
        <v>2424</v>
      </c>
      <c r="X647" t="s">
        <v>2002</v>
      </c>
    </row>
    <row r="648" spans="1:24" ht="12.75">
      <c r="A648" s="1" t="str">
        <f>HYPERLINK("http://www.ofsted.gov.uk/inspection-reports/find-inspection-report/provider/ELS/59126","Ofsted FES Webpage")</f>
        <v>Ofsted FES Webpage</v>
      </c>
      <c r="B648" t="s">
        <v>840</v>
      </c>
      <c r="C648">
        <v>59126</v>
      </c>
      <c r="D648">
        <v>121218</v>
      </c>
      <c r="E648" t="s">
        <v>164</v>
      </c>
      <c r="F648" t="s">
        <v>26</v>
      </c>
      <c r="G648" t="s">
        <v>17</v>
      </c>
      <c r="H648" s="2">
        <v>41597</v>
      </c>
      <c r="I648" s="2">
        <v>41600</v>
      </c>
      <c r="J648" t="s">
        <v>27</v>
      </c>
      <c r="K648" s="2">
        <v>41635.13556608796</v>
      </c>
      <c r="L648" t="s">
        <v>36</v>
      </c>
      <c r="M648">
        <v>429007</v>
      </c>
      <c r="N648">
        <v>2</v>
      </c>
      <c r="O648">
        <v>2</v>
      </c>
      <c r="P648" t="s">
        <v>20</v>
      </c>
      <c r="Q648" t="s">
        <v>20</v>
      </c>
      <c r="R648">
        <v>1037</v>
      </c>
      <c r="S648" t="s">
        <v>3996</v>
      </c>
      <c r="T648" t="s">
        <v>3997</v>
      </c>
      <c r="U648" t="s">
        <v>3998</v>
      </c>
      <c r="X648" t="s">
        <v>2003</v>
      </c>
    </row>
    <row r="649" spans="1:24" ht="12.75">
      <c r="A649" s="1" t="str">
        <f>HYPERLINK("http://www.ofsted.gov.uk/inspection-reports/find-inspection-report/provider/ELS/59129","Ofsted FES Webpage")</f>
        <v>Ofsted FES Webpage</v>
      </c>
      <c r="B649" t="s">
        <v>841</v>
      </c>
      <c r="C649">
        <v>59129</v>
      </c>
      <c r="D649">
        <v>121497</v>
      </c>
      <c r="E649" t="s">
        <v>67</v>
      </c>
      <c r="F649" t="s">
        <v>68</v>
      </c>
      <c r="G649" t="s">
        <v>17</v>
      </c>
      <c r="H649" s="2">
        <v>41541</v>
      </c>
      <c r="I649" s="2">
        <v>41544</v>
      </c>
      <c r="J649" t="s">
        <v>27</v>
      </c>
      <c r="K649" s="2">
        <v>41572.13551623843</v>
      </c>
      <c r="L649" t="s">
        <v>36</v>
      </c>
      <c r="M649">
        <v>423817</v>
      </c>
      <c r="N649">
        <v>3</v>
      </c>
      <c r="O649">
        <v>3</v>
      </c>
      <c r="P649" t="s">
        <v>20</v>
      </c>
      <c r="Q649" t="s">
        <v>20</v>
      </c>
      <c r="R649">
        <v>275</v>
      </c>
      <c r="S649" t="s">
        <v>4001</v>
      </c>
      <c r="T649" t="s">
        <v>3335</v>
      </c>
      <c r="U649" t="s">
        <v>67</v>
      </c>
      <c r="X649" t="s">
        <v>1666</v>
      </c>
    </row>
    <row r="650" spans="1:24" ht="12.75">
      <c r="A650" s="1" t="str">
        <f>HYPERLINK("http://www.ofsted.gov.uk/inspection-reports/find-inspection-report/provider/ELS/59141","Ofsted FES Webpage")</f>
        <v>Ofsted FES Webpage</v>
      </c>
      <c r="B650" t="s">
        <v>842</v>
      </c>
      <c r="C650">
        <v>59141</v>
      </c>
      <c r="D650">
        <v>111892</v>
      </c>
      <c r="E650" t="s">
        <v>166</v>
      </c>
      <c r="F650" t="s">
        <v>26</v>
      </c>
      <c r="G650" t="s">
        <v>225</v>
      </c>
      <c r="H650" s="2">
        <v>41547</v>
      </c>
      <c r="I650" s="2">
        <v>41551</v>
      </c>
      <c r="J650" t="s">
        <v>27</v>
      </c>
      <c r="K650" s="2">
        <v>41584.1354690625</v>
      </c>
      <c r="L650" t="s">
        <v>226</v>
      </c>
      <c r="M650">
        <v>422637</v>
      </c>
      <c r="N650">
        <v>2</v>
      </c>
      <c r="O650">
        <v>2</v>
      </c>
      <c r="P650" t="s">
        <v>20</v>
      </c>
      <c r="Q650" t="s">
        <v>20</v>
      </c>
      <c r="R650">
        <v>3281</v>
      </c>
      <c r="S650" t="s">
        <v>4002</v>
      </c>
      <c r="T650" t="s">
        <v>4003</v>
      </c>
      <c r="U650" t="s">
        <v>2815</v>
      </c>
      <c r="V650" t="s">
        <v>2894</v>
      </c>
      <c r="X650" t="s">
        <v>2006</v>
      </c>
    </row>
    <row r="651" spans="1:24" ht="12.75">
      <c r="A651" s="1" t="str">
        <f>HYPERLINK("http://www.ofsted.gov.uk/inspection-reports/find-inspection-report/provider/ELS/59172","Ofsted FES Webpage")</f>
        <v>Ofsted FES Webpage</v>
      </c>
      <c r="B651" t="s">
        <v>843</v>
      </c>
      <c r="C651">
        <v>59172</v>
      </c>
      <c r="D651">
        <v>106939</v>
      </c>
      <c r="E651" t="s">
        <v>67</v>
      </c>
      <c r="F651" t="s">
        <v>68</v>
      </c>
      <c r="G651" t="s">
        <v>17</v>
      </c>
      <c r="H651" s="2">
        <v>41589</v>
      </c>
      <c r="I651" s="2">
        <v>41593</v>
      </c>
      <c r="J651" t="s">
        <v>27</v>
      </c>
      <c r="K651" s="2">
        <v>41626.135982291664</v>
      </c>
      <c r="L651" t="s">
        <v>36</v>
      </c>
      <c r="M651">
        <v>433553</v>
      </c>
      <c r="N651">
        <v>2</v>
      </c>
      <c r="O651">
        <v>2</v>
      </c>
      <c r="P651" t="s">
        <v>20</v>
      </c>
      <c r="Q651" t="s">
        <v>20</v>
      </c>
      <c r="R651">
        <v>2978</v>
      </c>
      <c r="S651" t="s">
        <v>4005</v>
      </c>
      <c r="T651" t="s">
        <v>4006</v>
      </c>
      <c r="U651" t="s">
        <v>67</v>
      </c>
      <c r="X651" t="s">
        <v>1784</v>
      </c>
    </row>
    <row r="652" spans="1:24" ht="12.75">
      <c r="A652" s="1" t="str">
        <f>HYPERLINK("http://www.ofsted.gov.uk/inspection-reports/find-inspection-report/provider/ELS/59202","Ofsted FES Webpage")</f>
        <v>Ofsted FES Webpage</v>
      </c>
      <c r="B652" t="s">
        <v>844</v>
      </c>
      <c r="C652">
        <v>59202</v>
      </c>
      <c r="D652">
        <v>130162</v>
      </c>
      <c r="E652" t="s">
        <v>126</v>
      </c>
      <c r="F652" t="s">
        <v>68</v>
      </c>
      <c r="G652" t="s">
        <v>17</v>
      </c>
      <c r="H652" s="2">
        <v>41449</v>
      </c>
      <c r="I652" s="2">
        <v>41453</v>
      </c>
      <c r="J652" t="s">
        <v>32</v>
      </c>
      <c r="K652" s="2">
        <v>41488.135479282406</v>
      </c>
      <c r="L652" t="s">
        <v>29</v>
      </c>
      <c r="M652">
        <v>410661</v>
      </c>
      <c r="N652">
        <v>2</v>
      </c>
      <c r="O652">
        <v>2</v>
      </c>
      <c r="P652">
        <v>3</v>
      </c>
      <c r="Q652">
        <v>3</v>
      </c>
      <c r="R652" t="s">
        <v>20</v>
      </c>
      <c r="S652" t="s">
        <v>3543</v>
      </c>
      <c r="T652" t="s">
        <v>126</v>
      </c>
      <c r="U652" t="s">
        <v>2773</v>
      </c>
      <c r="X652" t="s">
        <v>2007</v>
      </c>
    </row>
    <row r="653" spans="1:24" ht="12.75">
      <c r="A653" s="1" t="str">
        <f>HYPERLINK("http://www.ofsted.gov.uk/inspection-reports/find-inspection-report/provider/ELS/121777","Ofsted FES Webpage")</f>
        <v>Ofsted FES Webpage</v>
      </c>
      <c r="B653" t="s">
        <v>845</v>
      </c>
      <c r="C653">
        <v>121777</v>
      </c>
      <c r="D653">
        <v>114857</v>
      </c>
      <c r="E653" t="s">
        <v>120</v>
      </c>
      <c r="F653" t="s">
        <v>26</v>
      </c>
      <c r="G653" t="s">
        <v>473</v>
      </c>
      <c r="H653" s="2">
        <v>40869</v>
      </c>
      <c r="I653" s="2">
        <v>40872</v>
      </c>
      <c r="J653" t="s">
        <v>23</v>
      </c>
      <c r="K653" s="2">
        <v>40901.13544440972</v>
      </c>
      <c r="L653" t="s">
        <v>846</v>
      </c>
      <c r="M653">
        <v>376164</v>
      </c>
      <c r="N653">
        <v>2</v>
      </c>
      <c r="O653">
        <v>2</v>
      </c>
      <c r="P653">
        <v>2</v>
      </c>
      <c r="Q653">
        <v>2</v>
      </c>
      <c r="R653">
        <v>73</v>
      </c>
      <c r="S653" t="s">
        <v>3024</v>
      </c>
      <c r="V653" t="s">
        <v>2624</v>
      </c>
      <c r="W653" t="s">
        <v>120</v>
      </c>
      <c r="X653" t="s">
        <v>1318</v>
      </c>
    </row>
    <row r="654" spans="1:24" ht="12.75">
      <c r="A654" s="1" t="str">
        <f>HYPERLINK("http://www.ofsted.gov.uk/inspection-reports/find-inspection-report/provider/ELS/129383","Ofsted FES Webpage")</f>
        <v>Ofsted FES Webpage</v>
      </c>
      <c r="B654" t="s">
        <v>848</v>
      </c>
      <c r="C654">
        <v>129383</v>
      </c>
      <c r="D654">
        <v>117454</v>
      </c>
      <c r="E654" t="s">
        <v>104</v>
      </c>
      <c r="F654" t="s">
        <v>43</v>
      </c>
      <c r="G654" t="s">
        <v>849</v>
      </c>
      <c r="H654" s="2">
        <v>41386</v>
      </c>
      <c r="I654" s="2">
        <v>41390</v>
      </c>
      <c r="J654" t="s">
        <v>32</v>
      </c>
      <c r="K654" s="2">
        <v>41429.13548831019</v>
      </c>
      <c r="L654" t="s">
        <v>850</v>
      </c>
      <c r="M654">
        <v>409298</v>
      </c>
      <c r="N654">
        <v>3</v>
      </c>
      <c r="O654">
        <v>3</v>
      </c>
      <c r="P654">
        <v>2</v>
      </c>
      <c r="Q654">
        <v>2</v>
      </c>
      <c r="R654">
        <v>8998</v>
      </c>
      <c r="S654" t="s">
        <v>2881</v>
      </c>
      <c r="V654" t="s">
        <v>3319</v>
      </c>
      <c r="W654" t="s">
        <v>104</v>
      </c>
      <c r="X654" t="s">
        <v>2008</v>
      </c>
    </row>
    <row r="655" spans="1:24" ht="12.75">
      <c r="A655" s="1" t="str">
        <f>HYPERLINK("http://www.ofsted.gov.uk/inspection-reports/find-inspection-report/provider/ELS/130401","Ofsted FES Webpage")</f>
        <v>Ofsted FES Webpage</v>
      </c>
      <c r="B655" t="s">
        <v>852</v>
      </c>
      <c r="C655">
        <v>130401</v>
      </c>
      <c r="D655">
        <v>108356</v>
      </c>
      <c r="E655" t="s">
        <v>291</v>
      </c>
      <c r="F655" t="s">
        <v>35</v>
      </c>
      <c r="G655" t="s">
        <v>40</v>
      </c>
      <c r="H655" s="2">
        <v>40700</v>
      </c>
      <c r="I655" s="2">
        <v>40704</v>
      </c>
      <c r="J655" t="s">
        <v>56</v>
      </c>
      <c r="K655" s="2">
        <v>40739.135508368054</v>
      </c>
      <c r="L655" t="s">
        <v>45</v>
      </c>
      <c r="M655">
        <v>365880</v>
      </c>
      <c r="N655">
        <v>1</v>
      </c>
      <c r="O655">
        <v>1</v>
      </c>
      <c r="P655">
        <v>2</v>
      </c>
      <c r="Q655">
        <v>2</v>
      </c>
      <c r="R655">
        <v>28569</v>
      </c>
      <c r="S655" t="s">
        <v>3992</v>
      </c>
      <c r="T655" t="s">
        <v>3975</v>
      </c>
      <c r="V655" t="s">
        <v>35</v>
      </c>
      <c r="X655" t="s">
        <v>2000</v>
      </c>
    </row>
    <row r="656" spans="1:24" ht="12.75">
      <c r="A656" s="1" t="str">
        <f>HYPERLINK("http://www.ofsted.gov.uk/inspection-reports/find-inspection-report/provider/ELS/130403","Ofsted FES Webpage")</f>
        <v>Ofsted FES Webpage</v>
      </c>
      <c r="B656" t="s">
        <v>853</v>
      </c>
      <c r="C656">
        <v>130403</v>
      </c>
      <c r="D656">
        <v>108346</v>
      </c>
      <c r="E656" t="s">
        <v>291</v>
      </c>
      <c r="F656" t="s">
        <v>35</v>
      </c>
      <c r="G656" t="s">
        <v>40</v>
      </c>
      <c r="H656" s="2">
        <v>41351</v>
      </c>
      <c r="I656" s="2">
        <v>41355</v>
      </c>
      <c r="J656" t="s">
        <v>32</v>
      </c>
      <c r="K656" s="2">
        <v>41394.135569479164</v>
      </c>
      <c r="L656" t="s">
        <v>45</v>
      </c>
      <c r="M656">
        <v>408472</v>
      </c>
      <c r="N656">
        <v>1</v>
      </c>
      <c r="O656">
        <v>1</v>
      </c>
      <c r="P656">
        <v>2</v>
      </c>
      <c r="Q656">
        <v>1</v>
      </c>
      <c r="R656">
        <v>4803</v>
      </c>
      <c r="S656" t="s">
        <v>3694</v>
      </c>
      <c r="T656" t="s">
        <v>4008</v>
      </c>
      <c r="V656" t="s">
        <v>35</v>
      </c>
      <c r="X656" t="s">
        <v>1846</v>
      </c>
    </row>
    <row r="657" spans="1:24" ht="12.75">
      <c r="A657" s="1" t="str">
        <f>HYPERLINK("http://www.ofsted.gov.uk/inspection-reports/find-inspection-report/provider/ELS/130404","Ofsted FES Webpage")</f>
        <v>Ofsted FES Webpage</v>
      </c>
      <c r="B657" t="s">
        <v>854</v>
      </c>
      <c r="C657">
        <v>130404</v>
      </c>
      <c r="D657">
        <v>108351</v>
      </c>
      <c r="E657" t="s">
        <v>291</v>
      </c>
      <c r="F657" t="s">
        <v>35</v>
      </c>
      <c r="G657" t="s">
        <v>40</v>
      </c>
      <c r="H657" s="2">
        <v>39867</v>
      </c>
      <c r="I657" s="2">
        <v>39871</v>
      </c>
      <c r="J657" t="s">
        <v>44</v>
      </c>
      <c r="K657" s="2">
        <v>39917.13547179398</v>
      </c>
      <c r="L657" t="s">
        <v>45</v>
      </c>
      <c r="M657">
        <v>330812</v>
      </c>
      <c r="N657">
        <v>2</v>
      </c>
      <c r="O657">
        <v>2</v>
      </c>
      <c r="P657" t="s">
        <v>20</v>
      </c>
      <c r="Q657" t="s">
        <v>20</v>
      </c>
      <c r="R657">
        <v>4789</v>
      </c>
      <c r="S657" t="s">
        <v>4009</v>
      </c>
      <c r="T657" t="s">
        <v>291</v>
      </c>
      <c r="V657" t="s">
        <v>35</v>
      </c>
      <c r="X657" t="s">
        <v>1629</v>
      </c>
    </row>
    <row r="658" spans="1:24" ht="12.75">
      <c r="A658" s="1" t="str">
        <f>HYPERLINK("http://www.ofsted.gov.uk/inspection-reports/find-inspection-report/provider/ELS/130405","Ofsted FES Webpage")</f>
        <v>Ofsted FES Webpage</v>
      </c>
      <c r="B658" t="s">
        <v>855</v>
      </c>
      <c r="C658">
        <v>130405</v>
      </c>
      <c r="D658">
        <v>108473</v>
      </c>
      <c r="E658" t="s">
        <v>420</v>
      </c>
      <c r="F658" t="s">
        <v>35</v>
      </c>
      <c r="G658" t="s">
        <v>849</v>
      </c>
      <c r="H658" s="2">
        <v>41414</v>
      </c>
      <c r="I658" s="2">
        <v>41418</v>
      </c>
      <c r="J658" t="s">
        <v>32</v>
      </c>
      <c r="K658" s="2">
        <v>41456.13548217592</v>
      </c>
      <c r="L658" t="s">
        <v>850</v>
      </c>
      <c r="M658">
        <v>410612</v>
      </c>
      <c r="N658">
        <v>3</v>
      </c>
      <c r="O658">
        <v>3</v>
      </c>
      <c r="P658">
        <v>3</v>
      </c>
      <c r="Q658">
        <v>3</v>
      </c>
      <c r="R658">
        <v>5493</v>
      </c>
      <c r="S658" t="s">
        <v>4010</v>
      </c>
      <c r="T658" t="s">
        <v>4011</v>
      </c>
      <c r="V658" t="s">
        <v>35</v>
      </c>
      <c r="X658" t="s">
        <v>2009</v>
      </c>
    </row>
    <row r="659" spans="1:24" ht="12.75">
      <c r="A659" s="1" t="str">
        <f>HYPERLINK("http://www.ofsted.gov.uk/inspection-reports/find-inspection-report/provider/ELS/130407","Ofsted FES Webpage")</f>
        <v>Ofsted FES Webpage</v>
      </c>
      <c r="B659" t="s">
        <v>856</v>
      </c>
      <c r="C659">
        <v>130407</v>
      </c>
      <c r="D659">
        <v>108523</v>
      </c>
      <c r="E659" t="s">
        <v>282</v>
      </c>
      <c r="F659" t="s">
        <v>35</v>
      </c>
      <c r="G659" t="s">
        <v>849</v>
      </c>
      <c r="H659" s="2">
        <v>41701</v>
      </c>
      <c r="I659" s="2">
        <v>41705</v>
      </c>
      <c r="J659" t="s">
        <v>27</v>
      </c>
      <c r="K659" s="2">
        <v>41740.13547129629</v>
      </c>
      <c r="L659" t="s">
        <v>850</v>
      </c>
      <c r="M659">
        <v>429164</v>
      </c>
      <c r="N659">
        <v>3</v>
      </c>
      <c r="O659">
        <v>3</v>
      </c>
      <c r="P659">
        <v>2</v>
      </c>
      <c r="Q659">
        <v>2</v>
      </c>
      <c r="R659">
        <v>7367</v>
      </c>
      <c r="S659" t="s">
        <v>4012</v>
      </c>
      <c r="T659" t="s">
        <v>4013</v>
      </c>
      <c r="U659" t="s">
        <v>282</v>
      </c>
      <c r="V659" t="s">
        <v>35</v>
      </c>
      <c r="X659" t="s">
        <v>2010</v>
      </c>
    </row>
    <row r="660" spans="1:24" ht="12.75">
      <c r="A660" s="1" t="str">
        <f>HYPERLINK("http://www.ofsted.gov.uk/inspection-reports/find-inspection-report/provider/ELS/130408","Ofsted FES Webpage")</f>
        <v>Ofsted FES Webpage</v>
      </c>
      <c r="B660" t="s">
        <v>857</v>
      </c>
      <c r="C660">
        <v>130408</v>
      </c>
      <c r="D660">
        <v>106809</v>
      </c>
      <c r="E660" t="s">
        <v>209</v>
      </c>
      <c r="F660" t="s">
        <v>35</v>
      </c>
      <c r="G660" t="s">
        <v>849</v>
      </c>
      <c r="H660" s="2">
        <v>41771</v>
      </c>
      <c r="I660" s="2">
        <v>41775</v>
      </c>
      <c r="J660" t="s">
        <v>27</v>
      </c>
      <c r="K660" s="2">
        <v>41809.13545</v>
      </c>
      <c r="L660" t="s">
        <v>850</v>
      </c>
      <c r="M660">
        <v>429160</v>
      </c>
      <c r="N660">
        <v>3</v>
      </c>
      <c r="O660">
        <v>3</v>
      </c>
      <c r="P660">
        <v>3</v>
      </c>
      <c r="Q660">
        <v>2</v>
      </c>
      <c r="R660">
        <v>18569</v>
      </c>
      <c r="S660" t="s">
        <v>2897</v>
      </c>
      <c r="T660" t="s">
        <v>2898</v>
      </c>
      <c r="V660" t="s">
        <v>35</v>
      </c>
      <c r="X660" t="s">
        <v>1481</v>
      </c>
    </row>
    <row r="661" spans="1:24" ht="12.75">
      <c r="A661" s="1" t="str">
        <f>HYPERLINK("http://www.ofsted.gov.uk/inspection-reports/find-inspection-report/provider/ELS/130409","Ofsted FES Webpage")</f>
        <v>Ofsted FES Webpage</v>
      </c>
      <c r="B661" t="s">
        <v>859</v>
      </c>
      <c r="C661">
        <v>130409</v>
      </c>
      <c r="D661">
        <v>108518</v>
      </c>
      <c r="E661" t="s">
        <v>122</v>
      </c>
      <c r="F661" t="s">
        <v>35</v>
      </c>
      <c r="G661" t="s">
        <v>849</v>
      </c>
      <c r="H661" s="2">
        <v>39568</v>
      </c>
      <c r="I661" s="2">
        <v>39569</v>
      </c>
      <c r="J661" t="s">
        <v>154</v>
      </c>
      <c r="K661" s="2">
        <v>39619.13594707176</v>
      </c>
      <c r="L661" t="s">
        <v>858</v>
      </c>
      <c r="M661">
        <v>322399</v>
      </c>
      <c r="N661">
        <v>1</v>
      </c>
      <c r="O661">
        <v>1</v>
      </c>
      <c r="P661" t="s">
        <v>20</v>
      </c>
      <c r="Q661" t="s">
        <v>20</v>
      </c>
      <c r="R661">
        <v>13454</v>
      </c>
      <c r="S661" t="s">
        <v>4014</v>
      </c>
      <c r="T661" t="s">
        <v>4015</v>
      </c>
      <c r="V661" t="s">
        <v>35</v>
      </c>
      <c r="X661" t="s">
        <v>2011</v>
      </c>
    </row>
    <row r="662" spans="1:24" ht="12.75">
      <c r="A662" s="1" t="str">
        <f>HYPERLINK("http://www.ofsted.gov.uk/inspection-reports/find-inspection-report/provider/ELS/130410","Ofsted FES Webpage")</f>
        <v>Ofsted FES Webpage</v>
      </c>
      <c r="B662" t="s">
        <v>860</v>
      </c>
      <c r="C662">
        <v>130410</v>
      </c>
      <c r="D662">
        <v>108322</v>
      </c>
      <c r="E662" t="s">
        <v>442</v>
      </c>
      <c r="F662" t="s">
        <v>35</v>
      </c>
      <c r="G662" t="s">
        <v>849</v>
      </c>
      <c r="H662" s="2">
        <v>41590</v>
      </c>
      <c r="I662" s="2">
        <v>41593</v>
      </c>
      <c r="J662" t="s">
        <v>27</v>
      </c>
      <c r="K662" s="2">
        <v>41628.135477199074</v>
      </c>
      <c r="L662" t="s">
        <v>850</v>
      </c>
      <c r="M662">
        <v>423347</v>
      </c>
      <c r="N662">
        <v>3</v>
      </c>
      <c r="O662">
        <v>3</v>
      </c>
      <c r="P662">
        <v>3</v>
      </c>
      <c r="Q662">
        <v>3</v>
      </c>
      <c r="R662">
        <v>6548</v>
      </c>
      <c r="S662" t="s">
        <v>2922</v>
      </c>
      <c r="V662" t="s">
        <v>35</v>
      </c>
      <c r="X662" t="s">
        <v>1319</v>
      </c>
    </row>
    <row r="663" spans="1:24" ht="12.75">
      <c r="A663" s="1" t="str">
        <f>HYPERLINK("http://www.ofsted.gov.uk/inspection-reports/find-inspection-report/provider/ELS/130411","Ofsted FES Webpage")</f>
        <v>Ofsted FES Webpage</v>
      </c>
      <c r="B663" t="s">
        <v>861</v>
      </c>
      <c r="C663">
        <v>130411</v>
      </c>
      <c r="D663">
        <v>108360</v>
      </c>
      <c r="E663" t="s">
        <v>442</v>
      </c>
      <c r="F663" t="s">
        <v>35</v>
      </c>
      <c r="G663" t="s">
        <v>862</v>
      </c>
      <c r="H663" s="2">
        <v>39364</v>
      </c>
      <c r="I663" s="2">
        <v>39365</v>
      </c>
      <c r="J663" t="s">
        <v>154</v>
      </c>
      <c r="K663" s="2">
        <v>39416.13552873843</v>
      </c>
      <c r="L663" t="s">
        <v>863</v>
      </c>
      <c r="M663">
        <v>316625</v>
      </c>
      <c r="N663">
        <v>1</v>
      </c>
      <c r="O663">
        <v>1</v>
      </c>
      <c r="P663" t="s">
        <v>20</v>
      </c>
      <c r="Q663" t="s">
        <v>20</v>
      </c>
      <c r="R663">
        <v>1111</v>
      </c>
      <c r="S663" t="s">
        <v>4016</v>
      </c>
      <c r="T663" t="s">
        <v>4017</v>
      </c>
      <c r="V663" t="s">
        <v>35</v>
      </c>
      <c r="X663" t="s">
        <v>2012</v>
      </c>
    </row>
    <row r="664" spans="1:24" ht="12.75">
      <c r="A664" s="1" t="str">
        <f>HYPERLINK("http://www.ofsted.gov.uk/inspection-reports/find-inspection-report/provider/ELS/130412","Ofsted FES Webpage")</f>
        <v>Ofsted FES Webpage</v>
      </c>
      <c r="B664" t="s">
        <v>864</v>
      </c>
      <c r="C664">
        <v>130412</v>
      </c>
      <c r="D664">
        <v>108350</v>
      </c>
      <c r="E664" t="s">
        <v>85</v>
      </c>
      <c r="F664" t="s">
        <v>35</v>
      </c>
      <c r="G664" t="s">
        <v>40</v>
      </c>
      <c r="H664" s="2">
        <v>40567</v>
      </c>
      <c r="I664" s="2">
        <v>40571</v>
      </c>
      <c r="J664" t="s">
        <v>56</v>
      </c>
      <c r="K664" s="2">
        <v>40604.13544614583</v>
      </c>
      <c r="L664" t="s">
        <v>45</v>
      </c>
      <c r="M664">
        <v>363141</v>
      </c>
      <c r="N664">
        <v>2</v>
      </c>
      <c r="O664">
        <v>2</v>
      </c>
      <c r="P664">
        <v>3</v>
      </c>
      <c r="Q664">
        <v>3</v>
      </c>
      <c r="R664">
        <v>10592</v>
      </c>
      <c r="S664" t="s">
        <v>3742</v>
      </c>
      <c r="T664" t="s">
        <v>2749</v>
      </c>
      <c r="V664" t="s">
        <v>35</v>
      </c>
      <c r="X664" t="s">
        <v>1871</v>
      </c>
    </row>
    <row r="665" spans="1:24" ht="12.75">
      <c r="A665" s="1" t="str">
        <f>HYPERLINK("http://www.ofsted.gov.uk/inspection-reports/find-inspection-report/provider/ELS/130413","Ofsted FES Webpage")</f>
        <v>Ofsted FES Webpage</v>
      </c>
      <c r="B665" t="s">
        <v>865</v>
      </c>
      <c r="C665">
        <v>130413</v>
      </c>
      <c r="D665">
        <v>106790</v>
      </c>
      <c r="E665" t="s">
        <v>85</v>
      </c>
      <c r="F665" t="s">
        <v>35</v>
      </c>
      <c r="G665" t="s">
        <v>849</v>
      </c>
      <c r="H665" s="2">
        <v>41351</v>
      </c>
      <c r="I665" s="2">
        <v>41355</v>
      </c>
      <c r="J665" t="s">
        <v>32</v>
      </c>
      <c r="K665" s="2">
        <v>41394.135454247684</v>
      </c>
      <c r="L665" t="s">
        <v>866</v>
      </c>
      <c r="M665">
        <v>397442</v>
      </c>
      <c r="N665">
        <v>3</v>
      </c>
      <c r="O665">
        <v>3</v>
      </c>
      <c r="P665">
        <v>4</v>
      </c>
      <c r="Q665">
        <v>4</v>
      </c>
      <c r="R665">
        <v>14753</v>
      </c>
      <c r="S665" t="s">
        <v>4018</v>
      </c>
      <c r="T665" t="s">
        <v>3157</v>
      </c>
      <c r="V665" t="s">
        <v>35</v>
      </c>
      <c r="X665" t="s">
        <v>2013</v>
      </c>
    </row>
    <row r="666" spans="1:24" ht="12.75">
      <c r="A666" s="1" t="str">
        <f>HYPERLINK("http://www.ofsted.gov.uk/inspection-reports/find-inspection-report/provider/ELS/130414","Ofsted FES Webpage")</f>
        <v>Ofsted FES Webpage</v>
      </c>
      <c r="B666" t="s">
        <v>867</v>
      </c>
      <c r="C666">
        <v>130414</v>
      </c>
      <c r="D666">
        <v>108352</v>
      </c>
      <c r="E666" t="s">
        <v>85</v>
      </c>
      <c r="F666" t="s">
        <v>35</v>
      </c>
      <c r="G666" t="s">
        <v>40</v>
      </c>
      <c r="H666" s="2">
        <v>39846</v>
      </c>
      <c r="I666" s="2">
        <v>39850</v>
      </c>
      <c r="J666" t="s">
        <v>44</v>
      </c>
      <c r="K666" s="2">
        <v>39875.13559224537</v>
      </c>
      <c r="L666" t="s">
        <v>45</v>
      </c>
      <c r="M666">
        <v>330817</v>
      </c>
      <c r="N666">
        <v>2</v>
      </c>
      <c r="O666">
        <v>2</v>
      </c>
      <c r="P666" t="s">
        <v>20</v>
      </c>
      <c r="Q666" t="s">
        <v>20</v>
      </c>
      <c r="R666" t="s">
        <v>20</v>
      </c>
      <c r="S666" t="s">
        <v>3258</v>
      </c>
      <c r="T666" t="s">
        <v>85</v>
      </c>
      <c r="V666" t="s">
        <v>35</v>
      </c>
      <c r="X666" t="s">
        <v>1627</v>
      </c>
    </row>
    <row r="667" spans="1:24" ht="12.75">
      <c r="A667" s="1" t="str">
        <f>HYPERLINK("http://www.ofsted.gov.uk/inspection-reports/find-inspection-report/provider/ELS/130415","Ofsted FES Webpage")</f>
        <v>Ofsted FES Webpage</v>
      </c>
      <c r="B667" t="s">
        <v>868</v>
      </c>
      <c r="C667">
        <v>130415</v>
      </c>
      <c r="D667">
        <v>105674</v>
      </c>
      <c r="E667" t="s">
        <v>429</v>
      </c>
      <c r="F667" t="s">
        <v>35</v>
      </c>
      <c r="G667" t="s">
        <v>849</v>
      </c>
      <c r="H667" s="2">
        <v>41603</v>
      </c>
      <c r="I667" s="2">
        <v>41607</v>
      </c>
      <c r="J667" t="s">
        <v>27</v>
      </c>
      <c r="K667" s="2">
        <v>41648.135461921294</v>
      </c>
      <c r="L667" t="s">
        <v>850</v>
      </c>
      <c r="M667">
        <v>420390</v>
      </c>
      <c r="N667">
        <v>4</v>
      </c>
      <c r="O667">
        <v>3</v>
      </c>
      <c r="P667">
        <v>3</v>
      </c>
      <c r="Q667">
        <v>3</v>
      </c>
      <c r="R667">
        <v>17992</v>
      </c>
      <c r="S667" t="s">
        <v>3823</v>
      </c>
      <c r="V667" t="s">
        <v>35</v>
      </c>
      <c r="X667" t="s">
        <v>2014</v>
      </c>
    </row>
    <row r="668" spans="1:24" ht="12.75">
      <c r="A668" s="1" t="str">
        <f>HYPERLINK("http://www.ofsted.gov.uk/inspection-reports/find-inspection-report/provider/ELS/130416","Ofsted FES Webpage")</f>
        <v>Ofsted FES Webpage</v>
      </c>
      <c r="B668" t="s">
        <v>869</v>
      </c>
      <c r="C668">
        <v>130416</v>
      </c>
      <c r="D668">
        <v>108369</v>
      </c>
      <c r="E668" t="s">
        <v>429</v>
      </c>
      <c r="F668" t="s">
        <v>35</v>
      </c>
      <c r="G668" t="s">
        <v>862</v>
      </c>
      <c r="H668" s="2">
        <v>40309</v>
      </c>
      <c r="I668" s="2">
        <v>40312</v>
      </c>
      <c r="J668" t="s">
        <v>18</v>
      </c>
      <c r="K668" s="2">
        <v>40350.13551921296</v>
      </c>
      <c r="L668" t="s">
        <v>863</v>
      </c>
      <c r="M668">
        <v>345837</v>
      </c>
      <c r="N668">
        <v>2</v>
      </c>
      <c r="O668">
        <v>1</v>
      </c>
      <c r="P668">
        <v>1</v>
      </c>
      <c r="Q668">
        <v>1</v>
      </c>
      <c r="R668">
        <v>2353</v>
      </c>
      <c r="S668" t="s">
        <v>4019</v>
      </c>
      <c r="T668" t="s">
        <v>429</v>
      </c>
      <c r="V668" t="s">
        <v>35</v>
      </c>
      <c r="X668" t="s">
        <v>2015</v>
      </c>
    </row>
    <row r="669" spans="1:24" ht="12.75">
      <c r="A669" s="1" t="str">
        <f>HYPERLINK("http://www.ofsted.gov.uk/inspection-reports/find-inspection-report/provider/ELS/130418","Ofsted FES Webpage")</f>
        <v>Ofsted FES Webpage</v>
      </c>
      <c r="B669" t="s">
        <v>870</v>
      </c>
      <c r="C669">
        <v>130418</v>
      </c>
      <c r="D669">
        <v>106556</v>
      </c>
      <c r="E669" t="s">
        <v>436</v>
      </c>
      <c r="F669" t="s">
        <v>35</v>
      </c>
      <c r="G669" t="s">
        <v>849</v>
      </c>
      <c r="H669" s="2">
        <v>41617</v>
      </c>
      <c r="I669" s="2">
        <v>41621</v>
      </c>
      <c r="J669" t="s">
        <v>27</v>
      </c>
      <c r="K669" s="2">
        <v>41661.135468368055</v>
      </c>
      <c r="L669" t="s">
        <v>850</v>
      </c>
      <c r="M669">
        <v>423349</v>
      </c>
      <c r="N669">
        <v>2</v>
      </c>
      <c r="O669">
        <v>2</v>
      </c>
      <c r="P669">
        <v>3</v>
      </c>
      <c r="Q669">
        <v>2</v>
      </c>
      <c r="R669">
        <v>6489</v>
      </c>
      <c r="S669" t="s">
        <v>4020</v>
      </c>
      <c r="T669" t="s">
        <v>4021</v>
      </c>
      <c r="V669" t="s">
        <v>35</v>
      </c>
      <c r="X669" t="s">
        <v>2016</v>
      </c>
    </row>
    <row r="670" spans="1:24" ht="12.75">
      <c r="A670" s="1" t="str">
        <f>HYPERLINK("http://www.ofsted.gov.uk/inspection-reports/find-inspection-report/provider/ELS/130419","Ofsted FES Webpage")</f>
        <v>Ofsted FES Webpage</v>
      </c>
      <c r="B670" t="s">
        <v>871</v>
      </c>
      <c r="C670">
        <v>130419</v>
      </c>
      <c r="D670">
        <v>108347</v>
      </c>
      <c r="E670" t="s">
        <v>436</v>
      </c>
      <c r="F670" t="s">
        <v>35</v>
      </c>
      <c r="G670" t="s">
        <v>40</v>
      </c>
      <c r="H670" s="2">
        <v>41617</v>
      </c>
      <c r="I670" s="2">
        <v>41621</v>
      </c>
      <c r="J670" t="s">
        <v>27</v>
      </c>
      <c r="K670" s="2">
        <v>41661.13548607639</v>
      </c>
      <c r="L670" t="s">
        <v>45</v>
      </c>
      <c r="M670">
        <v>423428</v>
      </c>
      <c r="N670">
        <v>2</v>
      </c>
      <c r="O670">
        <v>2</v>
      </c>
      <c r="P670">
        <v>2</v>
      </c>
      <c r="Q670">
        <v>2</v>
      </c>
      <c r="R670">
        <v>56738</v>
      </c>
      <c r="S670" t="s">
        <v>4022</v>
      </c>
      <c r="V670" t="s">
        <v>35</v>
      </c>
      <c r="X670" t="s">
        <v>2017</v>
      </c>
    </row>
    <row r="671" spans="1:24" ht="12.75">
      <c r="A671" s="1" t="str">
        <f>HYPERLINK("http://www.ofsted.gov.uk/inspection-reports/find-inspection-report/provider/ELS/130420","Ofsted FES Webpage")</f>
        <v>Ofsted FES Webpage</v>
      </c>
      <c r="B671" t="s">
        <v>872</v>
      </c>
      <c r="C671">
        <v>130420</v>
      </c>
      <c r="D671">
        <v>108483</v>
      </c>
      <c r="E671" t="s">
        <v>439</v>
      </c>
      <c r="F671" t="s">
        <v>35</v>
      </c>
      <c r="G671" t="s">
        <v>849</v>
      </c>
      <c r="H671" s="2">
        <v>41043</v>
      </c>
      <c r="I671" s="2">
        <v>41047</v>
      </c>
      <c r="J671" t="s">
        <v>23</v>
      </c>
      <c r="K671" s="2">
        <v>41086.13566284722</v>
      </c>
      <c r="L671" t="s">
        <v>858</v>
      </c>
      <c r="M671">
        <v>388020</v>
      </c>
      <c r="N671">
        <v>2</v>
      </c>
      <c r="O671">
        <v>2</v>
      </c>
      <c r="P671">
        <v>2</v>
      </c>
      <c r="Q671">
        <v>2</v>
      </c>
      <c r="R671">
        <v>15199</v>
      </c>
      <c r="S671" t="s">
        <v>3245</v>
      </c>
      <c r="T671" t="s">
        <v>439</v>
      </c>
      <c r="V671" t="s">
        <v>35</v>
      </c>
      <c r="X671" t="s">
        <v>2018</v>
      </c>
    </row>
    <row r="672" spans="1:24" ht="12.75">
      <c r="A672" s="1" t="str">
        <f>HYPERLINK("http://www.ofsted.gov.uk/inspection-reports/find-inspection-report/provider/ELS/130421","Ofsted FES Webpage")</f>
        <v>Ofsted FES Webpage</v>
      </c>
      <c r="B672" t="s">
        <v>873</v>
      </c>
      <c r="C672">
        <v>130421</v>
      </c>
      <c r="D672">
        <v>105653</v>
      </c>
      <c r="E672" t="s">
        <v>291</v>
      </c>
      <c r="F672" t="s">
        <v>35</v>
      </c>
      <c r="G672" t="s">
        <v>849</v>
      </c>
      <c r="H672" s="2">
        <v>40630</v>
      </c>
      <c r="I672" s="2">
        <v>40634</v>
      </c>
      <c r="J672" t="s">
        <v>56</v>
      </c>
      <c r="K672" s="2">
        <v>40673.135456909724</v>
      </c>
      <c r="L672" t="s">
        <v>858</v>
      </c>
      <c r="M672">
        <v>363300</v>
      </c>
      <c r="N672">
        <v>2</v>
      </c>
      <c r="O672">
        <v>2</v>
      </c>
      <c r="P672">
        <v>2</v>
      </c>
      <c r="Q672">
        <v>2</v>
      </c>
      <c r="R672">
        <v>16179</v>
      </c>
      <c r="S672" t="s">
        <v>4023</v>
      </c>
      <c r="T672" t="s">
        <v>4024</v>
      </c>
      <c r="V672" t="s">
        <v>35</v>
      </c>
      <c r="X672" t="s">
        <v>2019</v>
      </c>
    </row>
    <row r="673" spans="1:24" ht="12.75">
      <c r="A673" s="1" t="str">
        <f>HYPERLINK("http://www.ofsted.gov.uk/inspection-reports/find-inspection-report/provider/ELS/130422","Ofsted FES Webpage")</f>
        <v>Ofsted FES Webpage</v>
      </c>
      <c r="B673" t="s">
        <v>874</v>
      </c>
      <c r="C673">
        <v>130422</v>
      </c>
      <c r="D673">
        <v>108358</v>
      </c>
      <c r="E673" t="s">
        <v>439</v>
      </c>
      <c r="F673" t="s">
        <v>35</v>
      </c>
      <c r="G673" t="s">
        <v>862</v>
      </c>
      <c r="H673" s="2">
        <v>41534</v>
      </c>
      <c r="I673" s="2">
        <v>41537</v>
      </c>
      <c r="J673" t="s">
        <v>27</v>
      </c>
      <c r="K673" s="2">
        <v>41572.13550451389</v>
      </c>
      <c r="L673" t="s">
        <v>875</v>
      </c>
      <c r="M673">
        <v>423374</v>
      </c>
      <c r="N673">
        <v>2</v>
      </c>
      <c r="O673">
        <v>2</v>
      </c>
      <c r="P673">
        <v>1</v>
      </c>
      <c r="Q673">
        <v>1</v>
      </c>
      <c r="R673">
        <v>1370</v>
      </c>
      <c r="S673" t="s">
        <v>4025</v>
      </c>
      <c r="V673" t="s">
        <v>35</v>
      </c>
      <c r="X673" t="s">
        <v>2020</v>
      </c>
    </row>
    <row r="674" spans="1:24" ht="12.75">
      <c r="A674" s="1" t="str">
        <f>HYPERLINK("http://www.ofsted.gov.uk/inspection-reports/find-inspection-report/provider/ELS/130423","Ofsted FES Webpage")</f>
        <v>Ofsted FES Webpage</v>
      </c>
      <c r="B674" t="s">
        <v>877</v>
      </c>
      <c r="C674">
        <v>130423</v>
      </c>
      <c r="D674">
        <v>108526</v>
      </c>
      <c r="E674" t="s">
        <v>185</v>
      </c>
      <c r="F674" t="s">
        <v>35</v>
      </c>
      <c r="G674" t="s">
        <v>849</v>
      </c>
      <c r="H674" s="2">
        <v>41428</v>
      </c>
      <c r="I674" s="2">
        <v>41432</v>
      </c>
      <c r="J674" t="s">
        <v>32</v>
      </c>
      <c r="K674" s="2">
        <v>41467.13561157407</v>
      </c>
      <c r="L674" t="s">
        <v>850</v>
      </c>
      <c r="M674">
        <v>410609</v>
      </c>
      <c r="N674">
        <v>2</v>
      </c>
      <c r="O674">
        <v>2</v>
      </c>
      <c r="P674">
        <v>3</v>
      </c>
      <c r="Q674">
        <v>3</v>
      </c>
      <c r="R674">
        <v>8049</v>
      </c>
      <c r="S674" t="s">
        <v>4026</v>
      </c>
      <c r="V674" t="s">
        <v>35</v>
      </c>
      <c r="X674" t="s">
        <v>2021</v>
      </c>
    </row>
    <row r="675" spans="1:24" ht="12.75">
      <c r="A675" s="1" t="str">
        <f>HYPERLINK("http://www.ofsted.gov.uk/inspection-reports/find-inspection-report/provider/ELS/130424","Ofsted FES Webpage")</f>
        <v>Ofsted FES Webpage</v>
      </c>
      <c r="B675" t="s">
        <v>878</v>
      </c>
      <c r="C675">
        <v>130424</v>
      </c>
      <c r="D675">
        <v>106542</v>
      </c>
      <c r="E675" t="s">
        <v>412</v>
      </c>
      <c r="F675" t="s">
        <v>35</v>
      </c>
      <c r="G675" t="s">
        <v>849</v>
      </c>
      <c r="H675" s="2">
        <v>41386</v>
      </c>
      <c r="I675" s="2">
        <v>41390</v>
      </c>
      <c r="J675" t="s">
        <v>32</v>
      </c>
      <c r="K675" s="2">
        <v>41429.13547685185</v>
      </c>
      <c r="L675" t="s">
        <v>850</v>
      </c>
      <c r="M675">
        <v>408436</v>
      </c>
      <c r="N675">
        <v>2</v>
      </c>
      <c r="O675">
        <v>1</v>
      </c>
      <c r="P675">
        <v>2</v>
      </c>
      <c r="Q675">
        <v>2</v>
      </c>
      <c r="R675">
        <v>11484</v>
      </c>
      <c r="S675" t="s">
        <v>4027</v>
      </c>
      <c r="U675" t="s">
        <v>4028</v>
      </c>
      <c r="V675" t="s">
        <v>2776</v>
      </c>
      <c r="W675" t="s">
        <v>95</v>
      </c>
      <c r="X675" t="s">
        <v>2022</v>
      </c>
    </row>
    <row r="676" spans="1:24" ht="12.75">
      <c r="A676" s="1" t="str">
        <f>HYPERLINK("http://www.ofsted.gov.uk/inspection-reports/find-inspection-report/provider/ELS/130425","Ofsted FES Webpage")</f>
        <v>Ofsted FES Webpage</v>
      </c>
      <c r="B676" t="s">
        <v>879</v>
      </c>
      <c r="C676">
        <v>130425</v>
      </c>
      <c r="D676">
        <v>108532</v>
      </c>
      <c r="E676" t="s">
        <v>456</v>
      </c>
      <c r="F676" t="s">
        <v>35</v>
      </c>
      <c r="G676" t="s">
        <v>849</v>
      </c>
      <c r="H676" s="2">
        <v>40147</v>
      </c>
      <c r="I676" s="2">
        <v>40151</v>
      </c>
      <c r="J676" t="s">
        <v>18</v>
      </c>
      <c r="K676" s="2">
        <v>40191.13549869213</v>
      </c>
      <c r="L676" t="s">
        <v>858</v>
      </c>
      <c r="M676">
        <v>342311</v>
      </c>
      <c r="N676">
        <v>2</v>
      </c>
      <c r="O676">
        <v>2</v>
      </c>
      <c r="P676">
        <v>2</v>
      </c>
      <c r="Q676">
        <v>2</v>
      </c>
      <c r="R676">
        <v>20171</v>
      </c>
      <c r="S676" t="s">
        <v>4029</v>
      </c>
      <c r="V676" t="s">
        <v>456</v>
      </c>
      <c r="W676" t="s">
        <v>70</v>
      </c>
      <c r="X676" t="s">
        <v>2023</v>
      </c>
    </row>
    <row r="677" spans="1:24" ht="12.75">
      <c r="A677" s="1" t="str">
        <f>HYPERLINK("http://www.ofsted.gov.uk/inspection-reports/find-inspection-report/provider/ELS/130427","Ofsted FES Webpage")</f>
        <v>Ofsted FES Webpage</v>
      </c>
      <c r="B677" t="s">
        <v>880</v>
      </c>
      <c r="C677">
        <v>130427</v>
      </c>
      <c r="D677">
        <v>108376</v>
      </c>
      <c r="E677" t="s">
        <v>456</v>
      </c>
      <c r="F677" t="s">
        <v>35</v>
      </c>
      <c r="G677" t="s">
        <v>862</v>
      </c>
      <c r="H677" s="2">
        <v>39106</v>
      </c>
      <c r="I677" s="2">
        <v>39106</v>
      </c>
      <c r="J677" t="s">
        <v>100</v>
      </c>
      <c r="K677" s="2">
        <v>39143.13550390046</v>
      </c>
      <c r="L677" t="s">
        <v>876</v>
      </c>
      <c r="M677">
        <v>298343</v>
      </c>
      <c r="N677">
        <v>1</v>
      </c>
      <c r="O677">
        <v>1</v>
      </c>
      <c r="P677" t="s">
        <v>20</v>
      </c>
      <c r="Q677" t="s">
        <v>20</v>
      </c>
      <c r="R677">
        <v>1232</v>
      </c>
      <c r="S677" t="s">
        <v>4030</v>
      </c>
      <c r="U677" t="s">
        <v>4031</v>
      </c>
      <c r="V677" t="s">
        <v>35</v>
      </c>
      <c r="X677" t="s">
        <v>2024</v>
      </c>
    </row>
    <row r="678" spans="1:24" ht="12.75">
      <c r="A678" s="1" t="str">
        <f>HYPERLINK("http://www.ofsted.gov.uk/inspection-reports/find-inspection-report/provider/ELS/130428","Ofsted FES Webpage")</f>
        <v>Ofsted FES Webpage</v>
      </c>
      <c r="B678" t="s">
        <v>881</v>
      </c>
      <c r="C678">
        <v>130428</v>
      </c>
      <c r="D678">
        <v>105658</v>
      </c>
      <c r="E678" t="s">
        <v>34</v>
      </c>
      <c r="F678" t="s">
        <v>35</v>
      </c>
      <c r="G678" t="s">
        <v>849</v>
      </c>
      <c r="H678" s="2">
        <v>41793</v>
      </c>
      <c r="I678" s="2">
        <v>41796</v>
      </c>
      <c r="J678" t="s">
        <v>27</v>
      </c>
      <c r="K678" s="2">
        <v>41831.13546215278</v>
      </c>
      <c r="L678" t="s">
        <v>882</v>
      </c>
      <c r="M678">
        <v>429288</v>
      </c>
      <c r="N678">
        <v>2</v>
      </c>
      <c r="O678">
        <v>2</v>
      </c>
      <c r="P678">
        <v>3</v>
      </c>
      <c r="Q678">
        <v>3</v>
      </c>
      <c r="R678">
        <v>3031</v>
      </c>
      <c r="S678" t="s">
        <v>4032</v>
      </c>
      <c r="V678" t="s">
        <v>4033</v>
      </c>
      <c r="W678" t="s">
        <v>99</v>
      </c>
      <c r="X678" t="s">
        <v>2025</v>
      </c>
    </row>
    <row r="679" spans="1:24" ht="12.75">
      <c r="A679" s="1" t="str">
        <f>HYPERLINK("http://www.ofsted.gov.uk/inspection-reports/find-inspection-report/provider/ELS/130429","Ofsted FES Webpage")</f>
        <v>Ofsted FES Webpage</v>
      </c>
      <c r="B679" t="s">
        <v>883</v>
      </c>
      <c r="C679">
        <v>130429</v>
      </c>
      <c r="D679">
        <v>108782</v>
      </c>
      <c r="E679" t="s">
        <v>232</v>
      </c>
      <c r="F679" t="s">
        <v>35</v>
      </c>
      <c r="G679" t="s">
        <v>849</v>
      </c>
      <c r="H679" s="2">
        <v>41792</v>
      </c>
      <c r="I679" s="2">
        <v>41796</v>
      </c>
      <c r="J679" t="s">
        <v>27</v>
      </c>
      <c r="K679" s="2">
        <v>41831.135492974536</v>
      </c>
      <c r="L679" t="s">
        <v>850</v>
      </c>
      <c r="M679">
        <v>434086</v>
      </c>
      <c r="N679">
        <v>3</v>
      </c>
      <c r="O679">
        <v>3</v>
      </c>
      <c r="P679">
        <v>3</v>
      </c>
      <c r="Q679">
        <v>3</v>
      </c>
      <c r="R679">
        <v>8565</v>
      </c>
      <c r="S679" t="s">
        <v>4034</v>
      </c>
      <c r="T679" t="s">
        <v>4035</v>
      </c>
      <c r="V679" t="s">
        <v>35</v>
      </c>
      <c r="X679" t="s">
        <v>2026</v>
      </c>
    </row>
    <row r="680" spans="1:24" ht="12.75">
      <c r="A680" s="1" t="str">
        <f>HYPERLINK("http://www.ofsted.gov.uk/inspection-reports/find-inspection-report/provider/ELS/130430","Ofsted FES Webpage")</f>
        <v>Ofsted FES Webpage</v>
      </c>
      <c r="B680" t="s">
        <v>884</v>
      </c>
      <c r="C680">
        <v>130430</v>
      </c>
      <c r="D680">
        <v>105711</v>
      </c>
      <c r="E680" t="s">
        <v>294</v>
      </c>
      <c r="F680" t="s">
        <v>35</v>
      </c>
      <c r="G680" t="s">
        <v>849</v>
      </c>
      <c r="H680" s="2">
        <v>41288</v>
      </c>
      <c r="I680" s="2">
        <v>41292</v>
      </c>
      <c r="J680" t="s">
        <v>32</v>
      </c>
      <c r="K680" s="2">
        <v>41327.135570335646</v>
      </c>
      <c r="L680" t="s">
        <v>850</v>
      </c>
      <c r="M680">
        <v>408438</v>
      </c>
      <c r="N680">
        <v>2</v>
      </c>
      <c r="O680">
        <v>2</v>
      </c>
      <c r="P680">
        <v>3</v>
      </c>
      <c r="Q680">
        <v>3</v>
      </c>
      <c r="R680">
        <v>8373</v>
      </c>
      <c r="S680" t="s">
        <v>4036</v>
      </c>
      <c r="V680" t="s">
        <v>294</v>
      </c>
      <c r="W680" t="s">
        <v>99</v>
      </c>
      <c r="X680" t="s">
        <v>2027</v>
      </c>
    </row>
    <row r="681" spans="1:24" ht="12.75">
      <c r="A681" s="1" t="str">
        <f>HYPERLINK("http://www.ofsted.gov.uk/inspection-reports/find-inspection-report/provider/ELS/130432","Ofsted FES Webpage")</f>
        <v>Ofsted FES Webpage</v>
      </c>
      <c r="B681" t="s">
        <v>885</v>
      </c>
      <c r="C681">
        <v>130432</v>
      </c>
      <c r="D681">
        <v>105714</v>
      </c>
      <c r="E681" t="s">
        <v>240</v>
      </c>
      <c r="F681" t="s">
        <v>35</v>
      </c>
      <c r="G681" t="s">
        <v>849</v>
      </c>
      <c r="H681" s="2">
        <v>41757</v>
      </c>
      <c r="I681" s="2">
        <v>41761</v>
      </c>
      <c r="J681" t="s">
        <v>27</v>
      </c>
      <c r="K681" s="2">
        <v>41800.13546631944</v>
      </c>
      <c r="L681" t="s">
        <v>882</v>
      </c>
      <c r="M681">
        <v>429245</v>
      </c>
      <c r="N681">
        <v>2</v>
      </c>
      <c r="O681">
        <v>2</v>
      </c>
      <c r="P681">
        <v>3</v>
      </c>
      <c r="Q681">
        <v>3</v>
      </c>
      <c r="R681">
        <v>9286</v>
      </c>
      <c r="S681" t="s">
        <v>4037</v>
      </c>
      <c r="T681" t="s">
        <v>2881</v>
      </c>
      <c r="V681" t="s">
        <v>240</v>
      </c>
      <c r="W681" t="s">
        <v>350</v>
      </c>
      <c r="X681" t="s">
        <v>2028</v>
      </c>
    </row>
    <row r="682" spans="1:24" ht="12.75">
      <c r="A682" s="1" t="str">
        <f>HYPERLINK("http://www.ofsted.gov.uk/inspection-reports/find-inspection-report/provider/ELS/130433","Ofsted FES Webpage")</f>
        <v>Ofsted FES Webpage</v>
      </c>
      <c r="B682" t="s">
        <v>886</v>
      </c>
      <c r="C682">
        <v>130433</v>
      </c>
      <c r="D682">
        <v>108430</v>
      </c>
      <c r="E682" t="s">
        <v>240</v>
      </c>
      <c r="F682" t="s">
        <v>35</v>
      </c>
      <c r="G682" t="s">
        <v>862</v>
      </c>
      <c r="H682" s="2">
        <v>41695</v>
      </c>
      <c r="I682" s="2">
        <v>41698</v>
      </c>
      <c r="J682" t="s">
        <v>27</v>
      </c>
      <c r="K682" s="2">
        <v>41733.13546087963</v>
      </c>
      <c r="L682" t="s">
        <v>887</v>
      </c>
      <c r="M682">
        <v>421038</v>
      </c>
      <c r="N682">
        <v>2</v>
      </c>
      <c r="O682">
        <v>2</v>
      </c>
      <c r="P682">
        <v>4</v>
      </c>
      <c r="Q682">
        <v>3</v>
      </c>
      <c r="R682">
        <v>1179</v>
      </c>
      <c r="S682" t="s">
        <v>4038</v>
      </c>
      <c r="V682" t="s">
        <v>4039</v>
      </c>
      <c r="W682" t="s">
        <v>350</v>
      </c>
      <c r="X682" t="s">
        <v>2029</v>
      </c>
    </row>
    <row r="683" spans="1:24" ht="12.75">
      <c r="A683" s="1" t="str">
        <f>HYPERLINK("http://www.ofsted.gov.uk/inspection-reports/find-inspection-report/provider/ELS/130434","Ofsted FES Webpage")</f>
        <v>Ofsted FES Webpage</v>
      </c>
      <c r="B683" t="s">
        <v>888</v>
      </c>
      <c r="C683">
        <v>130434</v>
      </c>
      <c r="D683">
        <v>108414</v>
      </c>
      <c r="E683" t="s">
        <v>240</v>
      </c>
      <c r="F683" t="s">
        <v>35</v>
      </c>
      <c r="G683" t="s">
        <v>862</v>
      </c>
      <c r="H683" s="2">
        <v>41548</v>
      </c>
      <c r="I683" s="2">
        <v>41551</v>
      </c>
      <c r="J683" t="s">
        <v>27</v>
      </c>
      <c r="K683" s="2">
        <v>41586.13548804398</v>
      </c>
      <c r="L683" t="s">
        <v>875</v>
      </c>
      <c r="M683">
        <v>423375</v>
      </c>
      <c r="N683">
        <v>1</v>
      </c>
      <c r="O683">
        <v>1</v>
      </c>
      <c r="P683">
        <v>3</v>
      </c>
      <c r="Q683">
        <v>2</v>
      </c>
      <c r="R683">
        <v>808</v>
      </c>
      <c r="S683" t="s">
        <v>4040</v>
      </c>
      <c r="V683" t="s">
        <v>4041</v>
      </c>
      <c r="W683" t="s">
        <v>350</v>
      </c>
      <c r="X683" t="s">
        <v>2030</v>
      </c>
    </row>
    <row r="684" spans="1:24" ht="12.75">
      <c r="A684" s="1" t="str">
        <f>HYPERLINK("http://www.ofsted.gov.uk/inspection-reports/find-inspection-report/provider/ELS/130438","Ofsted FES Webpage")</f>
        <v>Ofsted FES Webpage</v>
      </c>
      <c r="B684" t="s">
        <v>889</v>
      </c>
      <c r="C684">
        <v>130438</v>
      </c>
      <c r="D684">
        <v>108318</v>
      </c>
      <c r="E684" t="s">
        <v>301</v>
      </c>
      <c r="F684" t="s">
        <v>35</v>
      </c>
      <c r="G684" t="s">
        <v>890</v>
      </c>
      <c r="H684" s="2">
        <v>41303</v>
      </c>
      <c r="I684" s="2">
        <v>41306</v>
      </c>
      <c r="J684" t="s">
        <v>32</v>
      </c>
      <c r="K684" s="2">
        <v>41341.135788541666</v>
      </c>
      <c r="L684" t="s">
        <v>850</v>
      </c>
      <c r="M684">
        <v>408424</v>
      </c>
      <c r="N684">
        <v>2</v>
      </c>
      <c r="O684">
        <v>2</v>
      </c>
      <c r="P684">
        <v>2</v>
      </c>
      <c r="Q684">
        <v>2</v>
      </c>
      <c r="R684">
        <v>2915</v>
      </c>
      <c r="S684" t="s">
        <v>4042</v>
      </c>
      <c r="V684" t="s">
        <v>301</v>
      </c>
      <c r="X684" t="s">
        <v>2031</v>
      </c>
    </row>
    <row r="685" spans="1:24" ht="12.75">
      <c r="A685" s="1" t="str">
        <f>HYPERLINK("http://www.ofsted.gov.uk/inspection-reports/find-inspection-report/provider/ELS/130439","Ofsted FES Webpage")</f>
        <v>Ofsted FES Webpage</v>
      </c>
      <c r="B685" t="s">
        <v>892</v>
      </c>
      <c r="C685">
        <v>130439</v>
      </c>
      <c r="D685">
        <v>107479</v>
      </c>
      <c r="E685" t="s">
        <v>135</v>
      </c>
      <c r="F685" t="s">
        <v>35</v>
      </c>
      <c r="G685" t="s">
        <v>849</v>
      </c>
      <c r="H685" s="2">
        <v>41708</v>
      </c>
      <c r="I685" s="2">
        <v>41712</v>
      </c>
      <c r="J685" t="s">
        <v>27</v>
      </c>
      <c r="K685" s="2">
        <v>41747.13545107639</v>
      </c>
      <c r="L685" t="s">
        <v>850</v>
      </c>
      <c r="M685">
        <v>429171</v>
      </c>
      <c r="N685">
        <v>2</v>
      </c>
      <c r="O685">
        <v>1</v>
      </c>
      <c r="P685">
        <v>3</v>
      </c>
      <c r="Q685">
        <v>3</v>
      </c>
      <c r="R685">
        <v>21740</v>
      </c>
      <c r="S685" t="s">
        <v>2807</v>
      </c>
      <c r="T685" t="s">
        <v>2808</v>
      </c>
      <c r="U685" t="s">
        <v>2580</v>
      </c>
      <c r="V685" t="s">
        <v>35</v>
      </c>
      <c r="X685" t="s">
        <v>1448</v>
      </c>
    </row>
    <row r="686" spans="1:24" ht="12.75">
      <c r="A686" s="1" t="str">
        <f>HYPERLINK("http://www.ofsted.gov.uk/inspection-reports/find-inspection-report/provider/ELS/130440","Ofsted FES Webpage")</f>
        <v>Ofsted FES Webpage</v>
      </c>
      <c r="B686" t="s">
        <v>893</v>
      </c>
      <c r="C686">
        <v>130440</v>
      </c>
      <c r="D686">
        <v>108462</v>
      </c>
      <c r="E686" t="s">
        <v>118</v>
      </c>
      <c r="F686" t="s">
        <v>35</v>
      </c>
      <c r="G686" t="s">
        <v>849</v>
      </c>
      <c r="H686" s="2">
        <v>41722</v>
      </c>
      <c r="I686" s="2">
        <v>41726</v>
      </c>
      <c r="J686" t="s">
        <v>27</v>
      </c>
      <c r="K686" s="2">
        <v>41765.135481400466</v>
      </c>
      <c r="L686" t="s">
        <v>850</v>
      </c>
      <c r="M686">
        <v>429170</v>
      </c>
      <c r="N686">
        <v>3</v>
      </c>
      <c r="O686">
        <v>3</v>
      </c>
      <c r="P686">
        <v>2</v>
      </c>
      <c r="Q686">
        <v>2</v>
      </c>
      <c r="R686">
        <v>4220</v>
      </c>
      <c r="S686" t="s">
        <v>4043</v>
      </c>
      <c r="V686" t="s">
        <v>4044</v>
      </c>
      <c r="X686" t="s">
        <v>2032</v>
      </c>
    </row>
    <row r="687" spans="1:24" ht="12.75">
      <c r="A687" s="1" t="str">
        <f>HYPERLINK("http://www.ofsted.gov.uk/inspection-reports/find-inspection-report/provider/ELS/130443","Ofsted FES Webpage")</f>
        <v>Ofsted FES Webpage</v>
      </c>
      <c r="B687" t="s">
        <v>894</v>
      </c>
      <c r="C687">
        <v>130443</v>
      </c>
      <c r="D687">
        <v>108359</v>
      </c>
      <c r="E687" t="s">
        <v>118</v>
      </c>
      <c r="F687" t="s">
        <v>35</v>
      </c>
      <c r="G687" t="s">
        <v>862</v>
      </c>
      <c r="H687" s="2">
        <v>39539</v>
      </c>
      <c r="I687" s="2">
        <v>39540</v>
      </c>
      <c r="J687" t="s">
        <v>154</v>
      </c>
      <c r="K687" s="2">
        <v>39584.13558533565</v>
      </c>
      <c r="L687" t="s">
        <v>863</v>
      </c>
      <c r="M687">
        <v>318860</v>
      </c>
      <c r="N687">
        <v>1</v>
      </c>
      <c r="O687">
        <v>1</v>
      </c>
      <c r="P687" t="s">
        <v>20</v>
      </c>
      <c r="Q687" t="s">
        <v>20</v>
      </c>
      <c r="R687">
        <v>983</v>
      </c>
      <c r="S687" t="s">
        <v>4047</v>
      </c>
      <c r="V687" t="s">
        <v>4048</v>
      </c>
      <c r="X687" t="s">
        <v>2034</v>
      </c>
    </row>
    <row r="688" spans="1:24" ht="12.75">
      <c r="A688" s="1" t="str">
        <f>HYPERLINK("http://www.ofsted.gov.uk/inspection-reports/find-inspection-report/provider/ELS/130444","Ofsted FES Webpage")</f>
        <v>Ofsted FES Webpage</v>
      </c>
      <c r="B688" t="s">
        <v>895</v>
      </c>
      <c r="C688">
        <v>130444</v>
      </c>
      <c r="D688">
        <v>108521</v>
      </c>
      <c r="E688" t="s">
        <v>238</v>
      </c>
      <c r="F688" t="s">
        <v>35</v>
      </c>
      <c r="G688" t="s">
        <v>849</v>
      </c>
      <c r="H688" s="2">
        <v>40581</v>
      </c>
      <c r="I688" s="2">
        <v>40585</v>
      </c>
      <c r="J688" t="s">
        <v>56</v>
      </c>
      <c r="K688" s="2">
        <v>40620.13545234954</v>
      </c>
      <c r="L688" t="s">
        <v>858</v>
      </c>
      <c r="M688">
        <v>363307</v>
      </c>
      <c r="N688">
        <v>2</v>
      </c>
      <c r="O688">
        <v>2</v>
      </c>
      <c r="P688">
        <v>2</v>
      </c>
      <c r="Q688">
        <v>2</v>
      </c>
      <c r="R688">
        <v>9266</v>
      </c>
      <c r="S688" t="s">
        <v>4049</v>
      </c>
      <c r="V688" t="s">
        <v>3028</v>
      </c>
      <c r="W688" t="s">
        <v>95</v>
      </c>
      <c r="X688" t="s">
        <v>2035</v>
      </c>
    </row>
    <row r="689" spans="1:24" ht="12.75">
      <c r="A689" s="1" t="str">
        <f>HYPERLINK("http://www.ofsted.gov.uk/inspection-reports/find-inspection-report/provider/ELS/130445","Ofsted FES Webpage")</f>
        <v>Ofsted FES Webpage</v>
      </c>
      <c r="B689" t="s">
        <v>896</v>
      </c>
      <c r="C689">
        <v>130445</v>
      </c>
      <c r="D689">
        <v>108421</v>
      </c>
      <c r="E689" t="s">
        <v>238</v>
      </c>
      <c r="F689" t="s">
        <v>35</v>
      </c>
      <c r="G689" t="s">
        <v>862</v>
      </c>
      <c r="H689" s="2">
        <v>41730</v>
      </c>
      <c r="I689" s="2">
        <v>41733</v>
      </c>
      <c r="J689" t="s">
        <v>27</v>
      </c>
      <c r="K689" s="2">
        <v>41773.13544456018</v>
      </c>
      <c r="L689" t="s">
        <v>897</v>
      </c>
      <c r="M689">
        <v>429290</v>
      </c>
      <c r="N689">
        <v>2</v>
      </c>
      <c r="O689">
        <v>2</v>
      </c>
      <c r="P689">
        <v>3</v>
      </c>
      <c r="Q689">
        <v>3</v>
      </c>
      <c r="R689">
        <v>2726</v>
      </c>
      <c r="S689" t="s">
        <v>4050</v>
      </c>
      <c r="V689" t="s">
        <v>3028</v>
      </c>
      <c r="W689" t="s">
        <v>95</v>
      </c>
      <c r="X689" t="s">
        <v>2036</v>
      </c>
    </row>
    <row r="690" spans="1:24" ht="12.75">
      <c r="A690" s="1" t="str">
        <f>HYPERLINK("http://www.ofsted.gov.uk/inspection-reports/find-inspection-report/provider/ELS/130446","Ofsted FES Webpage")</f>
        <v>Ofsted FES Webpage</v>
      </c>
      <c r="B690" t="s">
        <v>898</v>
      </c>
      <c r="C690">
        <v>130446</v>
      </c>
      <c r="D690">
        <v>107770</v>
      </c>
      <c r="E690" t="s">
        <v>340</v>
      </c>
      <c r="F690" t="s">
        <v>35</v>
      </c>
      <c r="G690" t="s">
        <v>849</v>
      </c>
      <c r="H690" s="2">
        <v>39580</v>
      </c>
      <c r="I690" s="2">
        <v>39584</v>
      </c>
      <c r="J690" t="s">
        <v>154</v>
      </c>
      <c r="K690" s="2">
        <v>39633.135619444445</v>
      </c>
      <c r="L690" t="s">
        <v>851</v>
      </c>
      <c r="M690">
        <v>318895</v>
      </c>
      <c r="N690">
        <v>1</v>
      </c>
      <c r="O690">
        <v>1</v>
      </c>
      <c r="P690" t="s">
        <v>20</v>
      </c>
      <c r="Q690" t="s">
        <v>20</v>
      </c>
      <c r="R690">
        <v>8988</v>
      </c>
      <c r="S690" t="s">
        <v>2404</v>
      </c>
      <c r="V690" t="s">
        <v>3221</v>
      </c>
      <c r="X690" t="s">
        <v>2037</v>
      </c>
    </row>
    <row r="691" spans="1:24" ht="12.75">
      <c r="A691" s="1" t="str">
        <f>HYPERLINK("http://www.ofsted.gov.uk/inspection-reports/find-inspection-report/provider/ELS/130447","Ofsted FES Webpage")</f>
        <v>Ofsted FES Webpage</v>
      </c>
      <c r="B691" t="s">
        <v>899</v>
      </c>
      <c r="C691">
        <v>130447</v>
      </c>
      <c r="D691">
        <v>107143</v>
      </c>
      <c r="E691" t="s">
        <v>331</v>
      </c>
      <c r="F691" t="s">
        <v>35</v>
      </c>
      <c r="G691" t="s">
        <v>849</v>
      </c>
      <c r="H691" s="2">
        <v>41708</v>
      </c>
      <c r="I691" s="2">
        <v>41712</v>
      </c>
      <c r="J691" t="s">
        <v>27</v>
      </c>
      <c r="K691" s="2">
        <v>41747.13545763889</v>
      </c>
      <c r="L691" t="s">
        <v>850</v>
      </c>
      <c r="M691">
        <v>429174</v>
      </c>
      <c r="N691">
        <v>2</v>
      </c>
      <c r="O691">
        <v>1</v>
      </c>
      <c r="P691">
        <v>3</v>
      </c>
      <c r="Q691">
        <v>3</v>
      </c>
      <c r="R691">
        <v>6499</v>
      </c>
      <c r="S691" t="s">
        <v>2841</v>
      </c>
      <c r="V691" t="s">
        <v>4051</v>
      </c>
      <c r="W691" t="s">
        <v>2491</v>
      </c>
      <c r="X691" t="s">
        <v>2038</v>
      </c>
    </row>
    <row r="692" spans="1:24" ht="12.75">
      <c r="A692" s="1" t="str">
        <f>HYPERLINK("http://www.ofsted.gov.uk/inspection-reports/find-inspection-report/provider/ELS/130448","Ofsted FES Webpage")</f>
        <v>Ofsted FES Webpage</v>
      </c>
      <c r="B692" t="s">
        <v>900</v>
      </c>
      <c r="C692">
        <v>130448</v>
      </c>
      <c r="D692">
        <v>108514</v>
      </c>
      <c r="E692" t="s">
        <v>333</v>
      </c>
      <c r="F692" t="s">
        <v>35</v>
      </c>
      <c r="G692" t="s">
        <v>849</v>
      </c>
      <c r="H692" s="2">
        <v>41316</v>
      </c>
      <c r="I692" s="2">
        <v>41320</v>
      </c>
      <c r="J692" t="s">
        <v>32</v>
      </c>
      <c r="K692" s="2">
        <v>41355.13583510416</v>
      </c>
      <c r="L692" t="s">
        <v>850</v>
      </c>
      <c r="M692">
        <v>409319</v>
      </c>
      <c r="N692">
        <v>2</v>
      </c>
      <c r="O692">
        <v>2</v>
      </c>
      <c r="P692">
        <v>3</v>
      </c>
      <c r="Q692">
        <v>3</v>
      </c>
      <c r="R692">
        <v>5569</v>
      </c>
      <c r="S692" t="s">
        <v>4052</v>
      </c>
      <c r="V692" t="s">
        <v>4053</v>
      </c>
      <c r="W692" t="s">
        <v>350</v>
      </c>
      <c r="X692" t="s">
        <v>2039</v>
      </c>
    </row>
    <row r="693" spans="1:24" ht="12.75">
      <c r="A693" s="1" t="str">
        <f>HYPERLINK("http://www.ofsted.gov.uk/inspection-reports/find-inspection-report/provider/ELS/130451","Ofsted FES Webpage")</f>
        <v>Ofsted FES Webpage</v>
      </c>
      <c r="B693" t="s">
        <v>901</v>
      </c>
      <c r="C693">
        <v>130451</v>
      </c>
      <c r="D693">
        <v>108507</v>
      </c>
      <c r="E693" t="s">
        <v>207</v>
      </c>
      <c r="F693" t="s">
        <v>35</v>
      </c>
      <c r="G693" t="s">
        <v>849</v>
      </c>
      <c r="H693" s="2">
        <v>41302</v>
      </c>
      <c r="I693" s="2">
        <v>41306</v>
      </c>
      <c r="J693" t="s">
        <v>32</v>
      </c>
      <c r="K693" s="2">
        <v>41341.13580633102</v>
      </c>
      <c r="L693" t="s">
        <v>850</v>
      </c>
      <c r="M693">
        <v>408441</v>
      </c>
      <c r="N693">
        <v>2</v>
      </c>
      <c r="O693">
        <v>2</v>
      </c>
      <c r="P693">
        <v>1</v>
      </c>
      <c r="Q693">
        <v>1</v>
      </c>
      <c r="R693">
        <v>20234</v>
      </c>
      <c r="S693" t="s">
        <v>4054</v>
      </c>
      <c r="T693" t="s">
        <v>4055</v>
      </c>
      <c r="U693" t="s">
        <v>3010</v>
      </c>
      <c r="V693" t="s">
        <v>35</v>
      </c>
      <c r="X693" t="s">
        <v>2040</v>
      </c>
    </row>
    <row r="694" spans="1:24" ht="12.75">
      <c r="A694" s="1" t="str">
        <f>HYPERLINK("http://www.ofsted.gov.uk/inspection-reports/find-inspection-report/provider/ELS/130452","Ofsted FES Webpage")</f>
        <v>Ofsted FES Webpage</v>
      </c>
      <c r="B694" t="s">
        <v>902</v>
      </c>
      <c r="C694">
        <v>130452</v>
      </c>
      <c r="D694">
        <v>108407</v>
      </c>
      <c r="E694" t="s">
        <v>207</v>
      </c>
      <c r="F694" t="s">
        <v>35</v>
      </c>
      <c r="G694" t="s">
        <v>862</v>
      </c>
      <c r="H694" s="2">
        <v>39846</v>
      </c>
      <c r="I694" s="2">
        <v>39850</v>
      </c>
      <c r="J694" t="s">
        <v>44</v>
      </c>
      <c r="K694" s="2">
        <v>39899.13557939815</v>
      </c>
      <c r="L694" t="s">
        <v>863</v>
      </c>
      <c r="M694">
        <v>330823</v>
      </c>
      <c r="N694">
        <v>2</v>
      </c>
      <c r="O694">
        <v>2</v>
      </c>
      <c r="P694" t="s">
        <v>20</v>
      </c>
      <c r="Q694" t="s">
        <v>20</v>
      </c>
      <c r="R694">
        <v>2699</v>
      </c>
      <c r="S694" t="s">
        <v>4056</v>
      </c>
      <c r="T694" t="s">
        <v>4057</v>
      </c>
      <c r="V694" t="s">
        <v>35</v>
      </c>
      <c r="X694" t="s">
        <v>2041</v>
      </c>
    </row>
    <row r="695" spans="1:24" ht="12.75">
      <c r="A695" s="1" t="str">
        <f>HYPERLINK("http://www.ofsted.gov.uk/inspection-reports/find-inspection-report/provider/ELS/130453","Ofsted FES Webpage")</f>
        <v>Ofsted FES Webpage</v>
      </c>
      <c r="B695" t="s">
        <v>903</v>
      </c>
      <c r="C695">
        <v>130453</v>
      </c>
      <c r="D695">
        <v>108495</v>
      </c>
      <c r="E695" t="s">
        <v>222</v>
      </c>
      <c r="F695" t="s">
        <v>35</v>
      </c>
      <c r="G695" t="s">
        <v>849</v>
      </c>
      <c r="H695" s="2">
        <v>41792</v>
      </c>
      <c r="I695" s="2">
        <v>41796</v>
      </c>
      <c r="J695" t="s">
        <v>27</v>
      </c>
      <c r="K695" s="2">
        <v>41831.13548680556</v>
      </c>
      <c r="L695" t="s">
        <v>850</v>
      </c>
      <c r="M695">
        <v>434082</v>
      </c>
      <c r="N695">
        <v>3</v>
      </c>
      <c r="O695">
        <v>3</v>
      </c>
      <c r="P695">
        <v>2</v>
      </c>
      <c r="Q695">
        <v>2</v>
      </c>
      <c r="R695">
        <v>4575</v>
      </c>
      <c r="S695" t="s">
        <v>4058</v>
      </c>
      <c r="T695" t="s">
        <v>4059</v>
      </c>
      <c r="V695" t="s">
        <v>2776</v>
      </c>
      <c r="W695" t="s">
        <v>95</v>
      </c>
      <c r="X695" t="s">
        <v>2042</v>
      </c>
    </row>
    <row r="696" spans="1:24" ht="12.75">
      <c r="A696" s="1" t="str">
        <f>HYPERLINK("http://www.ofsted.gov.uk/inspection-reports/find-inspection-report/provider/ELS/130454","Ofsted FES Webpage")</f>
        <v>Ofsted FES Webpage</v>
      </c>
      <c r="B696" t="s">
        <v>904</v>
      </c>
      <c r="C696">
        <v>130454</v>
      </c>
      <c r="D696">
        <v>108449</v>
      </c>
      <c r="E696" t="s">
        <v>328</v>
      </c>
      <c r="F696" t="s">
        <v>35</v>
      </c>
      <c r="G696" t="s">
        <v>849</v>
      </c>
      <c r="H696" s="2">
        <v>41771</v>
      </c>
      <c r="I696" s="2">
        <v>41775</v>
      </c>
      <c r="J696" t="s">
        <v>27</v>
      </c>
      <c r="K696" s="2">
        <v>41810.13545980324</v>
      </c>
      <c r="L696" t="s">
        <v>882</v>
      </c>
      <c r="M696">
        <v>429246</v>
      </c>
      <c r="N696">
        <v>3</v>
      </c>
      <c r="O696">
        <v>3</v>
      </c>
      <c r="P696">
        <v>3</v>
      </c>
      <c r="Q696">
        <v>3</v>
      </c>
      <c r="R696">
        <v>4789</v>
      </c>
      <c r="S696" t="s">
        <v>4060</v>
      </c>
      <c r="V696" t="s">
        <v>2363</v>
      </c>
      <c r="X696" t="s">
        <v>2043</v>
      </c>
    </row>
    <row r="697" spans="1:24" ht="12.75">
      <c r="A697" s="1" t="str">
        <f>HYPERLINK("http://www.ofsted.gov.uk/inspection-reports/find-inspection-report/provider/ELS/130455","Ofsted FES Webpage")</f>
        <v>Ofsted FES Webpage</v>
      </c>
      <c r="B697" t="s">
        <v>905</v>
      </c>
      <c r="C697">
        <v>130455</v>
      </c>
      <c r="D697">
        <v>110211</v>
      </c>
      <c r="E697" t="s">
        <v>372</v>
      </c>
      <c r="F697" t="s">
        <v>35</v>
      </c>
      <c r="G697" t="s">
        <v>849</v>
      </c>
      <c r="H697" s="2">
        <v>41778</v>
      </c>
      <c r="I697" s="2">
        <v>41782</v>
      </c>
      <c r="J697" t="s">
        <v>27</v>
      </c>
      <c r="K697" s="2">
        <v>41816.135550810184</v>
      </c>
      <c r="L697" t="s">
        <v>850</v>
      </c>
      <c r="M697">
        <v>434079</v>
      </c>
      <c r="N697">
        <v>2</v>
      </c>
      <c r="O697">
        <v>2</v>
      </c>
      <c r="P697">
        <v>3</v>
      </c>
      <c r="Q697">
        <v>3</v>
      </c>
      <c r="R697">
        <v>2852</v>
      </c>
      <c r="S697" t="s">
        <v>3716</v>
      </c>
      <c r="V697" t="s">
        <v>3371</v>
      </c>
      <c r="W697" t="s">
        <v>350</v>
      </c>
      <c r="X697" t="s">
        <v>1858</v>
      </c>
    </row>
    <row r="698" spans="1:24" ht="12.75">
      <c r="A698" s="1" t="str">
        <f>HYPERLINK("http://www.ofsted.gov.uk/inspection-reports/find-inspection-report/provider/ELS/130456","Ofsted FES Webpage")</f>
        <v>Ofsted FES Webpage</v>
      </c>
      <c r="B698" t="s">
        <v>906</v>
      </c>
      <c r="C698">
        <v>130456</v>
      </c>
      <c r="D698">
        <v>108478</v>
      </c>
      <c r="E698" t="s">
        <v>278</v>
      </c>
      <c r="F698" t="s">
        <v>35</v>
      </c>
      <c r="G698" t="s">
        <v>849</v>
      </c>
      <c r="H698" s="2">
        <v>41407</v>
      </c>
      <c r="I698" s="2">
        <v>41411</v>
      </c>
      <c r="J698" t="s">
        <v>32</v>
      </c>
      <c r="K698" s="2">
        <v>41449.1355096875</v>
      </c>
      <c r="L698" t="s">
        <v>850</v>
      </c>
      <c r="M698">
        <v>410622</v>
      </c>
      <c r="N698">
        <v>3</v>
      </c>
      <c r="O698">
        <v>3</v>
      </c>
      <c r="P698">
        <v>3</v>
      </c>
      <c r="Q698">
        <v>3</v>
      </c>
      <c r="R698">
        <v>7558</v>
      </c>
      <c r="S698" t="s">
        <v>4061</v>
      </c>
      <c r="T698" t="s">
        <v>3718</v>
      </c>
      <c r="V698" t="s">
        <v>35</v>
      </c>
      <c r="X698" t="s">
        <v>2044</v>
      </c>
    </row>
    <row r="699" spans="1:24" ht="12.75">
      <c r="A699" s="1" t="str">
        <f>HYPERLINK("http://www.ofsted.gov.uk/inspection-reports/find-inspection-report/provider/ELS/130457","Ofsted FES Webpage")</f>
        <v>Ofsted FES Webpage</v>
      </c>
      <c r="B699" t="s">
        <v>907</v>
      </c>
      <c r="C699">
        <v>130457</v>
      </c>
      <c r="D699">
        <v>108412</v>
      </c>
      <c r="E699" t="s">
        <v>278</v>
      </c>
      <c r="F699" t="s">
        <v>35</v>
      </c>
      <c r="G699" t="s">
        <v>862</v>
      </c>
      <c r="H699" s="2">
        <v>41288</v>
      </c>
      <c r="I699" s="2">
        <v>41291</v>
      </c>
      <c r="J699" t="s">
        <v>32</v>
      </c>
      <c r="K699" s="2">
        <v>41326.13563186343</v>
      </c>
      <c r="L699" t="s">
        <v>875</v>
      </c>
      <c r="M699">
        <v>409401</v>
      </c>
      <c r="N699">
        <v>2</v>
      </c>
      <c r="O699">
        <v>2</v>
      </c>
      <c r="P699">
        <v>2</v>
      </c>
      <c r="Q699">
        <v>2</v>
      </c>
      <c r="R699">
        <v>2104</v>
      </c>
      <c r="S699" t="s">
        <v>4062</v>
      </c>
      <c r="T699" t="s">
        <v>3073</v>
      </c>
      <c r="V699" t="s">
        <v>35</v>
      </c>
      <c r="X699" t="s">
        <v>2045</v>
      </c>
    </row>
    <row r="700" spans="1:24" ht="12.75">
      <c r="A700" s="1" t="str">
        <f>HYPERLINK("http://www.ofsted.gov.uk/inspection-reports/find-inspection-report/provider/ELS/130458","Ofsted FES Webpage")</f>
        <v>Ofsted FES Webpage</v>
      </c>
      <c r="B700" t="s">
        <v>909</v>
      </c>
      <c r="C700">
        <v>130458</v>
      </c>
      <c r="D700">
        <v>108393</v>
      </c>
      <c r="E700" t="s">
        <v>278</v>
      </c>
      <c r="F700" t="s">
        <v>35</v>
      </c>
      <c r="G700" t="s">
        <v>862</v>
      </c>
      <c r="H700" s="2">
        <v>41184</v>
      </c>
      <c r="I700" s="2">
        <v>41187</v>
      </c>
      <c r="J700" t="s">
        <v>32</v>
      </c>
      <c r="K700" s="2">
        <v>41222.13567063658</v>
      </c>
      <c r="L700" t="s">
        <v>875</v>
      </c>
      <c r="M700">
        <v>404168</v>
      </c>
      <c r="N700">
        <v>2</v>
      </c>
      <c r="O700">
        <v>2</v>
      </c>
      <c r="P700">
        <v>3</v>
      </c>
      <c r="Q700">
        <v>3</v>
      </c>
      <c r="R700">
        <v>2028</v>
      </c>
      <c r="S700" t="s">
        <v>4063</v>
      </c>
      <c r="T700" t="s">
        <v>3718</v>
      </c>
      <c r="V700" t="s">
        <v>35</v>
      </c>
      <c r="X700" t="s">
        <v>2046</v>
      </c>
    </row>
    <row r="701" spans="1:24" ht="12.75">
      <c r="A701" s="1" t="str">
        <f>HYPERLINK("http://www.ofsted.gov.uk/inspection-reports/find-inspection-report/provider/ELS/130459","Ofsted FES Webpage")</f>
        <v>Ofsted FES Webpage</v>
      </c>
      <c r="B701" t="s">
        <v>910</v>
      </c>
      <c r="C701">
        <v>130459</v>
      </c>
      <c r="D701">
        <v>106350</v>
      </c>
      <c r="E701" t="s">
        <v>106</v>
      </c>
      <c r="F701" t="s">
        <v>49</v>
      </c>
      <c r="G701" t="s">
        <v>849</v>
      </c>
      <c r="H701" s="2">
        <v>41778</v>
      </c>
      <c r="I701" s="2">
        <v>41782</v>
      </c>
      <c r="J701" t="s">
        <v>27</v>
      </c>
      <c r="K701" s="2">
        <v>41822.13547997685</v>
      </c>
      <c r="L701" t="s">
        <v>850</v>
      </c>
      <c r="M701">
        <v>429154</v>
      </c>
      <c r="N701">
        <v>2</v>
      </c>
      <c r="O701">
        <v>1</v>
      </c>
      <c r="P701">
        <v>3</v>
      </c>
      <c r="Q701">
        <v>2</v>
      </c>
      <c r="R701">
        <v>12254</v>
      </c>
      <c r="S701" t="s">
        <v>4064</v>
      </c>
      <c r="T701" t="s">
        <v>3272</v>
      </c>
      <c r="V701" t="s">
        <v>106</v>
      </c>
      <c r="W701" t="s">
        <v>49</v>
      </c>
      <c r="X701" t="s">
        <v>1855</v>
      </c>
    </row>
    <row r="702" spans="1:24" ht="12.75">
      <c r="A702" s="1" t="str">
        <f>HYPERLINK("http://www.ofsted.gov.uk/inspection-reports/find-inspection-report/provider/ELS/130461","Ofsted FES Webpage")</f>
        <v>Ofsted FES Webpage</v>
      </c>
      <c r="B702" t="s">
        <v>911</v>
      </c>
      <c r="C702">
        <v>130461</v>
      </c>
      <c r="D702">
        <v>105074</v>
      </c>
      <c r="E702" t="s">
        <v>106</v>
      </c>
      <c r="F702" t="s">
        <v>49</v>
      </c>
      <c r="G702" t="s">
        <v>849</v>
      </c>
      <c r="H702" s="2">
        <v>40217</v>
      </c>
      <c r="I702" s="2">
        <v>40221</v>
      </c>
      <c r="J702" t="s">
        <v>18</v>
      </c>
      <c r="K702" s="2">
        <v>40288.13552619213</v>
      </c>
      <c r="L702" t="s">
        <v>858</v>
      </c>
      <c r="M702">
        <v>343696</v>
      </c>
      <c r="N702">
        <v>2</v>
      </c>
      <c r="O702">
        <v>1</v>
      </c>
      <c r="P702">
        <v>2</v>
      </c>
      <c r="Q702">
        <v>2</v>
      </c>
      <c r="R702">
        <v>18393</v>
      </c>
      <c r="S702" t="s">
        <v>4065</v>
      </c>
      <c r="V702" t="s">
        <v>106</v>
      </c>
      <c r="W702" t="s">
        <v>49</v>
      </c>
      <c r="X702" t="s">
        <v>2047</v>
      </c>
    </row>
    <row r="703" spans="1:24" ht="12.75">
      <c r="A703" s="1" t="str">
        <f>HYPERLINK("http://www.ofsted.gov.uk/inspection-reports/find-inspection-report/provider/ELS/130466","Ofsted FES Webpage")</f>
        <v>Ofsted FES Webpage</v>
      </c>
      <c r="B703" t="s">
        <v>912</v>
      </c>
      <c r="C703">
        <v>130466</v>
      </c>
      <c r="D703">
        <v>106368</v>
      </c>
      <c r="E703" t="s">
        <v>106</v>
      </c>
      <c r="F703" t="s">
        <v>49</v>
      </c>
      <c r="G703" t="s">
        <v>849</v>
      </c>
      <c r="H703" s="2">
        <v>40581</v>
      </c>
      <c r="I703" s="2">
        <v>40585</v>
      </c>
      <c r="J703" t="s">
        <v>56</v>
      </c>
      <c r="K703" s="2">
        <v>40620.135452395836</v>
      </c>
      <c r="L703" t="s">
        <v>858</v>
      </c>
      <c r="M703">
        <v>363287</v>
      </c>
      <c r="N703">
        <v>2</v>
      </c>
      <c r="O703">
        <v>2</v>
      </c>
      <c r="P703">
        <v>2</v>
      </c>
      <c r="Q703">
        <v>2</v>
      </c>
      <c r="R703">
        <v>20995</v>
      </c>
      <c r="S703" t="s">
        <v>4067</v>
      </c>
      <c r="V703" t="s">
        <v>106</v>
      </c>
      <c r="W703" t="s">
        <v>49</v>
      </c>
      <c r="X703" t="s">
        <v>2049</v>
      </c>
    </row>
    <row r="704" spans="1:24" ht="12.75">
      <c r="A704" s="1" t="str">
        <f>HYPERLINK("http://www.ofsted.gov.uk/inspection-reports/find-inspection-report/provider/ELS/130467","Ofsted FES Webpage")</f>
        <v>Ofsted FES Webpage</v>
      </c>
      <c r="B704" t="s">
        <v>913</v>
      </c>
      <c r="C704">
        <v>130467</v>
      </c>
      <c r="D704">
        <v>108354</v>
      </c>
      <c r="E704" t="s">
        <v>106</v>
      </c>
      <c r="F704" t="s">
        <v>49</v>
      </c>
      <c r="G704" t="s">
        <v>40</v>
      </c>
      <c r="H704" s="2">
        <v>41757</v>
      </c>
      <c r="I704" s="2">
        <v>41760</v>
      </c>
      <c r="J704" t="s">
        <v>27</v>
      </c>
      <c r="K704" s="2">
        <v>41796.13552109954</v>
      </c>
      <c r="L704" t="s">
        <v>45</v>
      </c>
      <c r="M704">
        <v>434066</v>
      </c>
      <c r="N704">
        <v>2</v>
      </c>
      <c r="O704">
        <v>2</v>
      </c>
      <c r="P704">
        <v>1</v>
      </c>
      <c r="Q704">
        <v>1</v>
      </c>
      <c r="R704">
        <v>630</v>
      </c>
      <c r="S704" t="s">
        <v>3743</v>
      </c>
      <c r="T704" t="s">
        <v>3647</v>
      </c>
      <c r="V704" t="s">
        <v>106</v>
      </c>
      <c r="W704" t="s">
        <v>49</v>
      </c>
      <c r="X704" t="s">
        <v>1876</v>
      </c>
    </row>
    <row r="705" spans="1:24" ht="12.75">
      <c r="A705" s="1" t="str">
        <f>HYPERLINK("http://www.ofsted.gov.uk/inspection-reports/find-inspection-report/provider/ELS/130468","Ofsted FES Webpage")</f>
        <v>Ofsted FES Webpage</v>
      </c>
      <c r="B705" t="s">
        <v>914</v>
      </c>
      <c r="C705">
        <v>130468</v>
      </c>
      <c r="D705">
        <v>108413</v>
      </c>
      <c r="E705" t="s">
        <v>106</v>
      </c>
      <c r="F705" t="s">
        <v>49</v>
      </c>
      <c r="G705" t="s">
        <v>862</v>
      </c>
      <c r="H705" s="2">
        <v>41380</v>
      </c>
      <c r="I705" s="2">
        <v>41383</v>
      </c>
      <c r="J705" t="s">
        <v>32</v>
      </c>
      <c r="K705" s="2">
        <v>41422.135530127314</v>
      </c>
      <c r="L705" t="s">
        <v>875</v>
      </c>
      <c r="M705">
        <v>421160</v>
      </c>
      <c r="N705">
        <v>3</v>
      </c>
      <c r="O705">
        <v>3</v>
      </c>
      <c r="P705">
        <v>1</v>
      </c>
      <c r="Q705">
        <v>1</v>
      </c>
      <c r="R705">
        <v>2627</v>
      </c>
      <c r="S705" t="s">
        <v>3852</v>
      </c>
      <c r="T705" t="s">
        <v>3600</v>
      </c>
      <c r="V705" t="s">
        <v>106</v>
      </c>
      <c r="W705" t="s">
        <v>49</v>
      </c>
      <c r="X705" t="s">
        <v>2050</v>
      </c>
    </row>
    <row r="706" spans="1:24" ht="12.75">
      <c r="A706" s="1" t="str">
        <f>HYPERLINK("http://www.ofsted.gov.uk/inspection-reports/find-inspection-report/provider/ELS/130469","Ofsted FES Webpage")</f>
        <v>Ofsted FES Webpage</v>
      </c>
      <c r="B706" t="s">
        <v>915</v>
      </c>
      <c r="C706">
        <v>130469</v>
      </c>
      <c r="D706">
        <v>108431</v>
      </c>
      <c r="E706" t="s">
        <v>106</v>
      </c>
      <c r="F706" t="s">
        <v>49</v>
      </c>
      <c r="G706" t="s">
        <v>862</v>
      </c>
      <c r="H706" s="2">
        <v>41702</v>
      </c>
      <c r="I706" s="2">
        <v>41705</v>
      </c>
      <c r="J706" t="s">
        <v>27</v>
      </c>
      <c r="K706" s="2">
        <v>41737.13545644676</v>
      </c>
      <c r="L706" t="s">
        <v>897</v>
      </c>
      <c r="M706">
        <v>429251</v>
      </c>
      <c r="N706">
        <v>2</v>
      </c>
      <c r="O706">
        <v>2</v>
      </c>
      <c r="P706">
        <v>3</v>
      </c>
      <c r="Q706">
        <v>3</v>
      </c>
      <c r="R706">
        <v>1011</v>
      </c>
      <c r="S706" t="s">
        <v>4068</v>
      </c>
      <c r="T706" t="s">
        <v>4069</v>
      </c>
      <c r="U706" t="s">
        <v>3368</v>
      </c>
      <c r="V706" t="s">
        <v>106</v>
      </c>
      <c r="W706" t="s">
        <v>49</v>
      </c>
      <c r="X706" t="s">
        <v>2051</v>
      </c>
    </row>
    <row r="707" spans="1:24" ht="12.75">
      <c r="A707" s="1" t="str">
        <f>HYPERLINK("http://www.ofsted.gov.uk/inspection-reports/find-inspection-report/provider/ELS/130472","Ofsted FES Webpage")</f>
        <v>Ofsted FES Webpage</v>
      </c>
      <c r="B707" t="s">
        <v>916</v>
      </c>
      <c r="C707">
        <v>130472</v>
      </c>
      <c r="D707">
        <v>106441</v>
      </c>
      <c r="E707" t="s">
        <v>203</v>
      </c>
      <c r="F707" t="s">
        <v>49</v>
      </c>
      <c r="G707" t="s">
        <v>849</v>
      </c>
      <c r="H707" s="2">
        <v>41659</v>
      </c>
      <c r="I707" s="2">
        <v>41663</v>
      </c>
      <c r="J707" t="s">
        <v>27</v>
      </c>
      <c r="K707" s="2">
        <v>41696.13550146991</v>
      </c>
      <c r="L707" t="s">
        <v>850</v>
      </c>
      <c r="M707">
        <v>429165</v>
      </c>
      <c r="N707">
        <v>2</v>
      </c>
      <c r="O707">
        <v>2</v>
      </c>
      <c r="P707">
        <v>3</v>
      </c>
      <c r="Q707">
        <v>3</v>
      </c>
      <c r="R707">
        <v>5257</v>
      </c>
      <c r="S707" t="s">
        <v>4070</v>
      </c>
      <c r="T707" t="s">
        <v>4071</v>
      </c>
      <c r="V707" t="s">
        <v>203</v>
      </c>
      <c r="W707" t="s">
        <v>49</v>
      </c>
      <c r="X707" t="s">
        <v>2052</v>
      </c>
    </row>
    <row r="708" spans="1:24" ht="12.75">
      <c r="A708" s="1" t="str">
        <f>HYPERLINK("http://www.ofsted.gov.uk/inspection-reports/find-inspection-report/provider/ELS/130473","Ofsted FES Webpage")</f>
        <v>Ofsted FES Webpage</v>
      </c>
      <c r="B708" t="s">
        <v>917</v>
      </c>
      <c r="C708">
        <v>130473</v>
      </c>
      <c r="D708">
        <v>112389</v>
      </c>
      <c r="E708" t="s">
        <v>203</v>
      </c>
      <c r="F708" t="s">
        <v>49</v>
      </c>
      <c r="G708" t="s">
        <v>849</v>
      </c>
      <c r="H708" s="2">
        <v>41799</v>
      </c>
      <c r="I708" s="2">
        <v>41803</v>
      </c>
      <c r="J708" t="s">
        <v>27</v>
      </c>
      <c r="K708" s="2">
        <v>41828.13545679398</v>
      </c>
      <c r="L708" t="s">
        <v>866</v>
      </c>
      <c r="M708">
        <v>423151</v>
      </c>
      <c r="N708">
        <v>3</v>
      </c>
      <c r="O708">
        <v>3</v>
      </c>
      <c r="P708">
        <v>4</v>
      </c>
      <c r="Q708">
        <v>4</v>
      </c>
      <c r="R708">
        <v>5339</v>
      </c>
      <c r="S708" t="s">
        <v>4072</v>
      </c>
      <c r="V708" t="s">
        <v>203</v>
      </c>
      <c r="W708" t="s">
        <v>49</v>
      </c>
      <c r="X708" t="s">
        <v>2053</v>
      </c>
    </row>
    <row r="709" spans="1:24" ht="12.75">
      <c r="A709" s="1" t="str">
        <f>HYPERLINK("http://www.ofsted.gov.uk/inspection-reports/find-inspection-report/provider/ELS/130474","Ofsted FES Webpage")</f>
        <v>Ofsted FES Webpage</v>
      </c>
      <c r="B709" t="s">
        <v>918</v>
      </c>
      <c r="C709">
        <v>130474</v>
      </c>
      <c r="D709">
        <v>108472</v>
      </c>
      <c r="E709" t="s">
        <v>203</v>
      </c>
      <c r="F709" t="s">
        <v>49</v>
      </c>
      <c r="G709" t="s">
        <v>849</v>
      </c>
      <c r="H709" s="2">
        <v>41534</v>
      </c>
      <c r="I709" s="2">
        <v>41536</v>
      </c>
      <c r="J709" t="s">
        <v>27</v>
      </c>
      <c r="K709" s="2">
        <v>41571.13548295139</v>
      </c>
      <c r="L709" t="s">
        <v>474</v>
      </c>
      <c r="M709">
        <v>423397</v>
      </c>
      <c r="N709">
        <v>3</v>
      </c>
      <c r="O709">
        <v>3</v>
      </c>
      <c r="P709">
        <v>2</v>
      </c>
      <c r="Q709">
        <v>2</v>
      </c>
      <c r="R709">
        <v>565</v>
      </c>
      <c r="S709" t="s">
        <v>4073</v>
      </c>
      <c r="T709" t="s">
        <v>2796</v>
      </c>
      <c r="U709" t="s">
        <v>2797</v>
      </c>
      <c r="V709" t="s">
        <v>203</v>
      </c>
      <c r="W709" t="s">
        <v>49</v>
      </c>
      <c r="X709" t="s">
        <v>2054</v>
      </c>
    </row>
    <row r="710" spans="1:24" ht="12.75">
      <c r="A710" s="1" t="str">
        <f>HYPERLINK("http://www.ofsted.gov.uk/inspection-reports/find-inspection-report/provider/ELS/130475","Ofsted FES Webpage")</f>
        <v>Ofsted FES Webpage</v>
      </c>
      <c r="B710" t="s">
        <v>919</v>
      </c>
      <c r="C710">
        <v>130475</v>
      </c>
      <c r="D710">
        <v>106374</v>
      </c>
      <c r="E710" t="s">
        <v>112</v>
      </c>
      <c r="F710" t="s">
        <v>49</v>
      </c>
      <c r="G710" t="s">
        <v>849</v>
      </c>
      <c r="H710" s="2">
        <v>41330</v>
      </c>
      <c r="I710" s="2">
        <v>41334</v>
      </c>
      <c r="J710" t="s">
        <v>32</v>
      </c>
      <c r="K710" s="2">
        <v>41374.13558677083</v>
      </c>
      <c r="L710" t="s">
        <v>850</v>
      </c>
      <c r="M710">
        <v>409299</v>
      </c>
      <c r="N710">
        <v>2</v>
      </c>
      <c r="O710">
        <v>2</v>
      </c>
      <c r="P710">
        <v>2</v>
      </c>
      <c r="Q710">
        <v>2</v>
      </c>
      <c r="R710">
        <v>12045</v>
      </c>
      <c r="S710" t="s">
        <v>2677</v>
      </c>
      <c r="V710" t="s">
        <v>112</v>
      </c>
      <c r="W710" t="s">
        <v>49</v>
      </c>
      <c r="X710" t="s">
        <v>2055</v>
      </c>
    </row>
    <row r="711" spans="1:24" ht="12.75">
      <c r="A711" s="1" t="str">
        <f>HYPERLINK("http://www.ofsted.gov.uk/inspection-reports/find-inspection-report/provider/ELS/130476","Ofsted FES Webpage")</f>
        <v>Ofsted FES Webpage</v>
      </c>
      <c r="B711" t="s">
        <v>921</v>
      </c>
      <c r="C711">
        <v>130476</v>
      </c>
      <c r="D711">
        <v>108457</v>
      </c>
      <c r="E711" t="s">
        <v>112</v>
      </c>
      <c r="F711" t="s">
        <v>49</v>
      </c>
      <c r="G711" t="s">
        <v>849</v>
      </c>
      <c r="H711" s="2">
        <v>41428</v>
      </c>
      <c r="I711" s="2">
        <v>41432</v>
      </c>
      <c r="J711" t="s">
        <v>32</v>
      </c>
      <c r="K711" s="2">
        <v>41467.13557627315</v>
      </c>
      <c r="L711" t="s">
        <v>850</v>
      </c>
      <c r="M711">
        <v>409317</v>
      </c>
      <c r="N711">
        <v>2</v>
      </c>
      <c r="O711">
        <v>2</v>
      </c>
      <c r="P711">
        <v>2</v>
      </c>
      <c r="Q711">
        <v>2</v>
      </c>
      <c r="R711">
        <v>6043</v>
      </c>
      <c r="S711" t="s">
        <v>4074</v>
      </c>
      <c r="V711" t="s">
        <v>4075</v>
      </c>
      <c r="W711" t="s">
        <v>49</v>
      </c>
      <c r="X711" t="s">
        <v>2056</v>
      </c>
    </row>
    <row r="712" spans="1:24" ht="12.75">
      <c r="A712" s="1" t="str">
        <f>HYPERLINK("http://www.ofsted.gov.uk/inspection-reports/find-inspection-report/provider/ELS/130478","Ofsted FES Webpage")</f>
        <v>Ofsted FES Webpage</v>
      </c>
      <c r="B712" t="s">
        <v>922</v>
      </c>
      <c r="C712">
        <v>130478</v>
      </c>
      <c r="D712">
        <v>108365</v>
      </c>
      <c r="E712" t="s">
        <v>112</v>
      </c>
      <c r="F712" t="s">
        <v>49</v>
      </c>
      <c r="G712" t="s">
        <v>862</v>
      </c>
      <c r="H712" s="2">
        <v>39483</v>
      </c>
      <c r="I712" s="2">
        <v>39484</v>
      </c>
      <c r="J712" t="s">
        <v>154</v>
      </c>
      <c r="K712" s="2">
        <v>39549.13557021991</v>
      </c>
      <c r="L712" t="s">
        <v>863</v>
      </c>
      <c r="M712">
        <v>318902</v>
      </c>
      <c r="N712">
        <v>1</v>
      </c>
      <c r="O712">
        <v>1</v>
      </c>
      <c r="P712" t="s">
        <v>20</v>
      </c>
      <c r="Q712" t="s">
        <v>20</v>
      </c>
      <c r="R712">
        <v>1662</v>
      </c>
      <c r="S712" t="s">
        <v>4076</v>
      </c>
      <c r="V712" t="s">
        <v>2357</v>
      </c>
      <c r="W712" t="s">
        <v>49</v>
      </c>
      <c r="X712" t="s">
        <v>2057</v>
      </c>
    </row>
    <row r="713" spans="1:24" ht="12.75">
      <c r="A713" s="1" t="str">
        <f>HYPERLINK("http://www.ofsted.gov.uk/inspection-reports/find-inspection-report/provider/ELS/130479","Ofsted FES Webpage")</f>
        <v>Ofsted FES Webpage</v>
      </c>
      <c r="B713" t="s">
        <v>923</v>
      </c>
      <c r="C713">
        <v>130479</v>
      </c>
      <c r="D713">
        <v>105110</v>
      </c>
      <c r="E713" t="s">
        <v>179</v>
      </c>
      <c r="F713" t="s">
        <v>49</v>
      </c>
      <c r="G713" t="s">
        <v>849</v>
      </c>
      <c r="H713" s="2">
        <v>41771</v>
      </c>
      <c r="I713" s="2">
        <v>41775</v>
      </c>
      <c r="J713" t="s">
        <v>27</v>
      </c>
      <c r="K713" s="2">
        <v>41809.13546863426</v>
      </c>
      <c r="L713" t="s">
        <v>850</v>
      </c>
      <c r="M713">
        <v>434083</v>
      </c>
      <c r="N713">
        <v>2</v>
      </c>
      <c r="O713">
        <v>2</v>
      </c>
      <c r="P713">
        <v>3</v>
      </c>
      <c r="Q713">
        <v>3</v>
      </c>
      <c r="R713">
        <v>6578</v>
      </c>
      <c r="S713" t="s">
        <v>4077</v>
      </c>
      <c r="V713" t="s">
        <v>3485</v>
      </c>
      <c r="W713" t="s">
        <v>49</v>
      </c>
      <c r="X713" t="s">
        <v>2058</v>
      </c>
    </row>
    <row r="714" spans="1:24" ht="12.75">
      <c r="A714" s="1" t="str">
        <f>HYPERLINK("http://www.ofsted.gov.uk/inspection-reports/find-inspection-report/provider/ELS/130481","Ofsted FES Webpage")</f>
        <v>Ofsted FES Webpage</v>
      </c>
      <c r="B714" t="s">
        <v>924</v>
      </c>
      <c r="C714">
        <v>130481</v>
      </c>
      <c r="D714">
        <v>106366</v>
      </c>
      <c r="E714" t="s">
        <v>925</v>
      </c>
      <c r="F714" t="s">
        <v>49</v>
      </c>
      <c r="G714" t="s">
        <v>849</v>
      </c>
      <c r="H714" s="2">
        <v>40308</v>
      </c>
      <c r="I714" s="2">
        <v>40312</v>
      </c>
      <c r="J714" t="s">
        <v>18</v>
      </c>
      <c r="K714" s="2">
        <v>40350.13551866898</v>
      </c>
      <c r="L714" t="s">
        <v>858</v>
      </c>
      <c r="M714">
        <v>346614</v>
      </c>
      <c r="N714">
        <v>2</v>
      </c>
      <c r="O714">
        <v>2</v>
      </c>
      <c r="P714">
        <v>2</v>
      </c>
      <c r="Q714">
        <v>2</v>
      </c>
      <c r="R714">
        <v>16843</v>
      </c>
      <c r="S714" t="s">
        <v>4078</v>
      </c>
      <c r="T714" t="s">
        <v>4079</v>
      </c>
      <c r="V714" t="s">
        <v>925</v>
      </c>
      <c r="W714" t="s">
        <v>49</v>
      </c>
      <c r="X714" t="s">
        <v>2059</v>
      </c>
    </row>
    <row r="715" spans="1:24" ht="12.75">
      <c r="A715" s="1" t="str">
        <f>HYPERLINK("http://www.ofsted.gov.uk/inspection-reports/find-inspection-report/provider/ELS/130482","Ofsted FES Webpage")</f>
        <v>Ofsted FES Webpage</v>
      </c>
      <c r="B715" t="s">
        <v>926</v>
      </c>
      <c r="C715">
        <v>130482</v>
      </c>
      <c r="D715">
        <v>108389</v>
      </c>
      <c r="E715" t="s">
        <v>925</v>
      </c>
      <c r="F715" t="s">
        <v>49</v>
      </c>
      <c r="G715" t="s">
        <v>862</v>
      </c>
      <c r="H715" s="2">
        <v>41541</v>
      </c>
      <c r="I715" s="2">
        <v>41544</v>
      </c>
      <c r="J715" t="s">
        <v>27</v>
      </c>
      <c r="K715" s="2">
        <v>41579.13545821759</v>
      </c>
      <c r="L715" t="s">
        <v>875</v>
      </c>
      <c r="M715">
        <v>423376</v>
      </c>
      <c r="N715">
        <v>2</v>
      </c>
      <c r="O715">
        <v>2</v>
      </c>
      <c r="P715">
        <v>3</v>
      </c>
      <c r="Q715">
        <v>3</v>
      </c>
      <c r="R715">
        <v>2137</v>
      </c>
      <c r="S715" t="s">
        <v>4080</v>
      </c>
      <c r="V715" t="s">
        <v>925</v>
      </c>
      <c r="W715" t="s">
        <v>49</v>
      </c>
      <c r="X715" t="s">
        <v>2060</v>
      </c>
    </row>
    <row r="716" spans="1:24" ht="12.75">
      <c r="A716" s="1" t="str">
        <f>HYPERLINK("http://www.ofsted.gov.uk/inspection-reports/find-inspection-report/provider/ELS/130483","Ofsted FES Webpage")</f>
        <v>Ofsted FES Webpage</v>
      </c>
      <c r="B716" t="s">
        <v>927</v>
      </c>
      <c r="C716">
        <v>130483</v>
      </c>
      <c r="D716">
        <v>105118</v>
      </c>
      <c r="E716" t="s">
        <v>73</v>
      </c>
      <c r="F716" t="s">
        <v>49</v>
      </c>
      <c r="G716" t="s">
        <v>849</v>
      </c>
      <c r="H716" s="2">
        <v>41316</v>
      </c>
      <c r="I716" s="2">
        <v>41320</v>
      </c>
      <c r="J716" t="s">
        <v>32</v>
      </c>
      <c r="K716" s="2">
        <v>41355.1357747338</v>
      </c>
      <c r="L716" t="s">
        <v>850</v>
      </c>
      <c r="M716">
        <v>408430</v>
      </c>
      <c r="N716">
        <v>1</v>
      </c>
      <c r="O716">
        <v>1</v>
      </c>
      <c r="P716">
        <v>2</v>
      </c>
      <c r="Q716">
        <v>2</v>
      </c>
      <c r="R716">
        <v>12178</v>
      </c>
      <c r="S716" t="s">
        <v>4081</v>
      </c>
      <c r="U716" t="s">
        <v>4082</v>
      </c>
      <c r="V716" t="s">
        <v>73</v>
      </c>
      <c r="W716" t="s">
        <v>49</v>
      </c>
      <c r="X716" t="s">
        <v>2061</v>
      </c>
    </row>
    <row r="717" spans="1:24" ht="12.75">
      <c r="A717" s="1" t="str">
        <f>HYPERLINK("http://www.ofsted.gov.uk/inspection-reports/find-inspection-report/provider/ELS/130484","Ofsted FES Webpage")</f>
        <v>Ofsted FES Webpage</v>
      </c>
      <c r="B717" t="s">
        <v>928</v>
      </c>
      <c r="C717">
        <v>130484</v>
      </c>
      <c r="D717">
        <v>106388</v>
      </c>
      <c r="E717" t="s">
        <v>228</v>
      </c>
      <c r="F717" t="s">
        <v>49</v>
      </c>
      <c r="G717" t="s">
        <v>849</v>
      </c>
      <c r="H717" s="2">
        <v>41393</v>
      </c>
      <c r="I717" s="2">
        <v>41397</v>
      </c>
      <c r="J717" t="s">
        <v>32</v>
      </c>
      <c r="K717" s="2">
        <v>41436.135446099535</v>
      </c>
      <c r="L717" t="s">
        <v>866</v>
      </c>
      <c r="M717">
        <v>397446</v>
      </c>
      <c r="N717">
        <v>3</v>
      </c>
      <c r="O717">
        <v>3</v>
      </c>
      <c r="P717">
        <v>4</v>
      </c>
      <c r="Q717">
        <v>4</v>
      </c>
      <c r="R717">
        <v>12537</v>
      </c>
      <c r="S717" t="s">
        <v>4083</v>
      </c>
      <c r="V717" t="s">
        <v>228</v>
      </c>
      <c r="W717" t="s">
        <v>49</v>
      </c>
      <c r="X717" t="s">
        <v>2062</v>
      </c>
    </row>
    <row r="718" spans="1:24" ht="12.75">
      <c r="A718" s="1" t="str">
        <f>HYPERLINK("http://www.ofsted.gov.uk/inspection-reports/find-inspection-report/provider/ELS/130486","Ofsted FES Webpage")</f>
        <v>Ofsted FES Webpage</v>
      </c>
      <c r="B718" t="s">
        <v>929</v>
      </c>
      <c r="C718">
        <v>130486</v>
      </c>
      <c r="D718">
        <v>106909</v>
      </c>
      <c r="E718" t="s">
        <v>385</v>
      </c>
      <c r="F718" t="s">
        <v>68</v>
      </c>
      <c r="G718" t="s">
        <v>849</v>
      </c>
      <c r="H718" s="2">
        <v>41379</v>
      </c>
      <c r="I718" s="2">
        <v>41383</v>
      </c>
      <c r="J718" t="s">
        <v>32</v>
      </c>
      <c r="K718" s="2">
        <v>41417.13544652778</v>
      </c>
      <c r="L718" t="s">
        <v>866</v>
      </c>
      <c r="M718">
        <v>395074</v>
      </c>
      <c r="N718">
        <v>2</v>
      </c>
      <c r="O718">
        <v>2</v>
      </c>
      <c r="P718">
        <v>4</v>
      </c>
      <c r="Q718">
        <v>4</v>
      </c>
      <c r="R718">
        <v>6746</v>
      </c>
      <c r="S718" t="s">
        <v>4084</v>
      </c>
      <c r="T718" t="s">
        <v>4085</v>
      </c>
      <c r="V718" t="s">
        <v>67</v>
      </c>
      <c r="W718" t="s">
        <v>2481</v>
      </c>
      <c r="X718" t="s">
        <v>2063</v>
      </c>
    </row>
    <row r="719" spans="1:24" ht="12.75">
      <c r="A719" s="1" t="str">
        <f>HYPERLINK("http://www.ofsted.gov.uk/inspection-reports/find-inspection-report/provider/ELS/130487","Ofsted FES Webpage")</f>
        <v>Ofsted FES Webpage</v>
      </c>
      <c r="B719" t="s">
        <v>930</v>
      </c>
      <c r="C719">
        <v>130487</v>
      </c>
      <c r="D719">
        <v>106915</v>
      </c>
      <c r="E719" t="s">
        <v>67</v>
      </c>
      <c r="F719" t="s">
        <v>68</v>
      </c>
      <c r="G719" t="s">
        <v>849</v>
      </c>
      <c r="H719" s="2">
        <v>41757</v>
      </c>
      <c r="I719" s="2">
        <v>41761</v>
      </c>
      <c r="J719" t="s">
        <v>27</v>
      </c>
      <c r="K719" s="2">
        <v>41799.13545054398</v>
      </c>
      <c r="L719" t="s">
        <v>866</v>
      </c>
      <c r="M719">
        <v>422207</v>
      </c>
      <c r="N719">
        <v>3</v>
      </c>
      <c r="O719">
        <v>3</v>
      </c>
      <c r="P719">
        <v>4</v>
      </c>
      <c r="Q719">
        <v>4</v>
      </c>
      <c r="R719">
        <v>13276</v>
      </c>
      <c r="S719" t="s">
        <v>4086</v>
      </c>
      <c r="V719" t="s">
        <v>67</v>
      </c>
      <c r="W719" t="s">
        <v>2481</v>
      </c>
      <c r="X719" t="s">
        <v>2064</v>
      </c>
    </row>
    <row r="720" spans="1:24" ht="12.75">
      <c r="A720" s="1" t="str">
        <f>HYPERLINK("http://www.ofsted.gov.uk/inspection-reports/find-inspection-report/provider/ELS/130488","Ofsted FES Webpage")</f>
        <v>Ofsted FES Webpage</v>
      </c>
      <c r="B720" t="s">
        <v>931</v>
      </c>
      <c r="C720">
        <v>130488</v>
      </c>
      <c r="D720">
        <v>105907</v>
      </c>
      <c r="E720" t="s">
        <v>598</v>
      </c>
      <c r="F720" t="s">
        <v>68</v>
      </c>
      <c r="G720" t="s">
        <v>849</v>
      </c>
      <c r="H720" s="2">
        <v>41680</v>
      </c>
      <c r="I720" s="2">
        <v>41684</v>
      </c>
      <c r="J720" t="s">
        <v>27</v>
      </c>
      <c r="K720" s="2">
        <v>41717.13548179398</v>
      </c>
      <c r="L720" t="s">
        <v>850</v>
      </c>
      <c r="M720">
        <v>429169</v>
      </c>
      <c r="N720">
        <v>2</v>
      </c>
      <c r="O720">
        <v>2</v>
      </c>
      <c r="P720">
        <v>3</v>
      </c>
      <c r="Q720">
        <v>3</v>
      </c>
      <c r="R720">
        <v>7504</v>
      </c>
      <c r="S720" t="s">
        <v>4087</v>
      </c>
      <c r="V720" t="s">
        <v>2487</v>
      </c>
      <c r="W720" t="s">
        <v>2481</v>
      </c>
      <c r="X720" t="s">
        <v>2065</v>
      </c>
    </row>
    <row r="721" spans="1:24" ht="12.75">
      <c r="A721" s="1" t="str">
        <f>HYPERLINK("http://www.ofsted.gov.uk/inspection-reports/find-inspection-report/provider/ELS/130489","Ofsted FES Webpage")</f>
        <v>Ofsted FES Webpage</v>
      </c>
      <c r="B721" t="s">
        <v>932</v>
      </c>
      <c r="C721">
        <v>130489</v>
      </c>
      <c r="D721">
        <v>108370</v>
      </c>
      <c r="E721" t="s">
        <v>598</v>
      </c>
      <c r="F721" t="s">
        <v>68</v>
      </c>
      <c r="G721" t="s">
        <v>862</v>
      </c>
      <c r="H721" s="2">
        <v>39266</v>
      </c>
      <c r="I721" s="2">
        <v>39267</v>
      </c>
      <c r="J721" t="s">
        <v>100</v>
      </c>
      <c r="K721" s="2">
        <v>39304.135532175926</v>
      </c>
      <c r="L721" t="s">
        <v>876</v>
      </c>
      <c r="M721">
        <v>318567</v>
      </c>
      <c r="N721">
        <v>1</v>
      </c>
      <c r="O721">
        <v>1</v>
      </c>
      <c r="P721" t="s">
        <v>20</v>
      </c>
      <c r="Q721" t="s">
        <v>20</v>
      </c>
      <c r="R721">
        <v>1758</v>
      </c>
      <c r="S721" t="s">
        <v>4088</v>
      </c>
      <c r="V721" t="s">
        <v>2487</v>
      </c>
      <c r="W721" t="s">
        <v>2481</v>
      </c>
      <c r="X721" t="s">
        <v>2066</v>
      </c>
    </row>
    <row r="722" spans="1:24" ht="12.75">
      <c r="A722" s="1" t="str">
        <f>HYPERLINK("http://www.ofsted.gov.uk/inspection-reports/find-inspection-report/provider/ELS/130490","Ofsted FES Webpage")</f>
        <v>Ofsted FES Webpage</v>
      </c>
      <c r="B722" t="s">
        <v>933</v>
      </c>
      <c r="C722">
        <v>130490</v>
      </c>
      <c r="D722">
        <v>106900</v>
      </c>
      <c r="E722" t="s">
        <v>157</v>
      </c>
      <c r="F722" t="s">
        <v>68</v>
      </c>
      <c r="G722" t="s">
        <v>849</v>
      </c>
      <c r="H722" s="2">
        <v>40217</v>
      </c>
      <c r="I722" s="2">
        <v>40221</v>
      </c>
      <c r="J722" t="s">
        <v>18</v>
      </c>
      <c r="K722" s="2">
        <v>40256.1355215625</v>
      </c>
      <c r="L722" t="s">
        <v>858</v>
      </c>
      <c r="M722">
        <v>343958</v>
      </c>
      <c r="N722">
        <v>2</v>
      </c>
      <c r="O722">
        <v>2</v>
      </c>
      <c r="P722">
        <v>2</v>
      </c>
      <c r="Q722">
        <v>2</v>
      </c>
      <c r="R722">
        <v>4711</v>
      </c>
      <c r="S722" t="s">
        <v>4089</v>
      </c>
      <c r="V722" t="s">
        <v>2983</v>
      </c>
      <c r="W722" t="s">
        <v>2481</v>
      </c>
      <c r="X722" t="s">
        <v>2067</v>
      </c>
    </row>
    <row r="723" spans="1:24" ht="12.75">
      <c r="A723" s="1" t="str">
        <f>HYPERLINK("http://www.ofsted.gov.uk/inspection-reports/find-inspection-report/provider/ELS/130491","Ofsted FES Webpage")</f>
        <v>Ofsted FES Webpage</v>
      </c>
      <c r="B723" t="s">
        <v>934</v>
      </c>
      <c r="C723">
        <v>130491</v>
      </c>
      <c r="D723">
        <v>106934</v>
      </c>
      <c r="E723" t="s">
        <v>157</v>
      </c>
      <c r="F723" t="s">
        <v>68</v>
      </c>
      <c r="G723" t="s">
        <v>849</v>
      </c>
      <c r="H723" s="2">
        <v>41344</v>
      </c>
      <c r="I723" s="2">
        <v>41348</v>
      </c>
      <c r="J723" t="s">
        <v>32</v>
      </c>
      <c r="K723" s="2">
        <v>41381.135625497685</v>
      </c>
      <c r="L723" t="s">
        <v>850</v>
      </c>
      <c r="M723">
        <v>408435</v>
      </c>
      <c r="N723">
        <v>2</v>
      </c>
      <c r="O723">
        <v>2</v>
      </c>
      <c r="P723">
        <v>2</v>
      </c>
      <c r="Q723">
        <v>2</v>
      </c>
      <c r="R723">
        <v>4028</v>
      </c>
      <c r="S723" t="s">
        <v>4090</v>
      </c>
      <c r="V723" t="s">
        <v>2629</v>
      </c>
      <c r="W723" t="s">
        <v>2481</v>
      </c>
      <c r="X723" t="s">
        <v>2068</v>
      </c>
    </row>
    <row r="724" spans="1:24" ht="12.75">
      <c r="A724" s="1" t="str">
        <f>HYPERLINK("http://www.ofsted.gov.uk/inspection-reports/find-inspection-report/provider/ELS/130492","Ofsted FES Webpage")</f>
        <v>Ofsted FES Webpage</v>
      </c>
      <c r="B724" t="s">
        <v>935</v>
      </c>
      <c r="C724">
        <v>130492</v>
      </c>
      <c r="D724">
        <v>109307</v>
      </c>
      <c r="E724" t="s">
        <v>157</v>
      </c>
      <c r="F724" t="s">
        <v>68</v>
      </c>
      <c r="G724" t="s">
        <v>862</v>
      </c>
      <c r="H724" s="2">
        <v>40987</v>
      </c>
      <c r="I724" s="2">
        <v>40990</v>
      </c>
      <c r="J724" t="s">
        <v>23</v>
      </c>
      <c r="K724" s="2">
        <v>41031.13549328704</v>
      </c>
      <c r="L724" t="s">
        <v>863</v>
      </c>
      <c r="M724">
        <v>385365</v>
      </c>
      <c r="N724">
        <v>2</v>
      </c>
      <c r="O724">
        <v>2</v>
      </c>
      <c r="P724">
        <v>1</v>
      </c>
      <c r="Q724">
        <v>1</v>
      </c>
      <c r="R724">
        <v>1438</v>
      </c>
      <c r="S724" t="s">
        <v>4091</v>
      </c>
      <c r="V724" t="s">
        <v>2629</v>
      </c>
      <c r="W724" t="s">
        <v>2481</v>
      </c>
      <c r="X724" t="s">
        <v>2069</v>
      </c>
    </row>
    <row r="725" spans="1:24" ht="12.75">
      <c r="A725" s="1" t="str">
        <f>HYPERLINK("http://www.ofsted.gov.uk/inspection-reports/find-inspection-report/provider/ELS/130493","Ofsted FES Webpage")</f>
        <v>Ofsted FES Webpage</v>
      </c>
      <c r="B725" t="s">
        <v>936</v>
      </c>
      <c r="C725">
        <v>130493</v>
      </c>
      <c r="D725">
        <v>108474</v>
      </c>
      <c r="E725" t="s">
        <v>632</v>
      </c>
      <c r="F725" t="s">
        <v>68</v>
      </c>
      <c r="G725" t="s">
        <v>849</v>
      </c>
      <c r="H725" s="2">
        <v>40315</v>
      </c>
      <c r="I725" s="2">
        <v>40319</v>
      </c>
      <c r="J725" t="s">
        <v>18</v>
      </c>
      <c r="K725" s="2">
        <v>40357.13552766204</v>
      </c>
      <c r="L725" t="s">
        <v>851</v>
      </c>
      <c r="M725">
        <v>345812</v>
      </c>
      <c r="N725">
        <v>2</v>
      </c>
      <c r="O725">
        <v>2</v>
      </c>
      <c r="P725">
        <v>3</v>
      </c>
      <c r="Q725">
        <v>3</v>
      </c>
      <c r="R725">
        <v>8911</v>
      </c>
      <c r="S725" t="s">
        <v>4092</v>
      </c>
      <c r="T725" t="s">
        <v>4093</v>
      </c>
      <c r="U725" t="s">
        <v>3259</v>
      </c>
      <c r="V725" t="s">
        <v>2585</v>
      </c>
      <c r="W725" t="s">
        <v>2481</v>
      </c>
      <c r="X725" t="s">
        <v>2070</v>
      </c>
    </row>
    <row r="726" spans="1:24" ht="12.75">
      <c r="A726" s="1" t="str">
        <f>HYPERLINK("http://www.ofsted.gov.uk/inspection-reports/find-inspection-report/provider/ELS/130494","Ofsted FES Webpage")</f>
        <v>Ofsted FES Webpage</v>
      </c>
      <c r="B726" t="s">
        <v>937</v>
      </c>
      <c r="C726">
        <v>130494</v>
      </c>
      <c r="D726">
        <v>108434</v>
      </c>
      <c r="E726" t="s">
        <v>632</v>
      </c>
      <c r="F726" t="s">
        <v>68</v>
      </c>
      <c r="G726" t="s">
        <v>862</v>
      </c>
      <c r="H726" s="2">
        <v>41247</v>
      </c>
      <c r="I726" s="2">
        <v>41250</v>
      </c>
      <c r="J726" t="s">
        <v>32</v>
      </c>
      <c r="K726" s="2">
        <v>41289.135479895835</v>
      </c>
      <c r="L726" t="s">
        <v>875</v>
      </c>
      <c r="M726">
        <v>399014</v>
      </c>
      <c r="N726">
        <v>2</v>
      </c>
      <c r="O726">
        <v>2</v>
      </c>
      <c r="P726">
        <v>3</v>
      </c>
      <c r="Q726">
        <v>3</v>
      </c>
      <c r="R726">
        <v>1483</v>
      </c>
      <c r="S726" t="s">
        <v>4094</v>
      </c>
      <c r="T726" t="s">
        <v>4095</v>
      </c>
      <c r="V726" t="s">
        <v>632</v>
      </c>
      <c r="W726" t="s">
        <v>2481</v>
      </c>
      <c r="X726" t="s">
        <v>2071</v>
      </c>
    </row>
    <row r="727" spans="1:24" ht="12.75">
      <c r="A727" s="1" t="str">
        <f>HYPERLINK("http://www.ofsted.gov.uk/inspection-reports/find-inspection-report/provider/ELS/130495","Ofsted FES Webpage")</f>
        <v>Ofsted FES Webpage</v>
      </c>
      <c r="B727" t="s">
        <v>938</v>
      </c>
      <c r="C727">
        <v>130495</v>
      </c>
      <c r="D727">
        <v>106815</v>
      </c>
      <c r="E727" t="s">
        <v>128</v>
      </c>
      <c r="F727" t="s">
        <v>68</v>
      </c>
      <c r="G727" t="s">
        <v>849</v>
      </c>
      <c r="H727" s="2">
        <v>40308</v>
      </c>
      <c r="I727" s="2">
        <v>40312</v>
      </c>
      <c r="J727" t="s">
        <v>18</v>
      </c>
      <c r="K727" s="2">
        <v>40348.1355378125</v>
      </c>
      <c r="L727" t="s">
        <v>858</v>
      </c>
      <c r="M727">
        <v>345809</v>
      </c>
      <c r="N727">
        <v>2</v>
      </c>
      <c r="O727">
        <v>2</v>
      </c>
      <c r="P727">
        <v>2</v>
      </c>
      <c r="Q727">
        <v>2</v>
      </c>
      <c r="R727">
        <v>8521</v>
      </c>
      <c r="S727" t="s">
        <v>4096</v>
      </c>
      <c r="V727" t="s">
        <v>128</v>
      </c>
      <c r="W727" t="s">
        <v>170</v>
      </c>
      <c r="X727" t="s">
        <v>2072</v>
      </c>
    </row>
    <row r="728" spans="1:24" ht="12.75">
      <c r="A728" s="1" t="str">
        <f>HYPERLINK("http://www.ofsted.gov.uk/inspection-reports/find-inspection-report/provider/ELS/130498","Ofsted FES Webpage")</f>
        <v>Ofsted FES Webpage</v>
      </c>
      <c r="B728" t="s">
        <v>939</v>
      </c>
      <c r="C728">
        <v>130498</v>
      </c>
      <c r="D728">
        <v>105763</v>
      </c>
      <c r="E728" t="s">
        <v>211</v>
      </c>
      <c r="F728" t="s">
        <v>68</v>
      </c>
      <c r="G728" t="s">
        <v>849</v>
      </c>
      <c r="H728" s="2">
        <v>39118</v>
      </c>
      <c r="I728" s="2">
        <v>39122</v>
      </c>
      <c r="J728" t="s">
        <v>100</v>
      </c>
      <c r="K728" s="2">
        <v>39171.135523958335</v>
      </c>
      <c r="L728" t="s">
        <v>858</v>
      </c>
      <c r="M728">
        <v>298681</v>
      </c>
      <c r="N728">
        <v>1</v>
      </c>
      <c r="O728">
        <v>1</v>
      </c>
      <c r="P728" t="s">
        <v>20</v>
      </c>
      <c r="Q728" t="s">
        <v>20</v>
      </c>
      <c r="R728">
        <v>9703</v>
      </c>
      <c r="S728" t="s">
        <v>2602</v>
      </c>
      <c r="V728" t="s">
        <v>211</v>
      </c>
      <c r="W728" t="s">
        <v>2517</v>
      </c>
      <c r="X728" t="s">
        <v>2073</v>
      </c>
    </row>
    <row r="729" spans="1:24" ht="12.75">
      <c r="A729" s="1" t="str">
        <f>HYPERLINK("http://www.ofsted.gov.uk/inspection-reports/find-inspection-report/provider/ELS/130499","Ofsted FES Webpage")</f>
        <v>Ofsted FES Webpage</v>
      </c>
      <c r="B729" t="s">
        <v>940</v>
      </c>
      <c r="C729">
        <v>130499</v>
      </c>
      <c r="D729">
        <v>108367</v>
      </c>
      <c r="E729" t="s">
        <v>211</v>
      </c>
      <c r="F729" t="s">
        <v>68</v>
      </c>
      <c r="G729" t="s">
        <v>862</v>
      </c>
      <c r="H729" s="2">
        <v>39139</v>
      </c>
      <c r="I729" s="2">
        <v>39143</v>
      </c>
      <c r="J729" t="s">
        <v>100</v>
      </c>
      <c r="K729" s="2">
        <v>39192.13552063658</v>
      </c>
      <c r="L729" t="s">
        <v>863</v>
      </c>
      <c r="M729">
        <v>298683</v>
      </c>
      <c r="N729">
        <v>1</v>
      </c>
      <c r="O729">
        <v>1</v>
      </c>
      <c r="P729" t="s">
        <v>20</v>
      </c>
      <c r="Q729" t="s">
        <v>20</v>
      </c>
      <c r="R729">
        <v>1998</v>
      </c>
      <c r="S729" t="s">
        <v>4097</v>
      </c>
      <c r="V729" t="s">
        <v>211</v>
      </c>
      <c r="W729" t="s">
        <v>2517</v>
      </c>
      <c r="X729" t="s">
        <v>2074</v>
      </c>
    </row>
    <row r="730" spans="1:24" ht="12.75">
      <c r="A730" s="1" t="str">
        <f>HYPERLINK("http://www.ofsted.gov.uk/inspection-reports/find-inspection-report/provider/ELS/130503","Ofsted FES Webpage")</f>
        <v>Ofsted FES Webpage</v>
      </c>
      <c r="B730" t="s">
        <v>941</v>
      </c>
      <c r="C730">
        <v>130503</v>
      </c>
      <c r="D730">
        <v>108364</v>
      </c>
      <c r="E730" t="s">
        <v>446</v>
      </c>
      <c r="F730" t="s">
        <v>68</v>
      </c>
      <c r="G730" t="s">
        <v>862</v>
      </c>
      <c r="H730" s="2">
        <v>40127</v>
      </c>
      <c r="I730" s="2">
        <v>40130</v>
      </c>
      <c r="J730" t="s">
        <v>18</v>
      </c>
      <c r="K730" s="2">
        <v>40183.135501585646</v>
      </c>
      <c r="L730" t="s">
        <v>863</v>
      </c>
      <c r="M730">
        <v>342775</v>
      </c>
      <c r="N730">
        <v>1</v>
      </c>
      <c r="O730">
        <v>1</v>
      </c>
      <c r="P730">
        <v>1</v>
      </c>
      <c r="Q730">
        <v>1</v>
      </c>
      <c r="R730">
        <v>2436</v>
      </c>
      <c r="S730" t="s">
        <v>4101</v>
      </c>
      <c r="T730" t="s">
        <v>4102</v>
      </c>
      <c r="V730" t="s">
        <v>446</v>
      </c>
      <c r="X730" t="s">
        <v>2076</v>
      </c>
    </row>
    <row r="731" spans="1:24" ht="12.75">
      <c r="A731" s="1" t="str">
        <f>HYPERLINK("http://www.ofsted.gov.uk/inspection-reports/find-inspection-report/provider/ELS/130504","Ofsted FES Webpage")</f>
        <v>Ofsted FES Webpage</v>
      </c>
      <c r="B731" t="s">
        <v>942</v>
      </c>
      <c r="C731">
        <v>130504</v>
      </c>
      <c r="D731">
        <v>108357</v>
      </c>
      <c r="E731" t="s">
        <v>446</v>
      </c>
      <c r="F731" t="s">
        <v>68</v>
      </c>
      <c r="G731" t="s">
        <v>862</v>
      </c>
      <c r="H731" s="2">
        <v>39475</v>
      </c>
      <c r="I731" s="2">
        <v>39479</v>
      </c>
      <c r="J731" t="s">
        <v>154</v>
      </c>
      <c r="K731" s="2">
        <v>39527.13555454861</v>
      </c>
      <c r="L731" t="s">
        <v>863</v>
      </c>
      <c r="M731">
        <v>318912</v>
      </c>
      <c r="N731">
        <v>1</v>
      </c>
      <c r="O731">
        <v>1</v>
      </c>
      <c r="P731" t="s">
        <v>20</v>
      </c>
      <c r="Q731" t="s">
        <v>20</v>
      </c>
      <c r="R731">
        <v>2000</v>
      </c>
      <c r="S731" t="s">
        <v>4103</v>
      </c>
      <c r="V731" t="s">
        <v>446</v>
      </c>
      <c r="X731" t="s">
        <v>2077</v>
      </c>
    </row>
    <row r="732" spans="1:24" ht="12.75">
      <c r="A732" s="1" t="str">
        <f>HYPERLINK("http://www.ofsted.gov.uk/inspection-reports/find-inspection-report/provider/ELS/130505","Ofsted FES Webpage")</f>
        <v>Ofsted FES Webpage</v>
      </c>
      <c r="B732" t="s">
        <v>943</v>
      </c>
      <c r="C732">
        <v>130505</v>
      </c>
      <c r="D732">
        <v>110734</v>
      </c>
      <c r="E732" t="s">
        <v>450</v>
      </c>
      <c r="F732" t="s">
        <v>68</v>
      </c>
      <c r="G732" t="s">
        <v>849</v>
      </c>
      <c r="H732" s="2">
        <v>39419</v>
      </c>
      <c r="I732" s="2">
        <v>39423</v>
      </c>
      <c r="J732" t="s">
        <v>154</v>
      </c>
      <c r="K732" s="2">
        <v>39479.13554487268</v>
      </c>
      <c r="L732" t="s">
        <v>858</v>
      </c>
      <c r="M732">
        <v>317327</v>
      </c>
      <c r="N732">
        <v>1</v>
      </c>
      <c r="O732">
        <v>1</v>
      </c>
      <c r="P732" t="s">
        <v>20</v>
      </c>
      <c r="Q732" t="s">
        <v>20</v>
      </c>
      <c r="R732">
        <v>9615</v>
      </c>
      <c r="S732" t="s">
        <v>3729</v>
      </c>
      <c r="V732" t="s">
        <v>450</v>
      </c>
      <c r="W732" t="s">
        <v>170</v>
      </c>
      <c r="X732" t="s">
        <v>1865</v>
      </c>
    </row>
    <row r="733" spans="1:24" ht="12.75">
      <c r="A733" s="1" t="str">
        <f>HYPERLINK("http://www.ofsted.gov.uk/inspection-reports/find-inspection-report/provider/ELS/130506","Ofsted FES Webpage")</f>
        <v>Ofsted FES Webpage</v>
      </c>
      <c r="B733" t="s">
        <v>944</v>
      </c>
      <c r="C733">
        <v>130506</v>
      </c>
      <c r="D733">
        <v>108401</v>
      </c>
      <c r="E733" t="s">
        <v>450</v>
      </c>
      <c r="F733" t="s">
        <v>68</v>
      </c>
      <c r="G733" t="s">
        <v>862</v>
      </c>
      <c r="H733" s="2">
        <v>41331</v>
      </c>
      <c r="I733" s="2">
        <v>41334</v>
      </c>
      <c r="J733" t="s">
        <v>32</v>
      </c>
      <c r="K733" s="2">
        <v>41361.135936956016</v>
      </c>
      <c r="L733" t="s">
        <v>875</v>
      </c>
      <c r="M733">
        <v>408454</v>
      </c>
      <c r="N733">
        <v>2</v>
      </c>
      <c r="O733">
        <v>2</v>
      </c>
      <c r="P733">
        <v>1</v>
      </c>
      <c r="Q733">
        <v>1</v>
      </c>
      <c r="R733">
        <v>2274</v>
      </c>
      <c r="S733" t="s">
        <v>4104</v>
      </c>
      <c r="V733" t="s">
        <v>450</v>
      </c>
      <c r="W733" t="s">
        <v>170</v>
      </c>
      <c r="X733" t="s">
        <v>2078</v>
      </c>
    </row>
    <row r="734" spans="1:24" ht="12.75">
      <c r="A734" s="1" t="str">
        <f>HYPERLINK("http://www.ofsted.gov.uk/inspection-reports/find-inspection-report/provider/ELS/130507","Ofsted FES Webpage")</f>
        <v>Ofsted FES Webpage</v>
      </c>
      <c r="B734" t="s">
        <v>945</v>
      </c>
      <c r="C734">
        <v>130507</v>
      </c>
      <c r="D734">
        <v>106834</v>
      </c>
      <c r="E734" t="s">
        <v>552</v>
      </c>
      <c r="F734" t="s">
        <v>68</v>
      </c>
      <c r="G734" t="s">
        <v>849</v>
      </c>
      <c r="H734" s="2">
        <v>40686</v>
      </c>
      <c r="I734" s="2">
        <v>40690</v>
      </c>
      <c r="J734" t="s">
        <v>56</v>
      </c>
      <c r="K734" s="2">
        <v>40725.13548121528</v>
      </c>
      <c r="L734" t="s">
        <v>851</v>
      </c>
      <c r="M734">
        <v>365902</v>
      </c>
      <c r="N734">
        <v>2</v>
      </c>
      <c r="O734">
        <v>2</v>
      </c>
      <c r="P734">
        <v>3</v>
      </c>
      <c r="Q734">
        <v>3</v>
      </c>
      <c r="R734">
        <v>11814</v>
      </c>
      <c r="S734" t="s">
        <v>4105</v>
      </c>
      <c r="T734" t="s">
        <v>3729</v>
      </c>
      <c r="U734" t="s">
        <v>3256</v>
      </c>
      <c r="V734" t="s">
        <v>446</v>
      </c>
      <c r="X734" t="s">
        <v>2079</v>
      </c>
    </row>
    <row r="735" spans="1:24" ht="12.75">
      <c r="A735" s="1" t="str">
        <f>HYPERLINK("http://www.ofsted.gov.uk/inspection-reports/find-inspection-report/provider/ELS/130509","Ofsted FES Webpage")</f>
        <v>Ofsted FES Webpage</v>
      </c>
      <c r="B735" t="s">
        <v>946</v>
      </c>
      <c r="C735">
        <v>130509</v>
      </c>
      <c r="D735">
        <v>108406</v>
      </c>
      <c r="E735" t="s">
        <v>725</v>
      </c>
      <c r="F735" t="s">
        <v>68</v>
      </c>
      <c r="G735" t="s">
        <v>849</v>
      </c>
      <c r="H735" s="2">
        <v>40308</v>
      </c>
      <c r="I735" s="2">
        <v>40312</v>
      </c>
      <c r="J735" t="s">
        <v>18</v>
      </c>
      <c r="K735" s="2">
        <v>40350.13551921296</v>
      </c>
      <c r="L735" t="s">
        <v>858</v>
      </c>
      <c r="M735">
        <v>346185</v>
      </c>
      <c r="N735">
        <v>2</v>
      </c>
      <c r="O735">
        <v>2</v>
      </c>
      <c r="P735" t="s">
        <v>20</v>
      </c>
      <c r="Q735" t="s">
        <v>20</v>
      </c>
      <c r="R735">
        <v>14150</v>
      </c>
      <c r="S735" t="s">
        <v>4106</v>
      </c>
      <c r="U735" t="s">
        <v>4107</v>
      </c>
      <c r="V735" t="s">
        <v>725</v>
      </c>
      <c r="W735" t="s">
        <v>2517</v>
      </c>
      <c r="X735" t="s">
        <v>2080</v>
      </c>
    </row>
    <row r="736" spans="1:24" ht="12.75">
      <c r="A736" s="1" t="str">
        <f>HYPERLINK("http://www.ofsted.gov.uk/inspection-reports/find-inspection-report/provider/ELS/130512","Ofsted FES Webpage")</f>
        <v>Ofsted FES Webpage</v>
      </c>
      <c r="B736" t="s">
        <v>947</v>
      </c>
      <c r="C736">
        <v>130512</v>
      </c>
      <c r="D736">
        <v>106863</v>
      </c>
      <c r="E736" t="s">
        <v>126</v>
      </c>
      <c r="F736" t="s">
        <v>68</v>
      </c>
      <c r="G736" t="s">
        <v>849</v>
      </c>
      <c r="H736" s="2">
        <v>41547</v>
      </c>
      <c r="I736" s="2">
        <v>41551</v>
      </c>
      <c r="J736" t="s">
        <v>27</v>
      </c>
      <c r="K736" s="2">
        <v>41586.13569186343</v>
      </c>
      <c r="L736" t="s">
        <v>850</v>
      </c>
      <c r="M736">
        <v>427743</v>
      </c>
      <c r="N736">
        <v>4</v>
      </c>
      <c r="O736">
        <v>4</v>
      </c>
      <c r="P736">
        <v>1</v>
      </c>
      <c r="Q736">
        <v>1</v>
      </c>
      <c r="R736">
        <v>8309</v>
      </c>
      <c r="S736" t="s">
        <v>3540</v>
      </c>
      <c r="V736" t="s">
        <v>126</v>
      </c>
      <c r="W736" t="s">
        <v>2773</v>
      </c>
      <c r="X736" t="s">
        <v>1768</v>
      </c>
    </row>
    <row r="737" spans="1:24" ht="12.75">
      <c r="A737" s="1" t="str">
        <f>HYPERLINK("http://www.ofsted.gov.uk/inspection-reports/find-inspection-report/provider/ELS/130514","Ofsted FES Webpage")</f>
        <v>Ofsted FES Webpage</v>
      </c>
      <c r="B737" t="s">
        <v>948</v>
      </c>
      <c r="C737">
        <v>130514</v>
      </c>
      <c r="D737">
        <v>108372</v>
      </c>
      <c r="E737" t="s">
        <v>126</v>
      </c>
      <c r="F737" t="s">
        <v>68</v>
      </c>
      <c r="G737" t="s">
        <v>862</v>
      </c>
      <c r="H737" s="2">
        <v>41541</v>
      </c>
      <c r="I737" s="2">
        <v>41544</v>
      </c>
      <c r="J737" t="s">
        <v>27</v>
      </c>
      <c r="K737" s="2">
        <v>41579.135445520835</v>
      </c>
      <c r="L737" t="s">
        <v>875</v>
      </c>
      <c r="M737">
        <v>408453</v>
      </c>
      <c r="N737">
        <v>2</v>
      </c>
      <c r="O737">
        <v>2</v>
      </c>
      <c r="P737">
        <v>1</v>
      </c>
      <c r="Q737">
        <v>1</v>
      </c>
      <c r="R737">
        <v>2391</v>
      </c>
      <c r="S737" t="s">
        <v>4108</v>
      </c>
      <c r="V737" t="s">
        <v>126</v>
      </c>
      <c r="W737" t="s">
        <v>2773</v>
      </c>
      <c r="X737" t="s">
        <v>2081</v>
      </c>
    </row>
    <row r="738" spans="1:24" ht="12.75">
      <c r="A738" s="1" t="str">
        <f>HYPERLINK("http://www.ofsted.gov.uk/inspection-reports/find-inspection-report/provider/ELS/130515","Ofsted FES Webpage")</f>
        <v>Ofsted FES Webpage</v>
      </c>
      <c r="B738" t="s">
        <v>949</v>
      </c>
      <c r="C738">
        <v>130515</v>
      </c>
      <c r="D738">
        <v>106867</v>
      </c>
      <c r="E738" t="s">
        <v>126</v>
      </c>
      <c r="F738" t="s">
        <v>68</v>
      </c>
      <c r="G738" t="s">
        <v>862</v>
      </c>
      <c r="H738" s="2">
        <v>41709</v>
      </c>
      <c r="I738" s="2">
        <v>41712</v>
      </c>
      <c r="J738" t="s">
        <v>27</v>
      </c>
      <c r="K738" s="2">
        <v>41751.13546049769</v>
      </c>
      <c r="L738" t="s">
        <v>897</v>
      </c>
      <c r="M738">
        <v>429253</v>
      </c>
      <c r="N738">
        <v>2</v>
      </c>
      <c r="O738">
        <v>2</v>
      </c>
      <c r="P738">
        <v>3</v>
      </c>
      <c r="Q738">
        <v>4</v>
      </c>
      <c r="R738">
        <v>2946</v>
      </c>
      <c r="S738" t="s">
        <v>4109</v>
      </c>
      <c r="T738" t="s">
        <v>3470</v>
      </c>
      <c r="V738" t="s">
        <v>126</v>
      </c>
      <c r="W738" t="s">
        <v>2773</v>
      </c>
      <c r="X738" t="s">
        <v>2082</v>
      </c>
    </row>
    <row r="739" spans="1:24" ht="12.75">
      <c r="A739" s="1" t="str">
        <f>HYPERLINK("http://www.ofsted.gov.uk/inspection-reports/find-inspection-report/provider/ELS/130516","Ofsted FES Webpage")</f>
        <v>Ofsted FES Webpage</v>
      </c>
      <c r="B739" t="s">
        <v>950</v>
      </c>
      <c r="C739">
        <v>130516</v>
      </c>
      <c r="D739">
        <v>106868</v>
      </c>
      <c r="E739" t="s">
        <v>619</v>
      </c>
      <c r="F739" t="s">
        <v>68</v>
      </c>
      <c r="G739" t="s">
        <v>849</v>
      </c>
      <c r="H739" s="2">
        <v>39974</v>
      </c>
      <c r="I739" s="2">
        <v>39975</v>
      </c>
      <c r="J739" t="s">
        <v>44</v>
      </c>
      <c r="K739" s="2">
        <v>40018.13548622685</v>
      </c>
      <c r="L739" t="s">
        <v>876</v>
      </c>
      <c r="M739">
        <v>332997</v>
      </c>
      <c r="N739">
        <v>2</v>
      </c>
      <c r="O739">
        <v>2</v>
      </c>
      <c r="P739" t="s">
        <v>20</v>
      </c>
      <c r="Q739" t="s">
        <v>20</v>
      </c>
      <c r="R739">
        <v>6646</v>
      </c>
      <c r="S739" t="s">
        <v>4110</v>
      </c>
      <c r="V739" t="s">
        <v>2536</v>
      </c>
      <c r="W739" t="s">
        <v>2517</v>
      </c>
      <c r="X739" t="s">
        <v>2083</v>
      </c>
    </row>
    <row r="740" spans="1:24" ht="12.75">
      <c r="A740" s="1" t="str">
        <f>HYPERLINK("http://www.ofsted.gov.uk/inspection-reports/find-inspection-report/provider/ELS/130518","Ofsted FES Webpage")</f>
        <v>Ofsted FES Webpage</v>
      </c>
      <c r="B740" t="s">
        <v>951</v>
      </c>
      <c r="C740">
        <v>130518</v>
      </c>
      <c r="D740">
        <v>108439</v>
      </c>
      <c r="E740" t="s">
        <v>619</v>
      </c>
      <c r="F740" t="s">
        <v>68</v>
      </c>
      <c r="G740" t="s">
        <v>862</v>
      </c>
      <c r="H740" s="2">
        <v>40813</v>
      </c>
      <c r="I740" s="2">
        <v>40816</v>
      </c>
      <c r="J740" t="s">
        <v>23</v>
      </c>
      <c r="K740" s="2">
        <v>40851.1355712963</v>
      </c>
      <c r="L740" t="s">
        <v>908</v>
      </c>
      <c r="M740">
        <v>376179</v>
      </c>
      <c r="N740">
        <v>2</v>
      </c>
      <c r="O740">
        <v>2</v>
      </c>
      <c r="P740">
        <v>3</v>
      </c>
      <c r="Q740">
        <v>3</v>
      </c>
      <c r="R740">
        <v>2363</v>
      </c>
      <c r="S740" t="s">
        <v>4111</v>
      </c>
      <c r="V740" t="s">
        <v>2536</v>
      </c>
      <c r="W740" t="s">
        <v>2517</v>
      </c>
      <c r="X740" t="s">
        <v>2084</v>
      </c>
    </row>
    <row r="741" spans="1:24" ht="12.75">
      <c r="A741" s="1" t="str">
        <f>HYPERLINK("http://www.ofsted.gov.uk/inspection-reports/find-inspection-report/provider/ELS/130519","Ofsted FES Webpage")</f>
        <v>Ofsted FES Webpage</v>
      </c>
      <c r="B741" t="s">
        <v>952</v>
      </c>
      <c r="C741">
        <v>130519</v>
      </c>
      <c r="D741">
        <v>108484</v>
      </c>
      <c r="E741" t="s">
        <v>568</v>
      </c>
      <c r="F741" t="s">
        <v>68</v>
      </c>
      <c r="G741" t="s">
        <v>849</v>
      </c>
      <c r="H741" s="2">
        <v>39930</v>
      </c>
      <c r="I741" s="2">
        <v>39934</v>
      </c>
      <c r="J741" t="s">
        <v>44</v>
      </c>
      <c r="K741" s="2">
        <v>39983.13548730324</v>
      </c>
      <c r="L741" t="s">
        <v>858</v>
      </c>
      <c r="M741">
        <v>332998</v>
      </c>
      <c r="N741">
        <v>1</v>
      </c>
      <c r="O741">
        <v>1</v>
      </c>
      <c r="P741">
        <v>1</v>
      </c>
      <c r="Q741">
        <v>1</v>
      </c>
      <c r="R741">
        <v>11159</v>
      </c>
      <c r="S741" t="s">
        <v>3733</v>
      </c>
      <c r="T741" t="s">
        <v>3734</v>
      </c>
      <c r="V741" t="s">
        <v>446</v>
      </c>
      <c r="X741" t="s">
        <v>2085</v>
      </c>
    </row>
    <row r="742" spans="1:24" ht="12.75">
      <c r="A742" s="1" t="str">
        <f>HYPERLINK("http://www.ofsted.gov.uk/inspection-reports/find-inspection-report/provider/ELS/130521","Ofsted FES Webpage")</f>
        <v>Ofsted FES Webpage</v>
      </c>
      <c r="B742" t="s">
        <v>953</v>
      </c>
      <c r="C742">
        <v>130521</v>
      </c>
      <c r="D742">
        <v>107785</v>
      </c>
      <c r="E742" t="s">
        <v>529</v>
      </c>
      <c r="F742" t="s">
        <v>68</v>
      </c>
      <c r="G742" t="s">
        <v>849</v>
      </c>
      <c r="H742" s="2">
        <v>40238</v>
      </c>
      <c r="I742" s="2">
        <v>40242</v>
      </c>
      <c r="J742" t="s">
        <v>18</v>
      </c>
      <c r="K742" s="2">
        <v>40289.13553194444</v>
      </c>
      <c r="L742" t="s">
        <v>858</v>
      </c>
      <c r="M742">
        <v>343829</v>
      </c>
      <c r="N742">
        <v>2</v>
      </c>
      <c r="O742">
        <v>2</v>
      </c>
      <c r="P742">
        <v>2</v>
      </c>
      <c r="Q742">
        <v>2</v>
      </c>
      <c r="R742">
        <v>12168</v>
      </c>
      <c r="S742" t="s">
        <v>3684</v>
      </c>
      <c r="T742" t="s">
        <v>4112</v>
      </c>
      <c r="V742" t="s">
        <v>529</v>
      </c>
      <c r="W742" t="s">
        <v>170</v>
      </c>
      <c r="X742" t="s">
        <v>2086</v>
      </c>
    </row>
    <row r="743" spans="1:24" ht="12.75">
      <c r="A743" s="1" t="str">
        <f>HYPERLINK("http://www.ofsted.gov.uk/inspection-reports/find-inspection-report/provider/ELS/130522","Ofsted FES Webpage")</f>
        <v>Ofsted FES Webpage</v>
      </c>
      <c r="B743" t="s">
        <v>954</v>
      </c>
      <c r="C743">
        <v>130522</v>
      </c>
      <c r="D743">
        <v>108378</v>
      </c>
      <c r="E743" t="s">
        <v>529</v>
      </c>
      <c r="F743" t="s">
        <v>68</v>
      </c>
      <c r="G743" t="s">
        <v>862</v>
      </c>
      <c r="H743" s="2">
        <v>39378</v>
      </c>
      <c r="I743" s="2">
        <v>39379</v>
      </c>
      <c r="J743" t="s">
        <v>154</v>
      </c>
      <c r="K743" s="2">
        <v>39423.1355315625</v>
      </c>
      <c r="L743" t="s">
        <v>863</v>
      </c>
      <c r="M743">
        <v>316657</v>
      </c>
      <c r="N743">
        <v>1</v>
      </c>
      <c r="O743">
        <v>1</v>
      </c>
      <c r="P743" t="s">
        <v>20</v>
      </c>
      <c r="Q743" t="s">
        <v>20</v>
      </c>
      <c r="R743">
        <v>1931</v>
      </c>
      <c r="S743" t="s">
        <v>4113</v>
      </c>
      <c r="T743" t="s">
        <v>4114</v>
      </c>
      <c r="V743" t="s">
        <v>529</v>
      </c>
      <c r="W743" t="s">
        <v>170</v>
      </c>
      <c r="X743" t="s">
        <v>2087</v>
      </c>
    </row>
    <row r="744" spans="1:24" ht="12.75">
      <c r="A744" s="1" t="str">
        <f>HYPERLINK("http://www.ofsted.gov.uk/inspection-reports/find-inspection-report/provider/ELS/130523","Ofsted FES Webpage")</f>
        <v>Ofsted FES Webpage</v>
      </c>
      <c r="B744" t="s">
        <v>955</v>
      </c>
      <c r="C744">
        <v>130523</v>
      </c>
      <c r="D744">
        <v>108328</v>
      </c>
      <c r="E744" t="s">
        <v>529</v>
      </c>
      <c r="F744" t="s">
        <v>68</v>
      </c>
      <c r="G744" t="s">
        <v>862</v>
      </c>
      <c r="H744" s="2">
        <v>41219</v>
      </c>
      <c r="I744" s="2">
        <v>41222</v>
      </c>
      <c r="J744" t="s">
        <v>32</v>
      </c>
      <c r="K744" s="2">
        <v>41257.13568896991</v>
      </c>
      <c r="L744" t="s">
        <v>875</v>
      </c>
      <c r="M744">
        <v>408455</v>
      </c>
      <c r="N744">
        <v>2</v>
      </c>
      <c r="O744">
        <v>2</v>
      </c>
      <c r="P744">
        <v>3</v>
      </c>
      <c r="Q744">
        <v>3</v>
      </c>
      <c r="R744">
        <v>1221</v>
      </c>
      <c r="S744" t="s">
        <v>4115</v>
      </c>
      <c r="T744" t="s">
        <v>3538</v>
      </c>
      <c r="V744" t="s">
        <v>529</v>
      </c>
      <c r="W744" t="s">
        <v>170</v>
      </c>
      <c r="X744" t="s">
        <v>2088</v>
      </c>
    </row>
    <row r="745" spans="1:24" ht="12.75">
      <c r="A745" s="1" t="str">
        <f>HYPERLINK("http://www.ofsted.gov.uk/inspection-reports/find-inspection-report/provider/ELS/130524","Ofsted FES Webpage")</f>
        <v>Ofsted FES Webpage</v>
      </c>
      <c r="B745" t="s">
        <v>956</v>
      </c>
      <c r="C745">
        <v>130524</v>
      </c>
      <c r="D745">
        <v>107013</v>
      </c>
      <c r="E745" t="s">
        <v>174</v>
      </c>
      <c r="F745" t="s">
        <v>26</v>
      </c>
      <c r="G745" t="s">
        <v>849</v>
      </c>
      <c r="H745" s="2">
        <v>40483</v>
      </c>
      <c r="I745" s="2">
        <v>40487</v>
      </c>
      <c r="J745" t="s">
        <v>56</v>
      </c>
      <c r="K745" s="2">
        <v>40522.13544953704</v>
      </c>
      <c r="L745" t="s">
        <v>851</v>
      </c>
      <c r="M745">
        <v>354445</v>
      </c>
      <c r="N745">
        <v>1</v>
      </c>
      <c r="O745">
        <v>1</v>
      </c>
      <c r="P745">
        <v>3</v>
      </c>
      <c r="Q745">
        <v>2</v>
      </c>
      <c r="R745">
        <v>8509</v>
      </c>
      <c r="S745" t="s">
        <v>4116</v>
      </c>
      <c r="T745" t="s">
        <v>2727</v>
      </c>
      <c r="V745" t="s">
        <v>174</v>
      </c>
      <c r="W745" t="s">
        <v>2586</v>
      </c>
      <c r="X745" t="s">
        <v>2089</v>
      </c>
    </row>
    <row r="746" spans="1:24" ht="12.75">
      <c r="A746" s="1" t="str">
        <f>HYPERLINK("http://www.ofsted.gov.uk/inspection-reports/find-inspection-report/provider/ELS/130525","Ofsted FES Webpage")</f>
        <v>Ofsted FES Webpage</v>
      </c>
      <c r="B746" t="s">
        <v>957</v>
      </c>
      <c r="C746">
        <v>130525</v>
      </c>
      <c r="D746">
        <v>108314</v>
      </c>
      <c r="E746" t="s">
        <v>174</v>
      </c>
      <c r="F746" t="s">
        <v>26</v>
      </c>
      <c r="G746" t="s">
        <v>40</v>
      </c>
      <c r="H746" s="2">
        <v>41807</v>
      </c>
      <c r="I746" s="2">
        <v>41810</v>
      </c>
      <c r="J746" t="s">
        <v>27</v>
      </c>
      <c r="K746" s="2">
        <v>41843.13544421296</v>
      </c>
      <c r="L746" t="s">
        <v>45</v>
      </c>
      <c r="M746">
        <v>411064</v>
      </c>
      <c r="N746">
        <v>1</v>
      </c>
      <c r="O746">
        <v>1</v>
      </c>
      <c r="P746">
        <v>1</v>
      </c>
      <c r="Q746">
        <v>1</v>
      </c>
      <c r="R746">
        <v>2896</v>
      </c>
      <c r="S746" t="s">
        <v>3337</v>
      </c>
      <c r="T746" t="s">
        <v>3338</v>
      </c>
      <c r="V746" t="s">
        <v>174</v>
      </c>
      <c r="W746" t="s">
        <v>2586</v>
      </c>
      <c r="X746" t="s">
        <v>1668</v>
      </c>
    </row>
    <row r="747" spans="1:24" ht="12.75">
      <c r="A747" s="1" t="str">
        <f>HYPERLINK("http://www.ofsted.gov.uk/inspection-reports/find-inspection-report/provider/ELS/130526","Ofsted FES Webpage")</f>
        <v>Ofsted FES Webpage</v>
      </c>
      <c r="B747" t="s">
        <v>958</v>
      </c>
      <c r="C747">
        <v>130526</v>
      </c>
      <c r="D747">
        <v>107019</v>
      </c>
      <c r="E747" t="s">
        <v>274</v>
      </c>
      <c r="F747" t="s">
        <v>26</v>
      </c>
      <c r="G747" t="s">
        <v>849</v>
      </c>
      <c r="H747" s="2">
        <v>41393</v>
      </c>
      <c r="I747" s="2">
        <v>41397</v>
      </c>
      <c r="J747" t="s">
        <v>32</v>
      </c>
      <c r="K747" s="2">
        <v>41432.13555216435</v>
      </c>
      <c r="L747" t="s">
        <v>850</v>
      </c>
      <c r="M747">
        <v>410610</v>
      </c>
      <c r="N747">
        <v>2</v>
      </c>
      <c r="O747">
        <v>2</v>
      </c>
      <c r="P747">
        <v>3</v>
      </c>
      <c r="Q747">
        <v>3</v>
      </c>
      <c r="R747">
        <v>8949</v>
      </c>
      <c r="S747" t="s">
        <v>4117</v>
      </c>
      <c r="V747" t="s">
        <v>274</v>
      </c>
      <c r="W747" t="s">
        <v>2586</v>
      </c>
      <c r="X747" t="s">
        <v>2090</v>
      </c>
    </row>
    <row r="748" spans="1:24" ht="12.75">
      <c r="A748" s="1" t="str">
        <f>HYPERLINK("http://www.ofsted.gov.uk/inspection-reports/find-inspection-report/provider/ELS/130527","Ofsted FES Webpage")</f>
        <v>Ofsted FES Webpage</v>
      </c>
      <c r="B748" t="s">
        <v>959</v>
      </c>
      <c r="C748">
        <v>130527</v>
      </c>
      <c r="D748">
        <v>108493</v>
      </c>
      <c r="E748" t="s">
        <v>124</v>
      </c>
      <c r="F748" t="s">
        <v>26</v>
      </c>
      <c r="G748" t="s">
        <v>849</v>
      </c>
      <c r="H748" s="2">
        <v>41414</v>
      </c>
      <c r="I748" s="2">
        <v>41418</v>
      </c>
      <c r="J748" t="s">
        <v>32</v>
      </c>
      <c r="K748" s="2">
        <v>41452.13566608796</v>
      </c>
      <c r="L748" t="s">
        <v>850</v>
      </c>
      <c r="M748">
        <v>410616</v>
      </c>
      <c r="N748">
        <v>2</v>
      </c>
      <c r="O748">
        <v>2</v>
      </c>
      <c r="P748">
        <v>3</v>
      </c>
      <c r="Q748">
        <v>3</v>
      </c>
      <c r="R748">
        <v>9109</v>
      </c>
      <c r="S748" t="s">
        <v>4118</v>
      </c>
      <c r="T748" t="s">
        <v>3459</v>
      </c>
      <c r="V748" t="s">
        <v>124</v>
      </c>
      <c r="W748" t="s">
        <v>2586</v>
      </c>
      <c r="X748" t="s">
        <v>1726</v>
      </c>
    </row>
    <row r="749" spans="1:24" ht="12.75">
      <c r="A749" s="1" t="str">
        <f>HYPERLINK("http://www.ofsted.gov.uk/inspection-reports/find-inspection-report/provider/ELS/130529","Ofsted FES Webpage")</f>
        <v>Ofsted FES Webpage</v>
      </c>
      <c r="B749" t="s">
        <v>960</v>
      </c>
      <c r="C749">
        <v>130529</v>
      </c>
      <c r="D749">
        <v>107017</v>
      </c>
      <c r="E749" t="s">
        <v>124</v>
      </c>
      <c r="F749" t="s">
        <v>26</v>
      </c>
      <c r="G749" t="s">
        <v>849</v>
      </c>
      <c r="H749" s="2">
        <v>41653</v>
      </c>
      <c r="I749" s="2">
        <v>41656</v>
      </c>
      <c r="J749" t="s">
        <v>27</v>
      </c>
      <c r="K749" s="2">
        <v>41689.13545806713</v>
      </c>
      <c r="L749" t="s">
        <v>850</v>
      </c>
      <c r="M749">
        <v>429159</v>
      </c>
      <c r="N749">
        <v>2</v>
      </c>
      <c r="O749">
        <v>2</v>
      </c>
      <c r="P749">
        <v>3</v>
      </c>
      <c r="Q749">
        <v>3</v>
      </c>
      <c r="R749">
        <v>3187</v>
      </c>
      <c r="S749" t="s">
        <v>4119</v>
      </c>
      <c r="T749" t="s">
        <v>4120</v>
      </c>
      <c r="V749" t="s">
        <v>124</v>
      </c>
      <c r="W749" t="s">
        <v>2586</v>
      </c>
      <c r="X749" t="s">
        <v>2091</v>
      </c>
    </row>
    <row r="750" spans="1:24" ht="12.75">
      <c r="A750" s="1" t="str">
        <f>HYPERLINK("http://www.ofsted.gov.uk/inspection-reports/find-inspection-report/provider/ELS/130530","Ofsted FES Webpage")</f>
        <v>Ofsted FES Webpage</v>
      </c>
      <c r="B750" t="s">
        <v>961</v>
      </c>
      <c r="C750">
        <v>130530</v>
      </c>
      <c r="D750">
        <v>108383</v>
      </c>
      <c r="E750" t="s">
        <v>124</v>
      </c>
      <c r="F750" t="s">
        <v>26</v>
      </c>
      <c r="G750" t="s">
        <v>862</v>
      </c>
      <c r="H750" s="2">
        <v>41653</v>
      </c>
      <c r="I750" s="2">
        <v>41656</v>
      </c>
      <c r="J750" t="s">
        <v>27</v>
      </c>
      <c r="K750" s="2">
        <v>41689.13546412037</v>
      </c>
      <c r="L750" t="s">
        <v>897</v>
      </c>
      <c r="M750">
        <v>429254</v>
      </c>
      <c r="N750">
        <v>2</v>
      </c>
      <c r="O750">
        <v>2</v>
      </c>
      <c r="P750">
        <v>3</v>
      </c>
      <c r="Q750">
        <v>4</v>
      </c>
      <c r="R750">
        <v>1468</v>
      </c>
      <c r="S750" t="s">
        <v>4004</v>
      </c>
      <c r="V750" t="s">
        <v>124</v>
      </c>
      <c r="W750" t="s">
        <v>2586</v>
      </c>
      <c r="X750" t="s">
        <v>2092</v>
      </c>
    </row>
    <row r="751" spans="1:24" ht="12.75">
      <c r="A751" s="1" t="str">
        <f>HYPERLINK("http://www.ofsted.gov.uk/inspection-reports/find-inspection-report/provider/ELS/130531","Ofsted FES Webpage")</f>
        <v>Ofsted FES Webpage</v>
      </c>
      <c r="B751" t="s">
        <v>962</v>
      </c>
      <c r="C751">
        <v>130531</v>
      </c>
      <c r="D751">
        <v>106996</v>
      </c>
      <c r="E751" t="s">
        <v>25</v>
      </c>
      <c r="F751" t="s">
        <v>26</v>
      </c>
      <c r="G751" t="s">
        <v>849</v>
      </c>
      <c r="H751" s="2">
        <v>41393</v>
      </c>
      <c r="I751" s="2">
        <v>41397</v>
      </c>
      <c r="J751" t="s">
        <v>32</v>
      </c>
      <c r="K751" s="2">
        <v>41430.13550783565</v>
      </c>
      <c r="L751" t="s">
        <v>850</v>
      </c>
      <c r="M751">
        <v>410620</v>
      </c>
      <c r="N751">
        <v>2</v>
      </c>
      <c r="O751">
        <v>2</v>
      </c>
      <c r="P751">
        <v>3</v>
      </c>
      <c r="Q751">
        <v>3</v>
      </c>
      <c r="R751">
        <v>20258</v>
      </c>
      <c r="S751" t="s">
        <v>4121</v>
      </c>
      <c r="T751" t="s">
        <v>4122</v>
      </c>
      <c r="V751" t="s">
        <v>25</v>
      </c>
      <c r="W751" t="s">
        <v>2586</v>
      </c>
      <c r="X751" t="s">
        <v>2093</v>
      </c>
    </row>
    <row r="752" spans="1:24" ht="12.75">
      <c r="A752" s="1" t="str">
        <f>HYPERLINK("http://www.ofsted.gov.uk/inspection-reports/find-inspection-report/provider/ELS/130532","Ofsted FES Webpage")</f>
        <v>Ofsted FES Webpage</v>
      </c>
      <c r="B752" t="s">
        <v>963</v>
      </c>
      <c r="C752">
        <v>130532</v>
      </c>
      <c r="D752">
        <v>108311</v>
      </c>
      <c r="E752" t="s">
        <v>31</v>
      </c>
      <c r="F752" t="s">
        <v>26</v>
      </c>
      <c r="G752" t="s">
        <v>849</v>
      </c>
      <c r="H752" s="2">
        <v>39727</v>
      </c>
      <c r="I752" s="2">
        <v>39731</v>
      </c>
      <c r="J752" t="s">
        <v>44</v>
      </c>
      <c r="K752" s="2">
        <v>39780.13558260417</v>
      </c>
      <c r="L752" t="s">
        <v>851</v>
      </c>
      <c r="M752">
        <v>329315</v>
      </c>
      <c r="N752">
        <v>2</v>
      </c>
      <c r="O752">
        <v>2</v>
      </c>
      <c r="P752" t="s">
        <v>20</v>
      </c>
      <c r="Q752" t="s">
        <v>20</v>
      </c>
      <c r="R752">
        <v>18940</v>
      </c>
      <c r="S752" t="s">
        <v>4123</v>
      </c>
      <c r="V752" t="s">
        <v>31</v>
      </c>
      <c r="W752" t="s">
        <v>2389</v>
      </c>
      <c r="X752" t="s">
        <v>2094</v>
      </c>
    </row>
    <row r="753" spans="1:24" ht="12.75">
      <c r="A753" s="1" t="str">
        <f>HYPERLINK("http://www.ofsted.gov.uk/inspection-reports/find-inspection-report/provider/ELS/130534","Ofsted FES Webpage")</f>
        <v>Ofsted FES Webpage</v>
      </c>
      <c r="B753" t="s">
        <v>964</v>
      </c>
      <c r="C753">
        <v>130534</v>
      </c>
      <c r="D753">
        <v>107170</v>
      </c>
      <c r="E753" t="s">
        <v>31</v>
      </c>
      <c r="F753" t="s">
        <v>26</v>
      </c>
      <c r="G753" t="s">
        <v>849</v>
      </c>
      <c r="H753" s="2">
        <v>41317</v>
      </c>
      <c r="I753" s="2">
        <v>41320</v>
      </c>
      <c r="J753" t="s">
        <v>32</v>
      </c>
      <c r="K753" s="2">
        <v>41353.13592133102</v>
      </c>
      <c r="L753" t="s">
        <v>850</v>
      </c>
      <c r="M753">
        <v>409325</v>
      </c>
      <c r="N753">
        <v>2</v>
      </c>
      <c r="O753">
        <v>2</v>
      </c>
      <c r="P753">
        <v>3</v>
      </c>
      <c r="Q753">
        <v>3</v>
      </c>
      <c r="R753">
        <v>4117</v>
      </c>
      <c r="S753" t="s">
        <v>4124</v>
      </c>
      <c r="V753" t="s">
        <v>4125</v>
      </c>
      <c r="W753" t="s">
        <v>2389</v>
      </c>
      <c r="X753" t="s">
        <v>2095</v>
      </c>
    </row>
    <row r="754" spans="1:24" ht="12.75">
      <c r="A754" s="1" t="str">
        <f>HYPERLINK("http://www.ofsted.gov.uk/inspection-reports/find-inspection-report/provider/ELS/130535","Ofsted FES Webpage")</f>
        <v>Ofsted FES Webpage</v>
      </c>
      <c r="B754" t="s">
        <v>965</v>
      </c>
      <c r="C754">
        <v>130535</v>
      </c>
      <c r="D754">
        <v>108325</v>
      </c>
      <c r="E754" t="s">
        <v>216</v>
      </c>
      <c r="F754" t="s">
        <v>26</v>
      </c>
      <c r="G754" t="s">
        <v>849</v>
      </c>
      <c r="H754" s="2">
        <v>41708</v>
      </c>
      <c r="I754" s="2">
        <v>41712</v>
      </c>
      <c r="J754" t="s">
        <v>27</v>
      </c>
      <c r="K754" s="2">
        <v>41745.135471678244</v>
      </c>
      <c r="L754" t="s">
        <v>850</v>
      </c>
      <c r="M754">
        <v>429155</v>
      </c>
      <c r="N754">
        <v>2</v>
      </c>
      <c r="O754">
        <v>2</v>
      </c>
      <c r="P754">
        <v>2</v>
      </c>
      <c r="Q754">
        <v>2</v>
      </c>
      <c r="R754">
        <v>5732</v>
      </c>
      <c r="S754" t="s">
        <v>4126</v>
      </c>
      <c r="V754" t="s">
        <v>2736</v>
      </c>
      <c r="W754" t="s">
        <v>2389</v>
      </c>
      <c r="X754" t="s">
        <v>2096</v>
      </c>
    </row>
    <row r="755" spans="1:24" ht="12.75">
      <c r="A755" s="1" t="str">
        <f>HYPERLINK("http://www.ofsted.gov.uk/inspection-reports/find-inspection-report/provider/ELS/130537","Ofsted FES Webpage")</f>
        <v>Ofsted FES Webpage</v>
      </c>
      <c r="B755" t="s">
        <v>966</v>
      </c>
      <c r="C755">
        <v>130537</v>
      </c>
      <c r="D755">
        <v>107157</v>
      </c>
      <c r="E755" t="s">
        <v>137</v>
      </c>
      <c r="F755" t="s">
        <v>26</v>
      </c>
      <c r="G755" t="s">
        <v>849</v>
      </c>
      <c r="H755" s="2">
        <v>41218</v>
      </c>
      <c r="I755" s="2">
        <v>41222</v>
      </c>
      <c r="J755" t="s">
        <v>32</v>
      </c>
      <c r="K755" s="2">
        <v>41257.1354528588</v>
      </c>
      <c r="L755" t="s">
        <v>866</v>
      </c>
      <c r="M755">
        <v>385831</v>
      </c>
      <c r="N755">
        <v>2</v>
      </c>
      <c r="O755">
        <v>1</v>
      </c>
      <c r="P755">
        <v>4</v>
      </c>
      <c r="Q755">
        <v>4</v>
      </c>
      <c r="R755">
        <v>17325</v>
      </c>
      <c r="S755" t="s">
        <v>2612</v>
      </c>
      <c r="V755" t="s">
        <v>2495</v>
      </c>
      <c r="W755" t="s">
        <v>2389</v>
      </c>
      <c r="X755" t="s">
        <v>2097</v>
      </c>
    </row>
    <row r="756" spans="1:24" ht="12.75">
      <c r="A756" s="1" t="str">
        <f>HYPERLINK("http://www.ofsted.gov.uk/inspection-reports/find-inspection-report/provider/ELS/130538","Ofsted FES Webpage")</f>
        <v>Ofsted FES Webpage</v>
      </c>
      <c r="B756" t="s">
        <v>967</v>
      </c>
      <c r="C756">
        <v>130538</v>
      </c>
      <c r="D756">
        <v>108424</v>
      </c>
      <c r="E756" t="s">
        <v>137</v>
      </c>
      <c r="F756" t="s">
        <v>26</v>
      </c>
      <c r="G756" t="s">
        <v>862</v>
      </c>
      <c r="H756" s="2">
        <v>39407</v>
      </c>
      <c r="I756" s="2">
        <v>39408</v>
      </c>
      <c r="J756" t="s">
        <v>154</v>
      </c>
      <c r="K756" s="2">
        <v>39465.13554293982</v>
      </c>
      <c r="L756" t="s">
        <v>863</v>
      </c>
      <c r="M756">
        <v>316660</v>
      </c>
      <c r="N756">
        <v>1</v>
      </c>
      <c r="O756">
        <v>1</v>
      </c>
      <c r="P756" t="s">
        <v>20</v>
      </c>
      <c r="Q756" t="s">
        <v>20</v>
      </c>
      <c r="R756">
        <v>2148</v>
      </c>
      <c r="S756" t="s">
        <v>4127</v>
      </c>
      <c r="V756" t="s">
        <v>2495</v>
      </c>
      <c r="W756" t="s">
        <v>2389</v>
      </c>
      <c r="X756" t="s">
        <v>2098</v>
      </c>
    </row>
    <row r="757" spans="1:24" ht="12.75">
      <c r="A757" s="1" t="str">
        <f>HYPERLINK("http://www.ofsted.gov.uk/inspection-reports/find-inspection-report/provider/ELS/130539","Ofsted FES Webpage")</f>
        <v>Ofsted FES Webpage</v>
      </c>
      <c r="B757" t="s">
        <v>968</v>
      </c>
      <c r="C757">
        <v>130539</v>
      </c>
      <c r="D757">
        <v>108417</v>
      </c>
      <c r="E757" t="s">
        <v>137</v>
      </c>
      <c r="F757" t="s">
        <v>26</v>
      </c>
      <c r="G757" t="s">
        <v>862</v>
      </c>
      <c r="H757" s="2">
        <v>40827</v>
      </c>
      <c r="I757" s="2">
        <v>40830</v>
      </c>
      <c r="J757" t="s">
        <v>23</v>
      </c>
      <c r="K757" s="2">
        <v>40865.13547966435</v>
      </c>
      <c r="L757" t="s">
        <v>863</v>
      </c>
      <c r="M757">
        <v>376180</v>
      </c>
      <c r="N757">
        <v>2</v>
      </c>
      <c r="O757">
        <v>2</v>
      </c>
      <c r="P757">
        <v>2</v>
      </c>
      <c r="Q757">
        <v>2</v>
      </c>
      <c r="R757">
        <v>2350</v>
      </c>
      <c r="S757" t="s">
        <v>4128</v>
      </c>
      <c r="V757" t="s">
        <v>2495</v>
      </c>
      <c r="W757" t="s">
        <v>2389</v>
      </c>
      <c r="X757" t="s">
        <v>2099</v>
      </c>
    </row>
    <row r="758" spans="1:24" ht="12.75">
      <c r="A758" s="1" t="str">
        <f>HYPERLINK("http://www.ofsted.gov.uk/inspection-reports/find-inspection-report/provider/ELS/130542","Ofsted FES Webpage")</f>
        <v>Ofsted FES Webpage</v>
      </c>
      <c r="B758" t="s">
        <v>969</v>
      </c>
      <c r="C758">
        <v>130542</v>
      </c>
      <c r="D758">
        <v>107582</v>
      </c>
      <c r="E758" t="s">
        <v>201</v>
      </c>
      <c r="F758" t="s">
        <v>26</v>
      </c>
      <c r="G758" t="s">
        <v>849</v>
      </c>
      <c r="H758" s="2">
        <v>41792</v>
      </c>
      <c r="I758" s="2">
        <v>41796</v>
      </c>
      <c r="J758" t="s">
        <v>27</v>
      </c>
      <c r="K758" s="2">
        <v>41827.13546246528</v>
      </c>
      <c r="L758" t="s">
        <v>882</v>
      </c>
      <c r="M758">
        <v>429281</v>
      </c>
      <c r="N758">
        <v>2</v>
      </c>
      <c r="O758">
        <v>2</v>
      </c>
      <c r="P758">
        <v>3</v>
      </c>
      <c r="Q758">
        <v>3</v>
      </c>
      <c r="R758">
        <v>4934</v>
      </c>
      <c r="S758" t="s">
        <v>3594</v>
      </c>
      <c r="V758" t="s">
        <v>201</v>
      </c>
      <c r="W758" t="s">
        <v>2389</v>
      </c>
      <c r="X758" t="s">
        <v>2101</v>
      </c>
    </row>
    <row r="759" spans="1:24" ht="12.75">
      <c r="A759" s="1" t="str">
        <f>HYPERLINK("http://www.ofsted.gov.uk/inspection-reports/find-inspection-report/provider/ELS/130547","Ofsted FES Webpage")</f>
        <v>Ofsted FES Webpage</v>
      </c>
      <c r="B759" t="s">
        <v>970</v>
      </c>
      <c r="C759">
        <v>130547</v>
      </c>
      <c r="D759">
        <v>108534</v>
      </c>
      <c r="E759" t="s">
        <v>201</v>
      </c>
      <c r="F759" t="s">
        <v>26</v>
      </c>
      <c r="G759" t="s">
        <v>971</v>
      </c>
      <c r="H759" s="2">
        <v>40609</v>
      </c>
      <c r="I759" s="2">
        <v>40613</v>
      </c>
      <c r="J759" t="s">
        <v>56</v>
      </c>
      <c r="K759" s="2">
        <v>40648.13544181713</v>
      </c>
      <c r="L759" t="s">
        <v>858</v>
      </c>
      <c r="M759">
        <v>363297</v>
      </c>
      <c r="N759">
        <v>2</v>
      </c>
      <c r="O759">
        <v>3</v>
      </c>
      <c r="P759">
        <v>2</v>
      </c>
      <c r="Q759">
        <v>2</v>
      </c>
      <c r="R759">
        <v>746</v>
      </c>
      <c r="S759" t="s">
        <v>4131</v>
      </c>
      <c r="V759" t="s">
        <v>201</v>
      </c>
      <c r="W759" t="s">
        <v>2389</v>
      </c>
      <c r="X759" t="s">
        <v>2102</v>
      </c>
    </row>
    <row r="760" spans="1:24" ht="12.75">
      <c r="A760" s="1" t="str">
        <f>HYPERLINK("http://www.ofsted.gov.uk/inspection-reports/find-inspection-report/provider/ELS/130548","Ofsted FES Webpage")</f>
        <v>Ofsted FES Webpage</v>
      </c>
      <c r="B760" t="s">
        <v>972</v>
      </c>
      <c r="C760">
        <v>130548</v>
      </c>
      <c r="D760">
        <v>108362</v>
      </c>
      <c r="E760" t="s">
        <v>201</v>
      </c>
      <c r="F760" t="s">
        <v>26</v>
      </c>
      <c r="G760" t="s">
        <v>862</v>
      </c>
      <c r="H760" s="2">
        <v>39554</v>
      </c>
      <c r="I760" s="2">
        <v>39555</v>
      </c>
      <c r="J760" t="s">
        <v>154</v>
      </c>
      <c r="K760" s="2">
        <v>39605.13556959491</v>
      </c>
      <c r="L760" t="s">
        <v>863</v>
      </c>
      <c r="M760">
        <v>322398</v>
      </c>
      <c r="N760">
        <v>1</v>
      </c>
      <c r="O760">
        <v>1</v>
      </c>
      <c r="P760" t="s">
        <v>20</v>
      </c>
      <c r="Q760" t="s">
        <v>20</v>
      </c>
      <c r="R760">
        <v>1673</v>
      </c>
      <c r="S760" t="s">
        <v>4132</v>
      </c>
      <c r="V760" t="s">
        <v>201</v>
      </c>
      <c r="W760" t="s">
        <v>2389</v>
      </c>
      <c r="X760" t="s">
        <v>2103</v>
      </c>
    </row>
    <row r="761" spans="1:24" ht="12.75">
      <c r="A761" s="1" t="str">
        <f>HYPERLINK("http://www.ofsted.gov.uk/inspection-reports/find-inspection-report/provider/ELS/130549","Ofsted FES Webpage")</f>
        <v>Ofsted FES Webpage</v>
      </c>
      <c r="B761" t="s">
        <v>973</v>
      </c>
      <c r="C761">
        <v>130549</v>
      </c>
      <c r="D761">
        <v>108440</v>
      </c>
      <c r="E761" t="s">
        <v>521</v>
      </c>
      <c r="F761" t="s">
        <v>26</v>
      </c>
      <c r="G761" t="s">
        <v>849</v>
      </c>
      <c r="H761" s="2">
        <v>41673</v>
      </c>
      <c r="I761" s="2">
        <v>41677</v>
      </c>
      <c r="J761" t="s">
        <v>27</v>
      </c>
      <c r="K761" s="2">
        <v>41710.13549105324</v>
      </c>
      <c r="L761" t="s">
        <v>850</v>
      </c>
      <c r="M761">
        <v>429172</v>
      </c>
      <c r="N761">
        <v>2</v>
      </c>
      <c r="O761">
        <v>2</v>
      </c>
      <c r="P761">
        <v>2</v>
      </c>
      <c r="Q761">
        <v>2</v>
      </c>
      <c r="R761">
        <v>7884</v>
      </c>
      <c r="S761" t="s">
        <v>4133</v>
      </c>
      <c r="V761" t="s">
        <v>521</v>
      </c>
      <c r="W761" t="s">
        <v>2389</v>
      </c>
      <c r="X761" t="s">
        <v>2104</v>
      </c>
    </row>
    <row r="762" spans="1:24" ht="12.75">
      <c r="A762" s="1" t="str">
        <f>HYPERLINK("http://www.ofsted.gov.uk/inspection-reports/find-inspection-report/provider/ELS/130550","Ofsted FES Webpage")</f>
        <v>Ofsted FES Webpage</v>
      </c>
      <c r="B762" t="s">
        <v>974</v>
      </c>
      <c r="C762">
        <v>130550</v>
      </c>
      <c r="D762">
        <v>108409</v>
      </c>
      <c r="E762" t="s">
        <v>521</v>
      </c>
      <c r="F762" t="s">
        <v>26</v>
      </c>
      <c r="G762" t="s">
        <v>862</v>
      </c>
      <c r="H762" s="2">
        <v>41730</v>
      </c>
      <c r="I762" s="2">
        <v>41733</v>
      </c>
      <c r="J762" t="s">
        <v>27</v>
      </c>
      <c r="K762" s="2">
        <v>41771.13545648148</v>
      </c>
      <c r="L762" t="s">
        <v>875</v>
      </c>
      <c r="M762">
        <v>423377</v>
      </c>
      <c r="N762">
        <v>1</v>
      </c>
      <c r="O762">
        <v>1</v>
      </c>
      <c r="P762">
        <v>2</v>
      </c>
      <c r="Q762">
        <v>2</v>
      </c>
      <c r="R762">
        <v>1851</v>
      </c>
      <c r="S762" t="s">
        <v>4130</v>
      </c>
      <c r="V762" t="s">
        <v>3822</v>
      </c>
      <c r="W762" t="s">
        <v>2389</v>
      </c>
      <c r="X762" t="s">
        <v>2105</v>
      </c>
    </row>
    <row r="763" spans="1:24" ht="12.75">
      <c r="A763" s="1" t="str">
        <f>HYPERLINK("http://www.ofsted.gov.uk/inspection-reports/find-inspection-report/provider/ELS/130551","Ofsted FES Webpage")</f>
        <v>Ofsted FES Webpage</v>
      </c>
      <c r="B763" t="s">
        <v>975</v>
      </c>
      <c r="C763">
        <v>130551</v>
      </c>
      <c r="D763">
        <v>108458</v>
      </c>
      <c r="E763" t="s">
        <v>146</v>
      </c>
      <c r="F763" t="s">
        <v>26</v>
      </c>
      <c r="G763" t="s">
        <v>849</v>
      </c>
      <c r="H763" s="2">
        <v>41673</v>
      </c>
      <c r="I763" s="2">
        <v>41677</v>
      </c>
      <c r="J763" t="s">
        <v>27</v>
      </c>
      <c r="K763" s="2">
        <v>41710.13548503472</v>
      </c>
      <c r="L763" t="s">
        <v>850</v>
      </c>
      <c r="M763">
        <v>429163</v>
      </c>
      <c r="N763">
        <v>3</v>
      </c>
      <c r="O763">
        <v>3</v>
      </c>
      <c r="P763">
        <v>3</v>
      </c>
      <c r="Q763">
        <v>3</v>
      </c>
      <c r="R763">
        <v>18888</v>
      </c>
      <c r="S763" t="s">
        <v>4134</v>
      </c>
      <c r="U763" t="s">
        <v>4135</v>
      </c>
      <c r="V763" t="s">
        <v>146</v>
      </c>
      <c r="W763" t="s">
        <v>2354</v>
      </c>
      <c r="X763" t="s">
        <v>2106</v>
      </c>
    </row>
    <row r="764" spans="1:24" ht="12.75">
      <c r="A764" s="1" t="str">
        <f>HYPERLINK("http://www.ofsted.gov.uk/inspection-reports/find-inspection-report/provider/ELS/130552","Ofsted FES Webpage")</f>
        <v>Ofsted FES Webpage</v>
      </c>
      <c r="B764" t="s">
        <v>976</v>
      </c>
      <c r="C764">
        <v>130552</v>
      </c>
      <c r="D764">
        <v>107111</v>
      </c>
      <c r="E764" t="s">
        <v>166</v>
      </c>
      <c r="F764" t="s">
        <v>26</v>
      </c>
      <c r="G764" t="s">
        <v>849</v>
      </c>
      <c r="H764" s="2">
        <v>41057</v>
      </c>
      <c r="I764" s="2">
        <v>41061</v>
      </c>
      <c r="J764" t="s">
        <v>23</v>
      </c>
      <c r="K764" s="2">
        <v>41137.13546388889</v>
      </c>
      <c r="L764" t="s">
        <v>858</v>
      </c>
      <c r="M764">
        <v>388010</v>
      </c>
      <c r="N764">
        <v>2</v>
      </c>
      <c r="O764">
        <v>2</v>
      </c>
      <c r="P764">
        <v>1</v>
      </c>
      <c r="Q764">
        <v>1</v>
      </c>
      <c r="R764">
        <v>54925</v>
      </c>
      <c r="S764" t="s">
        <v>4136</v>
      </c>
      <c r="T764" t="s">
        <v>3437</v>
      </c>
      <c r="V764" t="s">
        <v>2816</v>
      </c>
      <c r="W764" t="s">
        <v>2354</v>
      </c>
      <c r="X764" t="s">
        <v>1712</v>
      </c>
    </row>
    <row r="765" spans="1:24" ht="12.75">
      <c r="A765" s="1" t="str">
        <f>HYPERLINK("http://www.ofsted.gov.uk/inspection-reports/find-inspection-report/provider/ELS/130555","Ofsted FES Webpage")</f>
        <v>Ofsted FES Webpage</v>
      </c>
      <c r="B765" t="s">
        <v>977</v>
      </c>
      <c r="C765">
        <v>130555</v>
      </c>
      <c r="D765">
        <v>107121</v>
      </c>
      <c r="E765" t="s">
        <v>296</v>
      </c>
      <c r="F765" t="s">
        <v>26</v>
      </c>
      <c r="G765" t="s">
        <v>849</v>
      </c>
      <c r="H765" s="2">
        <v>41197</v>
      </c>
      <c r="I765" s="2">
        <v>41201</v>
      </c>
      <c r="J765" t="s">
        <v>32</v>
      </c>
      <c r="K765" s="2">
        <v>41236.135724768516</v>
      </c>
      <c r="L765" t="s">
        <v>850</v>
      </c>
      <c r="M765">
        <v>404161</v>
      </c>
      <c r="N765">
        <v>2</v>
      </c>
      <c r="O765">
        <v>2</v>
      </c>
      <c r="P765">
        <v>3</v>
      </c>
      <c r="Q765">
        <v>3</v>
      </c>
      <c r="R765">
        <v>6298</v>
      </c>
      <c r="S765" t="s">
        <v>4137</v>
      </c>
      <c r="V765" t="s">
        <v>2832</v>
      </c>
      <c r="W765" t="s">
        <v>2354</v>
      </c>
      <c r="X765" t="s">
        <v>2107</v>
      </c>
    </row>
    <row r="766" spans="1:24" ht="12.75">
      <c r="A766" s="1" t="str">
        <f>HYPERLINK("http://www.ofsted.gov.uk/inspection-reports/find-inspection-report/provider/ELS/130558","Ofsted FES Webpage")</f>
        <v>Ofsted FES Webpage</v>
      </c>
      <c r="B766" t="s">
        <v>978</v>
      </c>
      <c r="C766">
        <v>130558</v>
      </c>
      <c r="D766">
        <v>105154</v>
      </c>
      <c r="E766" t="s">
        <v>979</v>
      </c>
      <c r="F766" t="s">
        <v>63</v>
      </c>
      <c r="G766" t="s">
        <v>849</v>
      </c>
      <c r="H766" s="2">
        <v>41302</v>
      </c>
      <c r="I766" s="2">
        <v>41306</v>
      </c>
      <c r="J766" t="s">
        <v>32</v>
      </c>
      <c r="K766" s="2">
        <v>41341.135800613425</v>
      </c>
      <c r="L766" t="s">
        <v>850</v>
      </c>
      <c r="M766">
        <v>408439</v>
      </c>
      <c r="N766">
        <v>2</v>
      </c>
      <c r="O766">
        <v>2</v>
      </c>
      <c r="P766">
        <v>3</v>
      </c>
      <c r="Q766">
        <v>2</v>
      </c>
      <c r="R766">
        <v>6576</v>
      </c>
      <c r="S766" t="s">
        <v>4138</v>
      </c>
      <c r="V766" t="s">
        <v>2662</v>
      </c>
      <c r="W766" t="s">
        <v>254</v>
      </c>
      <c r="X766" t="s">
        <v>1873</v>
      </c>
    </row>
    <row r="767" spans="1:24" ht="12.75">
      <c r="A767" s="1" t="str">
        <f>HYPERLINK("http://www.ofsted.gov.uk/inspection-reports/find-inspection-report/provider/ELS/130559","Ofsted FES Webpage")</f>
        <v>Ofsted FES Webpage</v>
      </c>
      <c r="B767" t="s">
        <v>980</v>
      </c>
      <c r="C767">
        <v>130559</v>
      </c>
      <c r="D767">
        <v>105206</v>
      </c>
      <c r="E767" t="s">
        <v>979</v>
      </c>
      <c r="F767" t="s">
        <v>63</v>
      </c>
      <c r="G767" t="s">
        <v>849</v>
      </c>
      <c r="H767" s="2">
        <v>41772</v>
      </c>
      <c r="I767" s="2">
        <v>41775</v>
      </c>
      <c r="J767" t="s">
        <v>27</v>
      </c>
      <c r="K767" s="2">
        <v>41816.135476157404</v>
      </c>
      <c r="L767" t="s">
        <v>882</v>
      </c>
      <c r="M767">
        <v>429282</v>
      </c>
      <c r="N767">
        <v>4</v>
      </c>
      <c r="O767">
        <v>4</v>
      </c>
      <c r="P767">
        <v>3</v>
      </c>
      <c r="Q767">
        <v>3</v>
      </c>
      <c r="R767">
        <v>4702</v>
      </c>
      <c r="S767" t="s">
        <v>4139</v>
      </c>
      <c r="V767" t="s">
        <v>2663</v>
      </c>
      <c r="W767" t="s">
        <v>254</v>
      </c>
      <c r="X767" t="s">
        <v>2108</v>
      </c>
    </row>
    <row r="768" spans="1:24" ht="12.75">
      <c r="A768" s="1" t="str">
        <f>HYPERLINK("http://www.ofsted.gov.uk/inspection-reports/find-inspection-report/provider/ELS/130563","Ofsted FES Webpage")</f>
        <v>Ofsted FES Webpage</v>
      </c>
      <c r="B768" t="s">
        <v>981</v>
      </c>
      <c r="C768">
        <v>130563</v>
      </c>
      <c r="D768">
        <v>108361</v>
      </c>
      <c r="E768" t="s">
        <v>199</v>
      </c>
      <c r="F768" t="s">
        <v>63</v>
      </c>
      <c r="G768" t="s">
        <v>862</v>
      </c>
      <c r="H768" s="2">
        <v>41198</v>
      </c>
      <c r="I768" s="2">
        <v>41201</v>
      </c>
      <c r="J768" t="s">
        <v>32</v>
      </c>
      <c r="K768" s="2">
        <v>41236.13562920139</v>
      </c>
      <c r="L768" t="s">
        <v>875</v>
      </c>
      <c r="M768">
        <v>399021</v>
      </c>
      <c r="N768">
        <v>2</v>
      </c>
      <c r="O768">
        <v>2</v>
      </c>
      <c r="P768">
        <v>2</v>
      </c>
      <c r="Q768">
        <v>2</v>
      </c>
      <c r="R768">
        <v>1632</v>
      </c>
      <c r="S768" t="s">
        <v>3514</v>
      </c>
      <c r="T768" t="s">
        <v>3613</v>
      </c>
      <c r="V768" t="s">
        <v>2484</v>
      </c>
      <c r="X768" t="s">
        <v>1874</v>
      </c>
    </row>
    <row r="769" spans="1:24" ht="12.75">
      <c r="A769" s="1" t="str">
        <f>HYPERLINK("http://www.ofsted.gov.uk/inspection-reports/find-inspection-report/provider/ELS/130564","Ofsted FES Webpage")</f>
        <v>Ofsted FES Webpage</v>
      </c>
      <c r="B769" t="s">
        <v>982</v>
      </c>
      <c r="C769">
        <v>130564</v>
      </c>
      <c r="D769">
        <v>105242</v>
      </c>
      <c r="E769" t="s">
        <v>983</v>
      </c>
      <c r="F769" t="s">
        <v>63</v>
      </c>
      <c r="G769" t="s">
        <v>849</v>
      </c>
      <c r="H769" s="2">
        <v>41617</v>
      </c>
      <c r="I769" s="2">
        <v>41621</v>
      </c>
      <c r="J769" t="s">
        <v>27</v>
      </c>
      <c r="K769" s="2">
        <v>41661.135474270835</v>
      </c>
      <c r="L769" t="s">
        <v>850</v>
      </c>
      <c r="M769">
        <v>423351</v>
      </c>
      <c r="N769">
        <v>1</v>
      </c>
      <c r="O769">
        <v>1</v>
      </c>
      <c r="P769">
        <v>2</v>
      </c>
      <c r="Q769">
        <v>2</v>
      </c>
      <c r="R769">
        <v>20815</v>
      </c>
      <c r="S769" t="s">
        <v>4140</v>
      </c>
      <c r="V769" t="s">
        <v>2941</v>
      </c>
      <c r="W769" t="s">
        <v>254</v>
      </c>
      <c r="X769" t="s">
        <v>2109</v>
      </c>
    </row>
    <row r="770" spans="1:24" ht="12.75">
      <c r="A770" s="1" t="str">
        <f>HYPERLINK("http://www.ofsted.gov.uk/inspection-reports/find-inspection-report/provider/ELS/130567","Ofsted FES Webpage")</f>
        <v>Ofsted FES Webpage</v>
      </c>
      <c r="B770" t="s">
        <v>984</v>
      </c>
      <c r="C770">
        <v>130567</v>
      </c>
      <c r="D770">
        <v>107069</v>
      </c>
      <c r="E770" t="s">
        <v>326</v>
      </c>
      <c r="F770" t="s">
        <v>26</v>
      </c>
      <c r="G770" t="s">
        <v>849</v>
      </c>
      <c r="H770" s="2">
        <v>41757</v>
      </c>
      <c r="I770" s="2">
        <v>41761</v>
      </c>
      <c r="J770" t="s">
        <v>27</v>
      </c>
      <c r="K770" s="2">
        <v>41816.13548240741</v>
      </c>
      <c r="L770" t="s">
        <v>882</v>
      </c>
      <c r="M770">
        <v>429289</v>
      </c>
      <c r="N770">
        <v>2</v>
      </c>
      <c r="O770">
        <v>2</v>
      </c>
      <c r="P770">
        <v>3</v>
      </c>
      <c r="Q770">
        <v>3</v>
      </c>
      <c r="R770">
        <v>5997</v>
      </c>
      <c r="S770" t="s">
        <v>4141</v>
      </c>
      <c r="V770" t="s">
        <v>326</v>
      </c>
      <c r="X770" t="s">
        <v>2110</v>
      </c>
    </row>
    <row r="771" spans="1:24" ht="12.75">
      <c r="A771" s="1" t="str">
        <f>HYPERLINK("http://www.ofsted.gov.uk/inspection-reports/find-inspection-report/provider/ELS/130568","Ofsted FES Webpage")</f>
        <v>Ofsted FES Webpage</v>
      </c>
      <c r="B771" t="s">
        <v>985</v>
      </c>
      <c r="C771">
        <v>130568</v>
      </c>
      <c r="D771">
        <v>108423</v>
      </c>
      <c r="E771" t="s">
        <v>326</v>
      </c>
      <c r="F771" t="s">
        <v>26</v>
      </c>
      <c r="G771" t="s">
        <v>862</v>
      </c>
      <c r="H771" s="2">
        <v>40316</v>
      </c>
      <c r="I771" s="2">
        <v>40319</v>
      </c>
      <c r="J771" t="s">
        <v>18</v>
      </c>
      <c r="K771" s="2">
        <v>40360.13552546296</v>
      </c>
      <c r="L771" t="s">
        <v>863</v>
      </c>
      <c r="M771">
        <v>345834</v>
      </c>
      <c r="N771">
        <v>2</v>
      </c>
      <c r="O771">
        <v>2</v>
      </c>
      <c r="P771">
        <v>2</v>
      </c>
      <c r="Q771">
        <v>2</v>
      </c>
      <c r="R771">
        <v>1045</v>
      </c>
      <c r="S771" t="s">
        <v>4142</v>
      </c>
      <c r="T771" t="s">
        <v>4143</v>
      </c>
      <c r="V771" t="s">
        <v>326</v>
      </c>
      <c r="X771" t="s">
        <v>2111</v>
      </c>
    </row>
    <row r="772" spans="1:24" ht="12.75">
      <c r="A772" s="1" t="str">
        <f>HYPERLINK("http://www.ofsted.gov.uk/inspection-reports/find-inspection-report/provider/ELS/130570","Ofsted FES Webpage")</f>
        <v>Ofsted FES Webpage</v>
      </c>
      <c r="B772" t="s">
        <v>986</v>
      </c>
      <c r="C772">
        <v>130570</v>
      </c>
      <c r="D772">
        <v>107073</v>
      </c>
      <c r="E772" t="s">
        <v>80</v>
      </c>
      <c r="F772" t="s">
        <v>26</v>
      </c>
      <c r="G772" t="s">
        <v>849</v>
      </c>
      <c r="H772" s="2">
        <v>40602</v>
      </c>
      <c r="I772" s="2">
        <v>40606</v>
      </c>
      <c r="J772" t="s">
        <v>56</v>
      </c>
      <c r="K772" s="2">
        <v>40641.13545112268</v>
      </c>
      <c r="L772" t="s">
        <v>851</v>
      </c>
      <c r="M772">
        <v>363293</v>
      </c>
      <c r="N772">
        <v>2</v>
      </c>
      <c r="O772">
        <v>2</v>
      </c>
      <c r="P772">
        <v>3</v>
      </c>
      <c r="Q772">
        <v>3</v>
      </c>
      <c r="R772">
        <v>8553</v>
      </c>
      <c r="S772" t="s">
        <v>4144</v>
      </c>
      <c r="T772" t="s">
        <v>4145</v>
      </c>
      <c r="V772" t="s">
        <v>80</v>
      </c>
      <c r="X772" t="s">
        <v>2112</v>
      </c>
    </row>
    <row r="773" spans="1:24" ht="12.75">
      <c r="A773" s="1" t="str">
        <f>HYPERLINK("http://www.ofsted.gov.uk/inspection-reports/find-inspection-report/provider/ELS/130571","Ofsted FES Webpage")</f>
        <v>Ofsted FES Webpage</v>
      </c>
      <c r="B773" t="s">
        <v>987</v>
      </c>
      <c r="C773">
        <v>130571</v>
      </c>
      <c r="D773">
        <v>108536</v>
      </c>
      <c r="E773" t="s">
        <v>80</v>
      </c>
      <c r="F773" t="s">
        <v>26</v>
      </c>
      <c r="G773" t="s">
        <v>890</v>
      </c>
      <c r="H773" s="2">
        <v>39966</v>
      </c>
      <c r="I773" s="2">
        <v>39967</v>
      </c>
      <c r="J773" t="s">
        <v>44</v>
      </c>
      <c r="K773" s="2">
        <v>40011.13548174768</v>
      </c>
      <c r="L773" t="s">
        <v>876</v>
      </c>
      <c r="M773">
        <v>333003</v>
      </c>
      <c r="N773">
        <v>1</v>
      </c>
      <c r="O773">
        <v>2</v>
      </c>
      <c r="P773" t="s">
        <v>20</v>
      </c>
      <c r="Q773" t="s">
        <v>20</v>
      </c>
      <c r="R773">
        <v>685</v>
      </c>
      <c r="S773" t="s">
        <v>2468</v>
      </c>
      <c r="T773" t="s">
        <v>4146</v>
      </c>
      <c r="V773" t="s">
        <v>80</v>
      </c>
      <c r="X773" t="s">
        <v>2113</v>
      </c>
    </row>
    <row r="774" spans="1:24" ht="12.75">
      <c r="A774" s="1" t="str">
        <f>HYPERLINK("http://www.ofsted.gov.uk/inspection-reports/find-inspection-report/provider/ELS/130573","Ofsted FES Webpage")</f>
        <v>Ofsted FES Webpage</v>
      </c>
      <c r="B774" t="s">
        <v>988</v>
      </c>
      <c r="C774">
        <v>130573</v>
      </c>
      <c r="D774">
        <v>107079</v>
      </c>
      <c r="E774" t="s">
        <v>545</v>
      </c>
      <c r="F774" t="s">
        <v>26</v>
      </c>
      <c r="G774" t="s">
        <v>849</v>
      </c>
      <c r="H774" s="2">
        <v>41793</v>
      </c>
      <c r="I774" s="2">
        <v>41796</v>
      </c>
      <c r="J774" t="s">
        <v>27</v>
      </c>
      <c r="K774" s="2">
        <v>41829.135483067126</v>
      </c>
      <c r="L774" t="s">
        <v>882</v>
      </c>
      <c r="M774">
        <v>429283</v>
      </c>
      <c r="N774">
        <v>3</v>
      </c>
      <c r="O774">
        <v>3</v>
      </c>
      <c r="P774">
        <v>3</v>
      </c>
      <c r="Q774">
        <v>3</v>
      </c>
      <c r="R774">
        <v>2814</v>
      </c>
      <c r="S774" t="s">
        <v>4147</v>
      </c>
      <c r="V774" t="s">
        <v>2673</v>
      </c>
      <c r="W774" t="s">
        <v>120</v>
      </c>
      <c r="X774" t="s">
        <v>2114</v>
      </c>
    </row>
    <row r="775" spans="1:24" ht="12.75">
      <c r="A775" s="1" t="str">
        <f>HYPERLINK("http://www.ofsted.gov.uk/inspection-reports/find-inspection-report/provider/ELS/130575","Ofsted FES Webpage")</f>
        <v>Ofsted FES Webpage</v>
      </c>
      <c r="B775" t="s">
        <v>989</v>
      </c>
      <c r="C775">
        <v>130575</v>
      </c>
      <c r="D775">
        <v>108403</v>
      </c>
      <c r="E775" t="s">
        <v>545</v>
      </c>
      <c r="F775" t="s">
        <v>26</v>
      </c>
      <c r="G775" t="s">
        <v>862</v>
      </c>
      <c r="H775" s="2">
        <v>41611</v>
      </c>
      <c r="I775" s="2">
        <v>41614</v>
      </c>
      <c r="J775" t="s">
        <v>27</v>
      </c>
      <c r="K775" s="2">
        <v>41684.13547465278</v>
      </c>
      <c r="L775" t="s">
        <v>875</v>
      </c>
      <c r="M775">
        <v>423378</v>
      </c>
      <c r="N775">
        <v>4</v>
      </c>
      <c r="O775">
        <v>4</v>
      </c>
      <c r="P775">
        <v>2</v>
      </c>
      <c r="Q775">
        <v>2</v>
      </c>
      <c r="R775">
        <v>2098</v>
      </c>
      <c r="S775" t="s">
        <v>4148</v>
      </c>
      <c r="V775" t="s">
        <v>3623</v>
      </c>
      <c r="W775" t="s">
        <v>120</v>
      </c>
      <c r="X775" t="s">
        <v>2115</v>
      </c>
    </row>
    <row r="776" spans="1:24" ht="12.75">
      <c r="A776" s="1" t="str">
        <f>HYPERLINK("http://www.ofsted.gov.uk/inspection-reports/find-inspection-report/provider/ELS/130576","Ofsted FES Webpage")</f>
        <v>Ofsted FES Webpage</v>
      </c>
      <c r="B776" t="s">
        <v>990</v>
      </c>
      <c r="C776">
        <v>130576</v>
      </c>
      <c r="D776">
        <v>107083</v>
      </c>
      <c r="E776" t="s">
        <v>87</v>
      </c>
      <c r="F776" t="s">
        <v>26</v>
      </c>
      <c r="G776" t="s">
        <v>849</v>
      </c>
      <c r="H776" s="2">
        <v>41757</v>
      </c>
      <c r="I776" s="2">
        <v>41761</v>
      </c>
      <c r="J776" t="s">
        <v>27</v>
      </c>
      <c r="K776" s="2">
        <v>41796.13550211806</v>
      </c>
      <c r="L776" t="s">
        <v>882</v>
      </c>
      <c r="M776">
        <v>429247</v>
      </c>
      <c r="N776">
        <v>2</v>
      </c>
      <c r="O776">
        <v>2</v>
      </c>
      <c r="P776">
        <v>3</v>
      </c>
      <c r="Q776">
        <v>3</v>
      </c>
      <c r="R776">
        <v>10202</v>
      </c>
      <c r="S776" t="s">
        <v>4149</v>
      </c>
      <c r="T776" t="s">
        <v>3546</v>
      </c>
      <c r="V776" t="s">
        <v>87</v>
      </c>
      <c r="W776" t="s">
        <v>2996</v>
      </c>
      <c r="X776" t="s">
        <v>2116</v>
      </c>
    </row>
    <row r="777" spans="1:24" ht="12.75">
      <c r="A777" s="1" t="str">
        <f>HYPERLINK("http://www.ofsted.gov.uk/inspection-reports/find-inspection-report/provider/ELS/130577","Ofsted FES Webpage")</f>
        <v>Ofsted FES Webpage</v>
      </c>
      <c r="B777" t="s">
        <v>991</v>
      </c>
      <c r="C777">
        <v>130577</v>
      </c>
      <c r="D777">
        <v>108386</v>
      </c>
      <c r="E777" t="s">
        <v>87</v>
      </c>
      <c r="F777" t="s">
        <v>26</v>
      </c>
      <c r="G777" t="s">
        <v>862</v>
      </c>
      <c r="H777" s="2">
        <v>41716</v>
      </c>
      <c r="I777" s="2">
        <v>41719</v>
      </c>
      <c r="J777" t="s">
        <v>27</v>
      </c>
      <c r="K777" s="2">
        <v>41754.135505011574</v>
      </c>
      <c r="L777" t="s">
        <v>897</v>
      </c>
      <c r="M777">
        <v>429255</v>
      </c>
      <c r="N777">
        <v>2</v>
      </c>
      <c r="O777">
        <v>2</v>
      </c>
      <c r="P777">
        <v>3</v>
      </c>
      <c r="Q777">
        <v>3</v>
      </c>
      <c r="R777">
        <v>675</v>
      </c>
      <c r="S777" t="s">
        <v>4150</v>
      </c>
      <c r="V777" t="s">
        <v>87</v>
      </c>
      <c r="X777" t="s">
        <v>2117</v>
      </c>
    </row>
    <row r="778" spans="1:24" ht="12.75">
      <c r="A778" s="1" t="str">
        <f>HYPERLINK("http://www.ofsted.gov.uk/inspection-reports/find-inspection-report/provider/ELS/130579","Ofsted FES Webpage")</f>
        <v>Ofsted FES Webpage</v>
      </c>
      <c r="B778" t="s">
        <v>992</v>
      </c>
      <c r="C778">
        <v>130579</v>
      </c>
      <c r="D778">
        <v>106689</v>
      </c>
      <c r="E778" t="s">
        <v>236</v>
      </c>
      <c r="F778" t="s">
        <v>26</v>
      </c>
      <c r="G778" t="s">
        <v>849</v>
      </c>
      <c r="H778" s="2">
        <v>39617</v>
      </c>
      <c r="I778" s="2">
        <v>39617</v>
      </c>
      <c r="J778" t="s">
        <v>154</v>
      </c>
      <c r="K778" s="2">
        <v>39633.135621064815</v>
      </c>
      <c r="L778" t="s">
        <v>993</v>
      </c>
      <c r="M778">
        <v>330740</v>
      </c>
      <c r="N778">
        <v>3</v>
      </c>
      <c r="O778">
        <v>3</v>
      </c>
      <c r="P778">
        <v>1</v>
      </c>
      <c r="Q778">
        <v>1</v>
      </c>
      <c r="R778">
        <v>25078</v>
      </c>
      <c r="S778" t="s">
        <v>4151</v>
      </c>
      <c r="T778" t="s">
        <v>3065</v>
      </c>
      <c r="V778" t="s">
        <v>4152</v>
      </c>
      <c r="X778" t="s">
        <v>2118</v>
      </c>
    </row>
    <row r="779" spans="1:24" ht="12.75">
      <c r="A779" s="1" t="str">
        <f>HYPERLINK("http://www.ofsted.gov.uk/inspection-reports/find-inspection-report/provider/ELS/130580","Ofsted FES Webpage")</f>
        <v>Ofsted FES Webpage</v>
      </c>
      <c r="B779" t="s">
        <v>994</v>
      </c>
      <c r="C779">
        <v>130580</v>
      </c>
      <c r="D779">
        <v>108321</v>
      </c>
      <c r="E779" t="s">
        <v>236</v>
      </c>
      <c r="F779" t="s">
        <v>26</v>
      </c>
      <c r="G779" t="s">
        <v>862</v>
      </c>
      <c r="H779" s="2">
        <v>41555</v>
      </c>
      <c r="I779" s="2">
        <v>41558</v>
      </c>
      <c r="J779" t="s">
        <v>27</v>
      </c>
      <c r="K779" s="2">
        <v>41600.13546724537</v>
      </c>
      <c r="L779" t="s">
        <v>875</v>
      </c>
      <c r="M779">
        <v>423379</v>
      </c>
      <c r="N779">
        <v>3</v>
      </c>
      <c r="O779">
        <v>3</v>
      </c>
      <c r="P779">
        <v>2</v>
      </c>
      <c r="Q779">
        <v>2</v>
      </c>
      <c r="R779">
        <v>1617</v>
      </c>
      <c r="S779" t="s">
        <v>4153</v>
      </c>
      <c r="V779" t="s">
        <v>4152</v>
      </c>
      <c r="X779" t="s">
        <v>2119</v>
      </c>
    </row>
    <row r="780" spans="1:24" ht="12.75">
      <c r="A780" s="1" t="str">
        <f>HYPERLINK("http://www.ofsted.gov.uk/inspection-reports/find-inspection-report/provider/ELS/130581","Ofsted FES Webpage")</f>
        <v>Ofsted FES Webpage</v>
      </c>
      <c r="B780" t="s">
        <v>995</v>
      </c>
      <c r="C780">
        <v>130581</v>
      </c>
      <c r="D780">
        <v>108373</v>
      </c>
      <c r="E780" t="s">
        <v>236</v>
      </c>
      <c r="F780" t="s">
        <v>26</v>
      </c>
      <c r="G780" t="s">
        <v>862</v>
      </c>
      <c r="H780" s="2">
        <v>41548</v>
      </c>
      <c r="I780" s="2">
        <v>41551</v>
      </c>
      <c r="J780" t="s">
        <v>27</v>
      </c>
      <c r="K780" s="2">
        <v>41584.135486770836</v>
      </c>
      <c r="L780" t="s">
        <v>875</v>
      </c>
      <c r="M780">
        <v>423380</v>
      </c>
      <c r="N780">
        <v>2</v>
      </c>
      <c r="O780">
        <v>2</v>
      </c>
      <c r="P780">
        <v>2</v>
      </c>
      <c r="Q780">
        <v>2</v>
      </c>
      <c r="R780">
        <v>1380</v>
      </c>
      <c r="S780" t="s">
        <v>4154</v>
      </c>
      <c r="V780" t="s">
        <v>2675</v>
      </c>
      <c r="X780" t="s">
        <v>2120</v>
      </c>
    </row>
    <row r="781" spans="1:24" ht="12.75">
      <c r="A781" s="1" t="str">
        <f>HYPERLINK("http://www.ofsted.gov.uk/inspection-reports/find-inspection-report/provider/ELS/130582","Ofsted FES Webpage")</f>
        <v>Ofsted FES Webpage</v>
      </c>
      <c r="B781" t="s">
        <v>996</v>
      </c>
      <c r="C781">
        <v>130582</v>
      </c>
      <c r="D781">
        <v>112380</v>
      </c>
      <c r="E781" t="s">
        <v>284</v>
      </c>
      <c r="F781" t="s">
        <v>26</v>
      </c>
      <c r="G781" t="s">
        <v>849</v>
      </c>
      <c r="H781" s="2">
        <v>40588</v>
      </c>
      <c r="I781" s="2">
        <v>40592</v>
      </c>
      <c r="J781" t="s">
        <v>56</v>
      </c>
      <c r="K781" s="2">
        <v>40627.13550077546</v>
      </c>
      <c r="L781" t="s">
        <v>858</v>
      </c>
      <c r="M781">
        <v>363298</v>
      </c>
      <c r="N781">
        <v>2</v>
      </c>
      <c r="O781">
        <v>1</v>
      </c>
      <c r="P781">
        <v>2</v>
      </c>
      <c r="Q781">
        <v>2</v>
      </c>
      <c r="R781">
        <v>4805</v>
      </c>
      <c r="S781" t="s">
        <v>4155</v>
      </c>
      <c r="V781" t="s">
        <v>2631</v>
      </c>
      <c r="X781" t="s">
        <v>2121</v>
      </c>
    </row>
    <row r="782" spans="1:24" ht="12.75">
      <c r="A782" s="1" t="str">
        <f>HYPERLINK("http://www.ofsted.gov.uk/inspection-reports/find-inspection-report/provider/ELS/130584","Ofsted FES Webpage")</f>
        <v>Ofsted FES Webpage</v>
      </c>
      <c r="B782" t="s">
        <v>997</v>
      </c>
      <c r="C782">
        <v>130584</v>
      </c>
      <c r="D782">
        <v>105582</v>
      </c>
      <c r="E782" t="s">
        <v>284</v>
      </c>
      <c r="F782" t="s">
        <v>26</v>
      </c>
      <c r="G782" t="s">
        <v>890</v>
      </c>
      <c r="H782" s="2">
        <v>41596</v>
      </c>
      <c r="I782" s="2">
        <v>41600</v>
      </c>
      <c r="J782" t="s">
        <v>27</v>
      </c>
      <c r="K782" s="2">
        <v>41631.13545717593</v>
      </c>
      <c r="L782" t="s">
        <v>850</v>
      </c>
      <c r="M782">
        <v>423370</v>
      </c>
      <c r="N782">
        <v>2</v>
      </c>
      <c r="O782">
        <v>1</v>
      </c>
      <c r="P782">
        <v>2</v>
      </c>
      <c r="Q782">
        <v>2</v>
      </c>
      <c r="R782">
        <v>2785</v>
      </c>
      <c r="S782" t="s">
        <v>2908</v>
      </c>
      <c r="T782" t="s">
        <v>4156</v>
      </c>
      <c r="V782" t="s">
        <v>2631</v>
      </c>
      <c r="X782" t="s">
        <v>2122</v>
      </c>
    </row>
    <row r="783" spans="1:24" ht="12.75">
      <c r="A783" s="1" t="str">
        <f>HYPERLINK("http://www.ofsted.gov.uk/inspection-reports/find-inspection-report/provider/ELS/130585","Ofsted FES Webpage")</f>
        <v>Ofsted FES Webpage</v>
      </c>
      <c r="B783" t="s">
        <v>998</v>
      </c>
      <c r="C783">
        <v>130585</v>
      </c>
      <c r="D783">
        <v>107632</v>
      </c>
      <c r="E783" t="s">
        <v>489</v>
      </c>
      <c r="F783" t="s">
        <v>26</v>
      </c>
      <c r="G783" t="s">
        <v>849</v>
      </c>
      <c r="H783" s="2">
        <v>41596</v>
      </c>
      <c r="I783" s="2">
        <v>41600</v>
      </c>
      <c r="J783" t="s">
        <v>27</v>
      </c>
      <c r="K783" s="2">
        <v>41635.135453125</v>
      </c>
      <c r="L783" t="s">
        <v>850</v>
      </c>
      <c r="M783">
        <v>423352</v>
      </c>
      <c r="N783">
        <v>2</v>
      </c>
      <c r="O783">
        <v>2</v>
      </c>
      <c r="P783">
        <v>2</v>
      </c>
      <c r="Q783">
        <v>2</v>
      </c>
      <c r="R783">
        <v>15184</v>
      </c>
      <c r="S783" t="s">
        <v>4157</v>
      </c>
      <c r="V783" t="s">
        <v>2467</v>
      </c>
      <c r="W783" t="s">
        <v>489</v>
      </c>
      <c r="X783" t="s">
        <v>2123</v>
      </c>
    </row>
    <row r="784" spans="1:24" ht="12.75">
      <c r="A784" s="1" t="str">
        <f>HYPERLINK("http://www.ofsted.gov.uk/inspection-reports/find-inspection-report/provider/ELS/130586","Ofsted FES Webpage")</f>
        <v>Ofsted FES Webpage</v>
      </c>
      <c r="B784" t="s">
        <v>999</v>
      </c>
      <c r="C784">
        <v>130586</v>
      </c>
      <c r="D784">
        <v>108335</v>
      </c>
      <c r="E784" t="s">
        <v>489</v>
      </c>
      <c r="F784" t="s">
        <v>26</v>
      </c>
      <c r="G784" t="s">
        <v>862</v>
      </c>
      <c r="H784" s="2">
        <v>41387</v>
      </c>
      <c r="I784" s="2">
        <v>41390</v>
      </c>
      <c r="J784" t="s">
        <v>32</v>
      </c>
      <c r="K784" s="2">
        <v>41417.13545787037</v>
      </c>
      <c r="L784" t="s">
        <v>887</v>
      </c>
      <c r="M784">
        <v>397440</v>
      </c>
      <c r="N784">
        <v>2</v>
      </c>
      <c r="O784">
        <v>2</v>
      </c>
      <c r="P784">
        <v>4</v>
      </c>
      <c r="Q784">
        <v>4</v>
      </c>
      <c r="R784">
        <v>2302</v>
      </c>
      <c r="S784" t="s">
        <v>4158</v>
      </c>
      <c r="V784" t="s">
        <v>2467</v>
      </c>
      <c r="W784" t="s">
        <v>234</v>
      </c>
      <c r="X784" t="s">
        <v>2124</v>
      </c>
    </row>
    <row r="785" spans="1:24" ht="12.75">
      <c r="A785" s="1" t="str">
        <f>HYPERLINK("http://www.ofsted.gov.uk/inspection-reports/find-inspection-report/provider/ELS/130587","Ofsted FES Webpage")</f>
        <v>Ofsted FES Webpage</v>
      </c>
      <c r="B785" t="s">
        <v>1000</v>
      </c>
      <c r="C785">
        <v>130587</v>
      </c>
      <c r="D785">
        <v>106706</v>
      </c>
      <c r="E785" t="s">
        <v>492</v>
      </c>
      <c r="F785" t="s">
        <v>26</v>
      </c>
      <c r="G785" t="s">
        <v>849</v>
      </c>
      <c r="H785" s="2">
        <v>41771</v>
      </c>
      <c r="I785" s="2">
        <v>41775</v>
      </c>
      <c r="J785" t="s">
        <v>27</v>
      </c>
      <c r="K785" s="2">
        <v>41810.13547207176</v>
      </c>
      <c r="L785" t="s">
        <v>850</v>
      </c>
      <c r="M785">
        <v>434081</v>
      </c>
      <c r="N785">
        <v>2</v>
      </c>
      <c r="O785">
        <v>1</v>
      </c>
      <c r="P785">
        <v>1</v>
      </c>
      <c r="Q785">
        <v>1</v>
      </c>
      <c r="R785">
        <v>4683</v>
      </c>
      <c r="S785" t="s">
        <v>2597</v>
      </c>
      <c r="V785" t="s">
        <v>2508</v>
      </c>
      <c r="W785" t="s">
        <v>234</v>
      </c>
      <c r="X785" t="s">
        <v>2125</v>
      </c>
    </row>
    <row r="786" spans="1:24" ht="12.75">
      <c r="A786" s="1" t="str">
        <f>HYPERLINK("http://www.ofsted.gov.uk/inspection-reports/find-inspection-report/provider/ELS/130588","Ofsted FES Webpage")</f>
        <v>Ofsted FES Webpage</v>
      </c>
      <c r="B786" t="s">
        <v>1001</v>
      </c>
      <c r="C786">
        <v>130588</v>
      </c>
      <c r="D786">
        <v>108415</v>
      </c>
      <c r="E786" t="s">
        <v>492</v>
      </c>
      <c r="F786" t="s">
        <v>26</v>
      </c>
      <c r="G786" t="s">
        <v>862</v>
      </c>
      <c r="H786" s="2">
        <v>41723</v>
      </c>
      <c r="I786" s="2">
        <v>41726</v>
      </c>
      <c r="J786" t="s">
        <v>27</v>
      </c>
      <c r="K786" s="2">
        <v>41761.13548287037</v>
      </c>
      <c r="L786" t="s">
        <v>897</v>
      </c>
      <c r="M786">
        <v>429291</v>
      </c>
      <c r="N786">
        <v>2</v>
      </c>
      <c r="O786">
        <v>2</v>
      </c>
      <c r="P786">
        <v>3</v>
      </c>
      <c r="Q786">
        <v>2</v>
      </c>
      <c r="R786">
        <v>1784</v>
      </c>
      <c r="S786" t="s">
        <v>4159</v>
      </c>
      <c r="V786" t="s">
        <v>2508</v>
      </c>
      <c r="W786" t="s">
        <v>234</v>
      </c>
      <c r="X786" t="s">
        <v>2126</v>
      </c>
    </row>
    <row r="787" spans="1:24" ht="12.75">
      <c r="A787" s="1" t="str">
        <f>HYPERLINK("http://www.ofsted.gov.uk/inspection-reports/find-inspection-report/provider/ELS/130591","Ofsted FES Webpage")</f>
        <v>Ofsted FES Webpage</v>
      </c>
      <c r="B787" t="s">
        <v>1002</v>
      </c>
      <c r="C787">
        <v>130591</v>
      </c>
      <c r="D787">
        <v>107552</v>
      </c>
      <c r="E787" t="s">
        <v>120</v>
      </c>
      <c r="F787" t="s">
        <v>26</v>
      </c>
      <c r="G787" t="s">
        <v>849</v>
      </c>
      <c r="H787" s="2">
        <v>40462</v>
      </c>
      <c r="I787" s="2">
        <v>40466</v>
      </c>
      <c r="J787" t="s">
        <v>56</v>
      </c>
      <c r="K787" s="2">
        <v>40501.135447685185</v>
      </c>
      <c r="L787" t="s">
        <v>858</v>
      </c>
      <c r="M787">
        <v>354443</v>
      </c>
      <c r="N787">
        <v>2</v>
      </c>
      <c r="O787">
        <v>2</v>
      </c>
      <c r="P787">
        <v>2</v>
      </c>
      <c r="Q787">
        <v>2</v>
      </c>
      <c r="R787">
        <v>6155</v>
      </c>
      <c r="S787" t="s">
        <v>4160</v>
      </c>
      <c r="V787" t="s">
        <v>2828</v>
      </c>
      <c r="W787" t="s">
        <v>120</v>
      </c>
      <c r="X787" t="s">
        <v>2127</v>
      </c>
    </row>
    <row r="788" spans="1:24" ht="12.75">
      <c r="A788" s="1" t="str">
        <f>HYPERLINK("http://www.ofsted.gov.uk/inspection-reports/find-inspection-report/provider/ELS/130592","Ofsted FES Webpage")</f>
        <v>Ofsted FES Webpage</v>
      </c>
      <c r="B788" t="s">
        <v>1003</v>
      </c>
      <c r="C788">
        <v>130592</v>
      </c>
      <c r="D788">
        <v>105583</v>
      </c>
      <c r="E788" t="s">
        <v>120</v>
      </c>
      <c r="F788" t="s">
        <v>26</v>
      </c>
      <c r="G788" t="s">
        <v>849</v>
      </c>
      <c r="H788" s="2">
        <v>39356</v>
      </c>
      <c r="I788" s="2">
        <v>39360</v>
      </c>
      <c r="J788" t="s">
        <v>154</v>
      </c>
      <c r="K788" s="2">
        <v>39409.13552920139</v>
      </c>
      <c r="L788" t="s">
        <v>858</v>
      </c>
      <c r="M788">
        <v>316656</v>
      </c>
      <c r="N788">
        <v>1</v>
      </c>
      <c r="O788">
        <v>1</v>
      </c>
      <c r="P788" t="s">
        <v>20</v>
      </c>
      <c r="Q788" t="s">
        <v>20</v>
      </c>
      <c r="R788">
        <v>3995</v>
      </c>
      <c r="S788" t="s">
        <v>4161</v>
      </c>
      <c r="V788" t="s">
        <v>3744</v>
      </c>
      <c r="W788" t="s">
        <v>120</v>
      </c>
      <c r="X788" t="s">
        <v>2128</v>
      </c>
    </row>
    <row r="789" spans="1:24" ht="12.75">
      <c r="A789" s="1" t="str">
        <f>HYPERLINK("http://www.ofsted.gov.uk/inspection-reports/find-inspection-report/provider/ELS/130593","Ofsted FES Webpage")</f>
        <v>Ofsted FES Webpage</v>
      </c>
      <c r="B789" t="s">
        <v>1004</v>
      </c>
      <c r="C789">
        <v>130593</v>
      </c>
      <c r="D789">
        <v>108396</v>
      </c>
      <c r="E789" t="s">
        <v>120</v>
      </c>
      <c r="F789" t="s">
        <v>26</v>
      </c>
      <c r="G789" t="s">
        <v>862</v>
      </c>
      <c r="H789" s="2">
        <v>40666</v>
      </c>
      <c r="I789" s="2">
        <v>40669</v>
      </c>
      <c r="J789" t="s">
        <v>56</v>
      </c>
      <c r="K789" s="2">
        <v>40704.13545335648</v>
      </c>
      <c r="L789" t="s">
        <v>863</v>
      </c>
      <c r="M789">
        <v>365908</v>
      </c>
      <c r="N789">
        <v>2</v>
      </c>
      <c r="O789">
        <v>3</v>
      </c>
      <c r="P789">
        <v>2</v>
      </c>
      <c r="Q789">
        <v>3</v>
      </c>
      <c r="R789">
        <v>1231</v>
      </c>
      <c r="S789" t="s">
        <v>4162</v>
      </c>
      <c r="V789" t="s">
        <v>3493</v>
      </c>
      <c r="W789" t="s">
        <v>120</v>
      </c>
      <c r="X789" t="s">
        <v>2129</v>
      </c>
    </row>
    <row r="790" spans="1:24" ht="12.75">
      <c r="A790" s="1" t="str">
        <f>HYPERLINK("http://www.ofsted.gov.uk/inspection-reports/find-inspection-report/provider/ELS/130594","Ofsted FES Webpage")</f>
        <v>Ofsted FES Webpage</v>
      </c>
      <c r="B790" t="s">
        <v>1005</v>
      </c>
      <c r="C790">
        <v>130594</v>
      </c>
      <c r="D790">
        <v>107575</v>
      </c>
      <c r="E790" t="s">
        <v>686</v>
      </c>
      <c r="F790" t="s">
        <v>26</v>
      </c>
      <c r="G790" t="s">
        <v>849</v>
      </c>
      <c r="H790" s="2">
        <v>41617</v>
      </c>
      <c r="I790" s="2">
        <v>41621</v>
      </c>
      <c r="J790" t="s">
        <v>27</v>
      </c>
      <c r="K790" s="2">
        <v>41659.135463969906</v>
      </c>
      <c r="L790" t="s">
        <v>850</v>
      </c>
      <c r="M790">
        <v>423353</v>
      </c>
      <c r="N790">
        <v>1</v>
      </c>
      <c r="O790">
        <v>1</v>
      </c>
      <c r="P790">
        <v>2</v>
      </c>
      <c r="Q790">
        <v>2</v>
      </c>
      <c r="R790">
        <v>7028</v>
      </c>
      <c r="S790" t="s">
        <v>4163</v>
      </c>
      <c r="V790" t="s">
        <v>686</v>
      </c>
      <c r="W790" t="s">
        <v>120</v>
      </c>
      <c r="X790" t="s">
        <v>2130</v>
      </c>
    </row>
    <row r="791" spans="1:24" ht="12.75">
      <c r="A791" s="1" t="str">
        <f>HYPERLINK("http://www.ofsted.gov.uk/inspection-reports/find-inspection-report/provider/ELS/130595","Ofsted FES Webpage")</f>
        <v>Ofsted FES Webpage</v>
      </c>
      <c r="B791" t="s">
        <v>1006</v>
      </c>
      <c r="C791">
        <v>130595</v>
      </c>
      <c r="D791">
        <v>105948</v>
      </c>
      <c r="E791" t="s">
        <v>686</v>
      </c>
      <c r="F791" t="s">
        <v>26</v>
      </c>
      <c r="G791" t="s">
        <v>890</v>
      </c>
      <c r="H791" s="2">
        <v>40882</v>
      </c>
      <c r="I791" s="2">
        <v>40886</v>
      </c>
      <c r="J791" t="s">
        <v>23</v>
      </c>
      <c r="K791" s="2">
        <v>40926.13545540509</v>
      </c>
      <c r="L791" t="s">
        <v>851</v>
      </c>
      <c r="M791">
        <v>376133</v>
      </c>
      <c r="N791">
        <v>2</v>
      </c>
      <c r="O791">
        <v>2</v>
      </c>
      <c r="P791">
        <v>3</v>
      </c>
      <c r="Q791">
        <v>3</v>
      </c>
      <c r="R791">
        <v>4105</v>
      </c>
      <c r="S791" t="s">
        <v>4164</v>
      </c>
      <c r="V791" t="s">
        <v>686</v>
      </c>
      <c r="W791" t="s">
        <v>120</v>
      </c>
      <c r="X791" t="s">
        <v>2131</v>
      </c>
    </row>
    <row r="792" spans="1:24" ht="12.75">
      <c r="A792" s="1" t="str">
        <f>HYPERLINK("http://www.ofsted.gov.uk/inspection-reports/find-inspection-report/provider/ELS/130597","Ofsted FES Webpage")</f>
        <v>Ofsted FES Webpage</v>
      </c>
      <c r="B792" t="s">
        <v>1007</v>
      </c>
      <c r="C792">
        <v>130597</v>
      </c>
      <c r="D792">
        <v>106319</v>
      </c>
      <c r="E792" t="s">
        <v>401</v>
      </c>
      <c r="F792" t="s">
        <v>39</v>
      </c>
      <c r="G792" t="s">
        <v>849</v>
      </c>
      <c r="H792" s="2">
        <v>41715</v>
      </c>
      <c r="I792" s="2">
        <v>41719</v>
      </c>
      <c r="J792" t="s">
        <v>27</v>
      </c>
      <c r="K792" s="2">
        <v>41758.13557893519</v>
      </c>
      <c r="L792" t="s">
        <v>850</v>
      </c>
      <c r="M792">
        <v>429153</v>
      </c>
      <c r="N792">
        <v>2</v>
      </c>
      <c r="O792">
        <v>2</v>
      </c>
      <c r="P792">
        <v>1</v>
      </c>
      <c r="Q792">
        <v>1</v>
      </c>
      <c r="R792">
        <v>12020</v>
      </c>
      <c r="S792" t="s">
        <v>2668</v>
      </c>
      <c r="V792" t="s">
        <v>401</v>
      </c>
      <c r="W792" t="s">
        <v>3252</v>
      </c>
      <c r="X792" t="s">
        <v>2132</v>
      </c>
    </row>
    <row r="793" spans="1:24" ht="12.75">
      <c r="A793" s="1" t="str">
        <f>HYPERLINK("http://www.ofsted.gov.uk/inspection-reports/find-inspection-report/provider/ELS/130598","Ofsted FES Webpage")</f>
        <v>Ofsted FES Webpage</v>
      </c>
      <c r="B793" t="s">
        <v>1008</v>
      </c>
      <c r="C793">
        <v>130598</v>
      </c>
      <c r="D793">
        <v>105017</v>
      </c>
      <c r="E793" t="s">
        <v>286</v>
      </c>
      <c r="F793" t="s">
        <v>39</v>
      </c>
      <c r="G793" t="s">
        <v>849</v>
      </c>
      <c r="H793" s="2">
        <v>41561</v>
      </c>
      <c r="I793" s="2">
        <v>41565</v>
      </c>
      <c r="J793" t="s">
        <v>27</v>
      </c>
      <c r="K793" s="2">
        <v>41597.13545787037</v>
      </c>
      <c r="L793" t="s">
        <v>850</v>
      </c>
      <c r="M793">
        <v>423354</v>
      </c>
      <c r="N793">
        <v>2</v>
      </c>
      <c r="O793">
        <v>2</v>
      </c>
      <c r="P793">
        <v>3</v>
      </c>
      <c r="Q793">
        <v>3</v>
      </c>
      <c r="R793">
        <v>4583</v>
      </c>
      <c r="S793" t="s">
        <v>2597</v>
      </c>
      <c r="V793" t="s">
        <v>2667</v>
      </c>
      <c r="W793" t="s">
        <v>3252</v>
      </c>
      <c r="X793" t="s">
        <v>1868</v>
      </c>
    </row>
    <row r="794" spans="1:24" ht="12.75">
      <c r="A794" s="1" t="str">
        <f>HYPERLINK("http://www.ofsted.gov.uk/inspection-reports/find-inspection-report/provider/ELS/130599","Ofsted FES Webpage")</f>
        <v>Ofsted FES Webpage</v>
      </c>
      <c r="B794" t="s">
        <v>1009</v>
      </c>
      <c r="C794">
        <v>130599</v>
      </c>
      <c r="D794">
        <v>105000</v>
      </c>
      <c r="E794" t="s">
        <v>444</v>
      </c>
      <c r="F794" t="s">
        <v>39</v>
      </c>
      <c r="G794" t="s">
        <v>849</v>
      </c>
      <c r="H794" s="2">
        <v>41022</v>
      </c>
      <c r="I794" s="2">
        <v>41026</v>
      </c>
      <c r="J794" t="s">
        <v>23</v>
      </c>
      <c r="K794" s="2">
        <v>41066.135483530095</v>
      </c>
      <c r="L794" t="s">
        <v>858</v>
      </c>
      <c r="M794">
        <v>388000</v>
      </c>
      <c r="N794">
        <v>3</v>
      </c>
      <c r="O794">
        <v>3</v>
      </c>
      <c r="P794">
        <v>1</v>
      </c>
      <c r="Q794">
        <v>1</v>
      </c>
      <c r="R794">
        <v>9752</v>
      </c>
      <c r="S794" t="s">
        <v>4165</v>
      </c>
      <c r="V794" t="s">
        <v>444</v>
      </c>
      <c r="W794" t="s">
        <v>3252</v>
      </c>
      <c r="X794" t="s">
        <v>2133</v>
      </c>
    </row>
    <row r="795" spans="1:24" ht="12.75">
      <c r="A795" s="1" t="str">
        <f>HYPERLINK("http://www.ofsted.gov.uk/inspection-reports/find-inspection-report/provider/ELS/130600","Ofsted FES Webpage")</f>
        <v>Ofsted FES Webpage</v>
      </c>
      <c r="B795" t="s">
        <v>1010</v>
      </c>
      <c r="C795">
        <v>130600</v>
      </c>
      <c r="D795">
        <v>108410</v>
      </c>
      <c r="E795" t="s">
        <v>444</v>
      </c>
      <c r="F795" t="s">
        <v>39</v>
      </c>
      <c r="G795" t="s">
        <v>862</v>
      </c>
      <c r="H795" s="2">
        <v>39742</v>
      </c>
      <c r="I795" s="2">
        <v>39743</v>
      </c>
      <c r="J795" t="s">
        <v>44</v>
      </c>
      <c r="K795" s="2">
        <v>39794.13561605324</v>
      </c>
      <c r="L795" t="s">
        <v>876</v>
      </c>
      <c r="M795">
        <v>329375</v>
      </c>
      <c r="N795">
        <v>1</v>
      </c>
      <c r="O795">
        <v>1</v>
      </c>
      <c r="P795" t="s">
        <v>20</v>
      </c>
      <c r="Q795" t="s">
        <v>20</v>
      </c>
      <c r="R795">
        <v>2594</v>
      </c>
      <c r="S795" t="s">
        <v>4166</v>
      </c>
      <c r="V795" t="s">
        <v>444</v>
      </c>
      <c r="W795" t="s">
        <v>3252</v>
      </c>
      <c r="X795" t="s">
        <v>2134</v>
      </c>
    </row>
    <row r="796" spans="1:24" ht="12.75">
      <c r="A796" s="1" t="str">
        <f>HYPERLINK("http://www.ofsted.gov.uk/inspection-reports/find-inspection-report/provider/ELS/130602","Ofsted FES Webpage")</f>
        <v>Ofsted FES Webpage</v>
      </c>
      <c r="B796" t="s">
        <v>1011</v>
      </c>
      <c r="C796">
        <v>130602</v>
      </c>
      <c r="D796">
        <v>110221</v>
      </c>
      <c r="E796" t="s">
        <v>159</v>
      </c>
      <c r="F796" t="s">
        <v>43</v>
      </c>
      <c r="G796" t="s">
        <v>849</v>
      </c>
      <c r="H796" s="2">
        <v>40126</v>
      </c>
      <c r="I796" s="2">
        <v>40130</v>
      </c>
      <c r="J796" t="s">
        <v>18</v>
      </c>
      <c r="K796" s="2">
        <v>40183.135501585646</v>
      </c>
      <c r="L796" t="s">
        <v>851</v>
      </c>
      <c r="M796">
        <v>342293</v>
      </c>
      <c r="N796">
        <v>2</v>
      </c>
      <c r="O796">
        <v>2</v>
      </c>
      <c r="P796">
        <v>3</v>
      </c>
      <c r="Q796">
        <v>3</v>
      </c>
      <c r="R796">
        <v>2747</v>
      </c>
      <c r="S796" t="s">
        <v>4167</v>
      </c>
      <c r="V796" t="s">
        <v>2729</v>
      </c>
      <c r="W796" t="s">
        <v>3047</v>
      </c>
      <c r="X796" t="s">
        <v>2135</v>
      </c>
    </row>
    <row r="797" spans="1:24" ht="12.75">
      <c r="A797" s="1" t="str">
        <f>HYPERLINK("http://www.ofsted.gov.uk/inspection-reports/find-inspection-report/provider/ELS/130603","Ofsted FES Webpage")</f>
        <v>Ofsted FES Webpage</v>
      </c>
      <c r="B797" t="s">
        <v>1012</v>
      </c>
      <c r="C797">
        <v>130603</v>
      </c>
      <c r="D797">
        <v>105024</v>
      </c>
      <c r="E797" t="s">
        <v>192</v>
      </c>
      <c r="F797" t="s">
        <v>43</v>
      </c>
      <c r="G797" t="s">
        <v>849</v>
      </c>
      <c r="H797" s="2">
        <v>41604</v>
      </c>
      <c r="I797" s="2">
        <v>41607</v>
      </c>
      <c r="J797" t="s">
        <v>27</v>
      </c>
      <c r="K797" s="2">
        <v>41647.135524537036</v>
      </c>
      <c r="L797" t="s">
        <v>850</v>
      </c>
      <c r="M797">
        <v>423355</v>
      </c>
      <c r="N797">
        <v>2</v>
      </c>
      <c r="O797">
        <v>2</v>
      </c>
      <c r="P797">
        <v>3</v>
      </c>
      <c r="Q797">
        <v>3</v>
      </c>
      <c r="R797">
        <v>6010</v>
      </c>
      <c r="S797" t="s">
        <v>2483</v>
      </c>
      <c r="V797" t="s">
        <v>2686</v>
      </c>
      <c r="W797" t="s">
        <v>3047</v>
      </c>
      <c r="X797" t="s">
        <v>2136</v>
      </c>
    </row>
    <row r="798" spans="1:24" ht="12.75">
      <c r="A798" s="1" t="str">
        <f>HYPERLINK("http://www.ofsted.gov.uk/inspection-reports/find-inspection-report/provider/ELS/130604","Ofsted FES Webpage")</f>
        <v>Ofsted FES Webpage</v>
      </c>
      <c r="B798" t="s">
        <v>1013</v>
      </c>
      <c r="C798">
        <v>130604</v>
      </c>
      <c r="D798">
        <v>107745</v>
      </c>
      <c r="E798" t="s">
        <v>539</v>
      </c>
      <c r="F798" t="s">
        <v>43</v>
      </c>
      <c r="G798" t="s">
        <v>849</v>
      </c>
      <c r="H798" s="2">
        <v>41330</v>
      </c>
      <c r="I798" s="2">
        <v>41334</v>
      </c>
      <c r="J798" t="s">
        <v>32</v>
      </c>
      <c r="K798" s="2">
        <v>41373.13553533565</v>
      </c>
      <c r="L798" t="s">
        <v>850</v>
      </c>
      <c r="M798">
        <v>409315</v>
      </c>
      <c r="N798">
        <v>2</v>
      </c>
      <c r="O798">
        <v>2</v>
      </c>
      <c r="P798">
        <v>2</v>
      </c>
      <c r="Q798">
        <v>2</v>
      </c>
      <c r="R798">
        <v>7432</v>
      </c>
      <c r="S798" t="s">
        <v>2560</v>
      </c>
      <c r="T798" t="s">
        <v>4168</v>
      </c>
      <c r="V798" t="s">
        <v>539</v>
      </c>
      <c r="W798" t="s">
        <v>3047</v>
      </c>
      <c r="X798" t="s">
        <v>2137</v>
      </c>
    </row>
    <row r="799" spans="1:24" ht="12.75">
      <c r="A799" s="1" t="str">
        <f>HYPERLINK("http://www.ofsted.gov.uk/inspection-reports/find-inspection-report/provider/ELS/130606","Ofsted FES Webpage")</f>
        <v>Ofsted FES Webpage</v>
      </c>
      <c r="B799" t="s">
        <v>1014</v>
      </c>
      <c r="C799">
        <v>130606</v>
      </c>
      <c r="D799">
        <v>105023</v>
      </c>
      <c r="E799" t="s">
        <v>1015</v>
      </c>
      <c r="F799" t="s">
        <v>43</v>
      </c>
      <c r="G799" t="s">
        <v>890</v>
      </c>
      <c r="H799" s="2">
        <v>41702</v>
      </c>
      <c r="I799" s="2">
        <v>41705</v>
      </c>
      <c r="J799" t="s">
        <v>27</v>
      </c>
      <c r="K799" s="2">
        <v>41731.13545616898</v>
      </c>
      <c r="L799" t="s">
        <v>850</v>
      </c>
      <c r="M799">
        <v>423371</v>
      </c>
      <c r="N799">
        <v>3</v>
      </c>
      <c r="O799">
        <v>3</v>
      </c>
      <c r="P799">
        <v>2</v>
      </c>
      <c r="Q799">
        <v>2</v>
      </c>
      <c r="R799">
        <v>1795</v>
      </c>
      <c r="S799" t="s">
        <v>4169</v>
      </c>
      <c r="T799" t="s">
        <v>4170</v>
      </c>
      <c r="V799" t="s">
        <v>3468</v>
      </c>
      <c r="W799" t="s">
        <v>3047</v>
      </c>
      <c r="X799" t="s">
        <v>1872</v>
      </c>
    </row>
    <row r="800" spans="1:24" ht="12.75">
      <c r="A800" s="1" t="str">
        <f>HYPERLINK("http://www.ofsted.gov.uk/inspection-reports/find-inspection-report/provider/ELS/130607","Ofsted FES Webpage")</f>
        <v>Ofsted FES Webpage</v>
      </c>
      <c r="B800" t="s">
        <v>1016</v>
      </c>
      <c r="C800">
        <v>130607</v>
      </c>
      <c r="D800">
        <v>108983</v>
      </c>
      <c r="E800" t="s">
        <v>42</v>
      </c>
      <c r="F800" t="s">
        <v>43</v>
      </c>
      <c r="G800" t="s">
        <v>849</v>
      </c>
      <c r="H800" s="2">
        <v>41407</v>
      </c>
      <c r="I800" s="2">
        <v>41411</v>
      </c>
      <c r="J800" t="s">
        <v>32</v>
      </c>
      <c r="K800" s="2">
        <v>41449.13549826389</v>
      </c>
      <c r="L800" t="s">
        <v>850</v>
      </c>
      <c r="M800">
        <v>410606</v>
      </c>
      <c r="N800">
        <v>2</v>
      </c>
      <c r="O800">
        <v>2</v>
      </c>
      <c r="P800">
        <v>3</v>
      </c>
      <c r="Q800">
        <v>2</v>
      </c>
      <c r="R800">
        <v>4634</v>
      </c>
      <c r="S800" t="s">
        <v>3693</v>
      </c>
      <c r="V800" t="s">
        <v>2427</v>
      </c>
      <c r="W800" t="s">
        <v>42</v>
      </c>
      <c r="X800" t="s">
        <v>2138</v>
      </c>
    </row>
    <row r="801" spans="1:24" ht="12.75">
      <c r="A801" s="1" t="str">
        <f>HYPERLINK("http://www.ofsted.gov.uk/inspection-reports/find-inspection-report/provider/ELS/130608","Ofsted FES Webpage")</f>
        <v>Ofsted FES Webpage</v>
      </c>
      <c r="B801" t="s">
        <v>1017</v>
      </c>
      <c r="C801">
        <v>130608</v>
      </c>
      <c r="D801">
        <v>105019</v>
      </c>
      <c r="E801" t="s">
        <v>42</v>
      </c>
      <c r="F801" t="s">
        <v>43</v>
      </c>
      <c r="G801" t="s">
        <v>849</v>
      </c>
      <c r="H801" s="2">
        <v>41428</v>
      </c>
      <c r="I801" s="2">
        <v>41432</v>
      </c>
      <c r="J801" t="s">
        <v>32</v>
      </c>
      <c r="K801" s="2">
        <v>41467.1355996875</v>
      </c>
      <c r="L801" t="s">
        <v>850</v>
      </c>
      <c r="M801">
        <v>409443</v>
      </c>
      <c r="N801">
        <v>3</v>
      </c>
      <c r="O801">
        <v>3</v>
      </c>
      <c r="P801">
        <v>3</v>
      </c>
      <c r="Q801">
        <v>3</v>
      </c>
      <c r="R801">
        <v>3765</v>
      </c>
      <c r="S801" t="s">
        <v>4171</v>
      </c>
      <c r="V801" t="s">
        <v>4172</v>
      </c>
      <c r="W801" t="s">
        <v>42</v>
      </c>
      <c r="X801" t="s">
        <v>2139</v>
      </c>
    </row>
    <row r="802" spans="1:24" ht="12.75">
      <c r="A802" s="1" t="str">
        <f>HYPERLINK("http://www.ofsted.gov.uk/inspection-reports/find-inspection-report/provider/ELS/130609","Ofsted FES Webpage")</f>
        <v>Ofsted FES Webpage</v>
      </c>
      <c r="B802" t="s">
        <v>1018</v>
      </c>
      <c r="C802">
        <v>130609</v>
      </c>
      <c r="D802">
        <v>108653</v>
      </c>
      <c r="E802" t="s">
        <v>82</v>
      </c>
      <c r="F802" t="s">
        <v>43</v>
      </c>
      <c r="G802" t="s">
        <v>849</v>
      </c>
      <c r="H802" s="2">
        <v>41694</v>
      </c>
      <c r="I802" s="2">
        <v>41698</v>
      </c>
      <c r="J802" t="s">
        <v>27</v>
      </c>
      <c r="K802" s="2">
        <v>41733.13549209491</v>
      </c>
      <c r="L802" t="s">
        <v>850</v>
      </c>
      <c r="M802">
        <v>429166</v>
      </c>
      <c r="N802">
        <v>3</v>
      </c>
      <c r="O802">
        <v>3</v>
      </c>
      <c r="P802">
        <v>3</v>
      </c>
      <c r="Q802">
        <v>3</v>
      </c>
      <c r="R802">
        <v>33845</v>
      </c>
      <c r="S802" t="s">
        <v>4173</v>
      </c>
      <c r="T802" t="s">
        <v>4174</v>
      </c>
      <c r="U802" t="s">
        <v>4175</v>
      </c>
      <c r="V802" t="s">
        <v>82</v>
      </c>
      <c r="W802" t="s">
        <v>42</v>
      </c>
      <c r="X802" t="s">
        <v>2140</v>
      </c>
    </row>
    <row r="803" spans="1:24" ht="12.75">
      <c r="A803" s="1" t="str">
        <f>HYPERLINK("http://www.ofsted.gov.uk/inspection-reports/find-inspection-report/provider/ELS/130610","Ofsted FES Webpage")</f>
        <v>Ofsted FES Webpage</v>
      </c>
      <c r="B803" t="s">
        <v>1019</v>
      </c>
      <c r="C803">
        <v>130610</v>
      </c>
      <c r="D803">
        <v>108527</v>
      </c>
      <c r="E803" t="s">
        <v>205</v>
      </c>
      <c r="F803" t="s">
        <v>39</v>
      </c>
      <c r="G803" t="s">
        <v>849</v>
      </c>
      <c r="H803" s="2">
        <v>41204</v>
      </c>
      <c r="I803" s="2">
        <v>41208</v>
      </c>
      <c r="J803" t="s">
        <v>32</v>
      </c>
      <c r="K803" s="2">
        <v>41243.13549710648</v>
      </c>
      <c r="L803" t="s">
        <v>850</v>
      </c>
      <c r="M803">
        <v>398995</v>
      </c>
      <c r="N803">
        <v>2</v>
      </c>
      <c r="O803">
        <v>2</v>
      </c>
      <c r="P803">
        <v>2</v>
      </c>
      <c r="Q803">
        <v>2</v>
      </c>
      <c r="R803">
        <v>15916</v>
      </c>
      <c r="S803" t="s">
        <v>4176</v>
      </c>
      <c r="T803" t="s">
        <v>4177</v>
      </c>
      <c r="V803" t="s">
        <v>2362</v>
      </c>
      <c r="W803" t="s">
        <v>205</v>
      </c>
      <c r="X803" t="s">
        <v>2141</v>
      </c>
    </row>
    <row r="804" spans="1:24" ht="12.75">
      <c r="A804" s="1" t="str">
        <f>HYPERLINK("http://www.ofsted.gov.uk/inspection-reports/find-inspection-report/provider/ELS/130612","Ofsted FES Webpage")</f>
        <v>Ofsted FES Webpage</v>
      </c>
      <c r="B804" t="s">
        <v>1020</v>
      </c>
      <c r="C804">
        <v>130612</v>
      </c>
      <c r="D804">
        <v>106402</v>
      </c>
      <c r="E804" t="s">
        <v>205</v>
      </c>
      <c r="F804" t="s">
        <v>39</v>
      </c>
      <c r="G804" t="s">
        <v>849</v>
      </c>
      <c r="H804" s="2">
        <v>41429</v>
      </c>
      <c r="I804" s="2">
        <v>41432</v>
      </c>
      <c r="J804" t="s">
        <v>32</v>
      </c>
      <c r="K804" s="2">
        <v>41467.13558214121</v>
      </c>
      <c r="L804" t="s">
        <v>850</v>
      </c>
      <c r="M804">
        <v>409318</v>
      </c>
      <c r="N804">
        <v>3</v>
      </c>
      <c r="O804">
        <v>3</v>
      </c>
      <c r="P804">
        <v>3</v>
      </c>
      <c r="Q804">
        <v>3</v>
      </c>
      <c r="R804">
        <v>7364</v>
      </c>
      <c r="S804" t="s">
        <v>4178</v>
      </c>
      <c r="V804" t="s">
        <v>2806</v>
      </c>
      <c r="W804" t="s">
        <v>205</v>
      </c>
      <c r="X804" t="s">
        <v>2142</v>
      </c>
    </row>
    <row r="805" spans="1:24" ht="12.75">
      <c r="A805" s="1" t="str">
        <f>HYPERLINK("http://www.ofsted.gov.uk/inspection-reports/find-inspection-report/provider/ELS/130613","Ofsted FES Webpage")</f>
        <v>Ofsted FES Webpage</v>
      </c>
      <c r="B805" t="s">
        <v>1021</v>
      </c>
      <c r="C805">
        <v>130613</v>
      </c>
      <c r="D805">
        <v>106409</v>
      </c>
      <c r="E805" t="s">
        <v>518</v>
      </c>
      <c r="F805" t="s">
        <v>39</v>
      </c>
      <c r="G805" t="s">
        <v>849</v>
      </c>
      <c r="H805" s="2">
        <v>40889</v>
      </c>
      <c r="I805" s="2">
        <v>40893</v>
      </c>
      <c r="J805" t="s">
        <v>23</v>
      </c>
      <c r="K805" s="2">
        <v>40933.135459606485</v>
      </c>
      <c r="L805" t="s">
        <v>851</v>
      </c>
      <c r="M805">
        <v>376139</v>
      </c>
      <c r="N805">
        <v>2</v>
      </c>
      <c r="O805">
        <v>2</v>
      </c>
      <c r="P805">
        <v>3</v>
      </c>
      <c r="Q805">
        <v>3</v>
      </c>
      <c r="R805">
        <v>6889</v>
      </c>
      <c r="S805" t="s">
        <v>4179</v>
      </c>
      <c r="V805" t="s">
        <v>518</v>
      </c>
      <c r="W805" t="s">
        <v>205</v>
      </c>
      <c r="X805" t="s">
        <v>2143</v>
      </c>
    </row>
    <row r="806" spans="1:24" ht="12.75">
      <c r="A806" s="1" t="str">
        <f>HYPERLINK("http://www.ofsted.gov.uk/inspection-reports/find-inspection-report/provider/ELS/130615","Ofsted FES Webpage")</f>
        <v>Ofsted FES Webpage</v>
      </c>
      <c r="B806" t="s">
        <v>1022</v>
      </c>
      <c r="C806">
        <v>130615</v>
      </c>
      <c r="D806">
        <v>108418</v>
      </c>
      <c r="E806" t="s">
        <v>205</v>
      </c>
      <c r="F806" t="s">
        <v>39</v>
      </c>
      <c r="G806" t="s">
        <v>862</v>
      </c>
      <c r="H806" s="2">
        <v>39024</v>
      </c>
      <c r="I806" s="2">
        <v>39024</v>
      </c>
      <c r="J806" t="s">
        <v>100</v>
      </c>
      <c r="K806" s="2">
        <v>39094.13549695602</v>
      </c>
      <c r="L806" t="s">
        <v>876</v>
      </c>
      <c r="M806">
        <v>295010</v>
      </c>
      <c r="N806">
        <v>1</v>
      </c>
      <c r="O806">
        <v>1</v>
      </c>
      <c r="P806" t="s">
        <v>20</v>
      </c>
      <c r="Q806" t="s">
        <v>20</v>
      </c>
      <c r="R806">
        <v>2886</v>
      </c>
      <c r="S806" t="s">
        <v>4180</v>
      </c>
      <c r="V806" t="s">
        <v>2362</v>
      </c>
      <c r="W806" t="s">
        <v>205</v>
      </c>
      <c r="X806" t="s">
        <v>2144</v>
      </c>
    </row>
    <row r="807" spans="1:24" ht="12.75">
      <c r="A807" s="1" t="str">
        <f>HYPERLINK("http://www.ofsted.gov.uk/inspection-reports/find-inspection-report/provider/ELS/130616","Ofsted FES Webpage")</f>
        <v>Ofsted FES Webpage</v>
      </c>
      <c r="B807" t="s">
        <v>1023</v>
      </c>
      <c r="C807">
        <v>130616</v>
      </c>
      <c r="D807">
        <v>108411</v>
      </c>
      <c r="E807" t="s">
        <v>205</v>
      </c>
      <c r="F807" t="s">
        <v>39</v>
      </c>
      <c r="G807" t="s">
        <v>862</v>
      </c>
      <c r="H807" s="2">
        <v>41674</v>
      </c>
      <c r="I807" s="2">
        <v>41677</v>
      </c>
      <c r="J807" t="s">
        <v>27</v>
      </c>
      <c r="K807" s="2">
        <v>41709.135489699074</v>
      </c>
      <c r="L807" t="s">
        <v>875</v>
      </c>
      <c r="M807">
        <v>429175</v>
      </c>
      <c r="N807">
        <v>2</v>
      </c>
      <c r="O807">
        <v>2</v>
      </c>
      <c r="P807">
        <v>2</v>
      </c>
      <c r="Q807">
        <v>2</v>
      </c>
      <c r="R807">
        <v>1943</v>
      </c>
      <c r="S807" t="s">
        <v>4181</v>
      </c>
      <c r="V807" t="s">
        <v>2362</v>
      </c>
      <c r="W807" t="s">
        <v>205</v>
      </c>
      <c r="X807" t="s">
        <v>2145</v>
      </c>
    </row>
    <row r="808" spans="1:24" ht="12.75">
      <c r="A808" s="1" t="str">
        <f>HYPERLINK("http://www.ofsted.gov.uk/inspection-reports/find-inspection-report/provider/ELS/130617","Ofsted FES Webpage")</f>
        <v>Ofsted FES Webpage</v>
      </c>
      <c r="B808" t="s">
        <v>1024</v>
      </c>
      <c r="C808">
        <v>130617</v>
      </c>
      <c r="D808">
        <v>106427</v>
      </c>
      <c r="E808" t="s">
        <v>665</v>
      </c>
      <c r="F808" t="s">
        <v>68</v>
      </c>
      <c r="G808" t="s">
        <v>849</v>
      </c>
      <c r="H808" s="2">
        <v>40469</v>
      </c>
      <c r="I808" s="2">
        <v>40473</v>
      </c>
      <c r="J808" t="s">
        <v>56</v>
      </c>
      <c r="K808" s="2">
        <v>40508.13544320602</v>
      </c>
      <c r="L808" t="s">
        <v>858</v>
      </c>
      <c r="M808">
        <v>354448</v>
      </c>
      <c r="N808">
        <v>2</v>
      </c>
      <c r="O808">
        <v>2</v>
      </c>
      <c r="P808">
        <v>2</v>
      </c>
      <c r="Q808">
        <v>2</v>
      </c>
      <c r="R808">
        <v>9780</v>
      </c>
      <c r="S808" t="s">
        <v>3768</v>
      </c>
      <c r="V808" t="s">
        <v>665</v>
      </c>
      <c r="W808" t="s">
        <v>2773</v>
      </c>
      <c r="X808" t="s">
        <v>2146</v>
      </c>
    </row>
    <row r="809" spans="1:24" ht="12.75">
      <c r="A809" s="1" t="str">
        <f>HYPERLINK("http://www.ofsted.gov.uk/inspection-reports/find-inspection-report/provider/ELS/130618","Ofsted FES Webpage")</f>
        <v>Ofsted FES Webpage</v>
      </c>
      <c r="B809" t="s">
        <v>1025</v>
      </c>
      <c r="C809">
        <v>130618</v>
      </c>
      <c r="D809">
        <v>106429</v>
      </c>
      <c r="E809" t="s">
        <v>653</v>
      </c>
      <c r="F809" t="s">
        <v>68</v>
      </c>
      <c r="G809" t="s">
        <v>849</v>
      </c>
      <c r="H809" s="2">
        <v>41708</v>
      </c>
      <c r="I809" s="2">
        <v>41712</v>
      </c>
      <c r="J809" t="s">
        <v>27</v>
      </c>
      <c r="K809" s="2">
        <v>41751.13545436342</v>
      </c>
      <c r="L809" t="s">
        <v>850</v>
      </c>
      <c r="M809">
        <v>429173</v>
      </c>
      <c r="N809">
        <v>3</v>
      </c>
      <c r="O809">
        <v>3</v>
      </c>
      <c r="P809">
        <v>2</v>
      </c>
      <c r="Q809">
        <v>2</v>
      </c>
      <c r="R809">
        <v>11316</v>
      </c>
      <c r="S809" t="s">
        <v>4182</v>
      </c>
      <c r="T809" t="s">
        <v>4183</v>
      </c>
      <c r="V809" t="s">
        <v>3189</v>
      </c>
      <c r="W809" t="s">
        <v>2773</v>
      </c>
      <c r="X809" t="s">
        <v>2147</v>
      </c>
    </row>
    <row r="810" spans="1:24" ht="12.75">
      <c r="A810" s="1" t="str">
        <f>HYPERLINK("http://www.ofsted.gov.uk/inspection-reports/find-inspection-report/provider/ELS/130619","Ofsted FES Webpage")</f>
        <v>Ofsted FES Webpage</v>
      </c>
      <c r="B810" t="s">
        <v>1026</v>
      </c>
      <c r="C810">
        <v>130619</v>
      </c>
      <c r="D810">
        <v>108444</v>
      </c>
      <c r="E810" t="s">
        <v>644</v>
      </c>
      <c r="F810" t="s">
        <v>68</v>
      </c>
      <c r="G810" t="s">
        <v>849</v>
      </c>
      <c r="H810" s="2">
        <v>41029</v>
      </c>
      <c r="I810" s="2">
        <v>41033</v>
      </c>
      <c r="J810" t="s">
        <v>23</v>
      </c>
      <c r="K810" s="2">
        <v>41068.13545836806</v>
      </c>
      <c r="L810" t="s">
        <v>858</v>
      </c>
      <c r="M810">
        <v>388025</v>
      </c>
      <c r="N810">
        <v>2</v>
      </c>
      <c r="O810">
        <v>2</v>
      </c>
      <c r="P810">
        <v>1</v>
      </c>
      <c r="Q810">
        <v>1</v>
      </c>
      <c r="R810">
        <v>4594</v>
      </c>
      <c r="S810" t="s">
        <v>4184</v>
      </c>
      <c r="V810" t="s">
        <v>2781</v>
      </c>
      <c r="W810" t="s">
        <v>2773</v>
      </c>
      <c r="X810" t="s">
        <v>2148</v>
      </c>
    </row>
    <row r="811" spans="1:24" ht="12.75">
      <c r="A811" s="1" t="str">
        <f>HYPERLINK("http://www.ofsted.gov.uk/inspection-reports/find-inspection-report/provider/ELS/130620","Ofsted FES Webpage")</f>
        <v>Ofsted FES Webpage</v>
      </c>
      <c r="B811" t="s">
        <v>1027</v>
      </c>
      <c r="C811">
        <v>130620</v>
      </c>
      <c r="D811">
        <v>108512</v>
      </c>
      <c r="E811" t="s">
        <v>653</v>
      </c>
      <c r="F811" t="s">
        <v>68</v>
      </c>
      <c r="G811" t="s">
        <v>849</v>
      </c>
      <c r="H811" s="2">
        <v>39755</v>
      </c>
      <c r="I811" s="2">
        <v>39759</v>
      </c>
      <c r="J811" t="s">
        <v>44</v>
      </c>
      <c r="K811" s="2">
        <v>39801.135618402775</v>
      </c>
      <c r="L811" t="s">
        <v>858</v>
      </c>
      <c r="M811">
        <v>329311</v>
      </c>
      <c r="N811">
        <v>1</v>
      </c>
      <c r="O811">
        <v>1</v>
      </c>
      <c r="P811" t="s">
        <v>20</v>
      </c>
      <c r="Q811" t="s">
        <v>20</v>
      </c>
      <c r="R811">
        <v>4654</v>
      </c>
      <c r="S811" t="s">
        <v>3275</v>
      </c>
      <c r="T811" t="s">
        <v>3276</v>
      </c>
      <c r="V811" t="s">
        <v>2754</v>
      </c>
      <c r="W811" t="s">
        <v>2773</v>
      </c>
      <c r="X811" t="s">
        <v>1638</v>
      </c>
    </row>
    <row r="812" spans="1:24" ht="12.75">
      <c r="A812" s="1" t="str">
        <f>HYPERLINK("http://www.ofsted.gov.uk/inspection-reports/find-inspection-report/provider/ELS/130621","Ofsted FES Webpage")</f>
        <v>Ofsted FES Webpage</v>
      </c>
      <c r="B812" t="s">
        <v>1028</v>
      </c>
      <c r="C812">
        <v>130621</v>
      </c>
      <c r="D812">
        <v>108345</v>
      </c>
      <c r="E812" t="s">
        <v>644</v>
      </c>
      <c r="F812" t="s">
        <v>68</v>
      </c>
      <c r="G812" t="s">
        <v>849</v>
      </c>
      <c r="H812" s="2">
        <v>41415</v>
      </c>
      <c r="I812" s="2">
        <v>41418</v>
      </c>
      <c r="J812" t="s">
        <v>32</v>
      </c>
      <c r="K812" s="2">
        <v>41452.13544297454</v>
      </c>
      <c r="L812" t="s">
        <v>866</v>
      </c>
      <c r="M812">
        <v>397444</v>
      </c>
      <c r="N812">
        <v>2</v>
      </c>
      <c r="O812">
        <v>2</v>
      </c>
      <c r="P812">
        <v>4</v>
      </c>
      <c r="Q812">
        <v>4</v>
      </c>
      <c r="R812">
        <v>3289</v>
      </c>
      <c r="S812" t="s">
        <v>4130</v>
      </c>
      <c r="V812" t="s">
        <v>2772</v>
      </c>
      <c r="W812" t="s">
        <v>2773</v>
      </c>
      <c r="X812" t="s">
        <v>2149</v>
      </c>
    </row>
    <row r="813" spans="1:24" ht="12.75">
      <c r="A813" s="1" t="str">
        <f>HYPERLINK("http://www.ofsted.gov.uk/inspection-reports/find-inspection-report/provider/ELS/130622","Ofsted FES Webpage")</f>
        <v>Ofsted FES Webpage</v>
      </c>
      <c r="B813" t="s">
        <v>1029</v>
      </c>
      <c r="C813">
        <v>130622</v>
      </c>
      <c r="D813">
        <v>106896</v>
      </c>
      <c r="E813" t="s">
        <v>322</v>
      </c>
      <c r="F813" t="s">
        <v>68</v>
      </c>
      <c r="G813" t="s">
        <v>849</v>
      </c>
      <c r="H813" s="2">
        <v>40210</v>
      </c>
      <c r="I813" s="2">
        <v>40214</v>
      </c>
      <c r="J813" t="s">
        <v>18</v>
      </c>
      <c r="K813" s="2">
        <v>40249.13553599537</v>
      </c>
      <c r="L813" t="s">
        <v>920</v>
      </c>
      <c r="M813">
        <v>343721</v>
      </c>
      <c r="N813">
        <v>2</v>
      </c>
      <c r="O813">
        <v>2</v>
      </c>
      <c r="P813">
        <v>4</v>
      </c>
      <c r="Q813">
        <v>4</v>
      </c>
      <c r="R813">
        <v>5575</v>
      </c>
      <c r="S813" t="s">
        <v>2597</v>
      </c>
      <c r="V813" t="s">
        <v>3000</v>
      </c>
      <c r="W813" t="s">
        <v>2773</v>
      </c>
      <c r="X813" t="s">
        <v>2150</v>
      </c>
    </row>
    <row r="814" spans="1:24" ht="12.75">
      <c r="A814" s="1" t="str">
        <f>HYPERLINK("http://www.ofsted.gov.uk/inspection-reports/find-inspection-report/provider/ELS/130623","Ofsted FES Webpage")</f>
        <v>Ofsted FES Webpage</v>
      </c>
      <c r="B814" t="s">
        <v>1030</v>
      </c>
      <c r="C814">
        <v>130623</v>
      </c>
      <c r="D814">
        <v>105301</v>
      </c>
      <c r="E814" t="s">
        <v>644</v>
      </c>
      <c r="F814" t="s">
        <v>68</v>
      </c>
      <c r="G814" t="s">
        <v>890</v>
      </c>
      <c r="H814" s="2">
        <v>40217</v>
      </c>
      <c r="I814" s="2">
        <v>40221</v>
      </c>
      <c r="J814" t="s">
        <v>18</v>
      </c>
      <c r="K814" s="2">
        <v>40257.13550320602</v>
      </c>
      <c r="L814" t="s">
        <v>858</v>
      </c>
      <c r="M814">
        <v>343830</v>
      </c>
      <c r="N814">
        <v>2</v>
      </c>
      <c r="O814">
        <v>2</v>
      </c>
      <c r="P814">
        <v>1</v>
      </c>
      <c r="Q814">
        <v>1</v>
      </c>
      <c r="R814">
        <v>3310</v>
      </c>
      <c r="S814" t="s">
        <v>4185</v>
      </c>
      <c r="V814" t="s">
        <v>3824</v>
      </c>
      <c r="W814" t="s">
        <v>2773</v>
      </c>
      <c r="X814" t="s">
        <v>2151</v>
      </c>
    </row>
    <row r="815" spans="1:24" ht="12.75">
      <c r="A815" s="1" t="str">
        <f>HYPERLINK("http://www.ofsted.gov.uk/inspection-reports/find-inspection-report/provider/ELS/130624","Ofsted FES Webpage")</f>
        <v>Ofsted FES Webpage</v>
      </c>
      <c r="B815" t="s">
        <v>1031</v>
      </c>
      <c r="C815">
        <v>130624</v>
      </c>
      <c r="D815">
        <v>108404</v>
      </c>
      <c r="E815" t="s">
        <v>665</v>
      </c>
      <c r="F815" t="s">
        <v>68</v>
      </c>
      <c r="G815" t="s">
        <v>862</v>
      </c>
      <c r="H815" s="2">
        <v>39153</v>
      </c>
      <c r="I815" s="2">
        <v>39157</v>
      </c>
      <c r="J815" t="s">
        <v>100</v>
      </c>
      <c r="K815" s="2">
        <v>39206.13552260416</v>
      </c>
      <c r="L815" t="s">
        <v>863</v>
      </c>
      <c r="M815">
        <v>298685</v>
      </c>
      <c r="N815">
        <v>1</v>
      </c>
      <c r="O815">
        <v>1</v>
      </c>
      <c r="P815" t="s">
        <v>20</v>
      </c>
      <c r="Q815" t="s">
        <v>20</v>
      </c>
      <c r="R815">
        <v>2332</v>
      </c>
      <c r="S815" t="s">
        <v>4186</v>
      </c>
      <c r="V815" t="s">
        <v>665</v>
      </c>
      <c r="W815" t="s">
        <v>2773</v>
      </c>
      <c r="X815" t="s">
        <v>2152</v>
      </c>
    </row>
    <row r="816" spans="1:24" ht="12.75">
      <c r="A816" s="1" t="str">
        <f>HYPERLINK("http://www.ofsted.gov.uk/inspection-reports/find-inspection-report/provider/ELS/130626","Ofsted FES Webpage")</f>
        <v>Ofsted FES Webpage</v>
      </c>
      <c r="B816" t="s">
        <v>1032</v>
      </c>
      <c r="C816">
        <v>130626</v>
      </c>
      <c r="D816">
        <v>108390</v>
      </c>
      <c r="E816" t="s">
        <v>653</v>
      </c>
      <c r="F816" t="s">
        <v>68</v>
      </c>
      <c r="G816" t="s">
        <v>862</v>
      </c>
      <c r="H816" s="2">
        <v>39505</v>
      </c>
      <c r="I816" s="2">
        <v>39506</v>
      </c>
      <c r="J816" t="s">
        <v>154</v>
      </c>
      <c r="K816" s="2">
        <v>39563.135574155094</v>
      </c>
      <c r="L816" t="s">
        <v>863</v>
      </c>
      <c r="M816">
        <v>318908</v>
      </c>
      <c r="N816">
        <v>1</v>
      </c>
      <c r="O816">
        <v>1</v>
      </c>
      <c r="P816" t="s">
        <v>20</v>
      </c>
      <c r="Q816" t="s">
        <v>20</v>
      </c>
      <c r="R816">
        <v>3499</v>
      </c>
      <c r="S816" t="s">
        <v>4187</v>
      </c>
      <c r="V816" t="s">
        <v>2754</v>
      </c>
      <c r="W816" t="s">
        <v>2773</v>
      </c>
      <c r="X816" t="s">
        <v>2153</v>
      </c>
    </row>
    <row r="817" spans="1:24" ht="12.75">
      <c r="A817" s="1" t="str">
        <f>HYPERLINK("http://www.ofsted.gov.uk/inspection-reports/find-inspection-report/provider/ELS/130627","Ofsted FES Webpage")</f>
        <v>Ofsted FES Webpage</v>
      </c>
      <c r="B817" t="s">
        <v>1033</v>
      </c>
      <c r="C817">
        <v>130627</v>
      </c>
      <c r="D817">
        <v>106490</v>
      </c>
      <c r="E817" t="s">
        <v>249</v>
      </c>
      <c r="F817" t="s">
        <v>63</v>
      </c>
      <c r="G817" t="s">
        <v>849</v>
      </c>
      <c r="H817" s="2">
        <v>40308</v>
      </c>
      <c r="I817" s="2">
        <v>40312</v>
      </c>
      <c r="J817" t="s">
        <v>18</v>
      </c>
      <c r="K817" s="2">
        <v>40351.135524074074</v>
      </c>
      <c r="L817" t="s">
        <v>851</v>
      </c>
      <c r="M817">
        <v>345757</v>
      </c>
      <c r="N817">
        <v>2</v>
      </c>
      <c r="O817">
        <v>2</v>
      </c>
      <c r="P817">
        <v>3</v>
      </c>
      <c r="Q817">
        <v>2</v>
      </c>
      <c r="R817">
        <v>17121</v>
      </c>
      <c r="S817" t="s">
        <v>4188</v>
      </c>
      <c r="T817" t="s">
        <v>4189</v>
      </c>
      <c r="U817" t="s">
        <v>4190</v>
      </c>
      <c r="V817" t="s">
        <v>2603</v>
      </c>
      <c r="W817" t="s">
        <v>249</v>
      </c>
      <c r="X817" t="s">
        <v>2154</v>
      </c>
    </row>
    <row r="818" spans="1:24" ht="12.75">
      <c r="A818" s="1" t="str">
        <f>HYPERLINK("http://www.ofsted.gov.uk/inspection-reports/find-inspection-report/provider/ELS/130629","Ofsted FES Webpage")</f>
        <v>Ofsted FES Webpage</v>
      </c>
      <c r="B818" t="s">
        <v>1034</v>
      </c>
      <c r="C818">
        <v>130629</v>
      </c>
      <c r="D818">
        <v>108441</v>
      </c>
      <c r="E818" t="s">
        <v>249</v>
      </c>
      <c r="F818" t="s">
        <v>63</v>
      </c>
      <c r="G818" t="s">
        <v>849</v>
      </c>
      <c r="H818" s="2">
        <v>39028</v>
      </c>
      <c r="I818" s="2">
        <v>39028</v>
      </c>
      <c r="J818" t="s">
        <v>100</v>
      </c>
      <c r="K818" s="2">
        <v>39094.13549710648</v>
      </c>
      <c r="L818" t="s">
        <v>876</v>
      </c>
      <c r="M818">
        <v>295065</v>
      </c>
      <c r="N818">
        <v>1</v>
      </c>
      <c r="O818">
        <v>1</v>
      </c>
      <c r="P818" t="s">
        <v>20</v>
      </c>
      <c r="Q818" t="s">
        <v>20</v>
      </c>
      <c r="R818">
        <v>10169</v>
      </c>
      <c r="S818" t="s">
        <v>2881</v>
      </c>
      <c r="V818" t="s">
        <v>2817</v>
      </c>
      <c r="W818" t="s">
        <v>249</v>
      </c>
      <c r="X818" t="s">
        <v>2155</v>
      </c>
    </row>
    <row r="819" spans="1:24" ht="12.75">
      <c r="A819" s="1" t="str">
        <f>HYPERLINK("http://www.ofsted.gov.uk/inspection-reports/find-inspection-report/provider/ELS/130631","Ofsted FES Webpage")</f>
        <v>Ofsted FES Webpage</v>
      </c>
      <c r="B819" t="s">
        <v>1035</v>
      </c>
      <c r="C819">
        <v>130631</v>
      </c>
      <c r="D819">
        <v>106462</v>
      </c>
      <c r="E819" t="s">
        <v>257</v>
      </c>
      <c r="F819" t="s">
        <v>68</v>
      </c>
      <c r="G819" t="s">
        <v>849</v>
      </c>
      <c r="H819" s="2">
        <v>40511</v>
      </c>
      <c r="I819" s="2">
        <v>40515</v>
      </c>
      <c r="J819" t="s">
        <v>56</v>
      </c>
      <c r="K819" s="2">
        <v>40561.135447256944</v>
      </c>
      <c r="L819" t="s">
        <v>858</v>
      </c>
      <c r="M819">
        <v>354447</v>
      </c>
      <c r="N819">
        <v>1</v>
      </c>
      <c r="O819">
        <v>1</v>
      </c>
      <c r="P819">
        <v>2</v>
      </c>
      <c r="Q819">
        <v>2</v>
      </c>
      <c r="R819">
        <v>3257</v>
      </c>
      <c r="S819" t="s">
        <v>3793</v>
      </c>
      <c r="V819" t="s">
        <v>3149</v>
      </c>
      <c r="W819" t="s">
        <v>257</v>
      </c>
      <c r="X819" t="s">
        <v>2156</v>
      </c>
    </row>
    <row r="820" spans="1:24" ht="12.75">
      <c r="A820" s="1" t="str">
        <f>HYPERLINK("http://www.ofsted.gov.uk/inspection-reports/find-inspection-report/provider/ELS/130632","Ofsted FES Webpage")</f>
        <v>Ofsted FES Webpage</v>
      </c>
      <c r="B820" t="s">
        <v>1036</v>
      </c>
      <c r="C820">
        <v>130632</v>
      </c>
      <c r="D820">
        <v>106476</v>
      </c>
      <c r="E820" t="s">
        <v>257</v>
      </c>
      <c r="F820" t="s">
        <v>68</v>
      </c>
      <c r="G820" t="s">
        <v>849</v>
      </c>
      <c r="H820" s="2">
        <v>40518</v>
      </c>
      <c r="I820" s="2">
        <v>40522</v>
      </c>
      <c r="J820" t="s">
        <v>56</v>
      </c>
      <c r="K820" s="2">
        <v>40564.135446493055</v>
      </c>
      <c r="L820" t="s">
        <v>858</v>
      </c>
      <c r="M820">
        <v>362660</v>
      </c>
      <c r="N820">
        <v>2</v>
      </c>
      <c r="O820">
        <v>1</v>
      </c>
      <c r="P820">
        <v>2</v>
      </c>
      <c r="Q820">
        <v>2</v>
      </c>
      <c r="R820">
        <v>5361</v>
      </c>
      <c r="S820" t="s">
        <v>3155</v>
      </c>
      <c r="T820" t="s">
        <v>3156</v>
      </c>
      <c r="U820" t="s">
        <v>2974</v>
      </c>
      <c r="V820" t="s">
        <v>2975</v>
      </c>
      <c r="W820" t="s">
        <v>257</v>
      </c>
      <c r="X820" t="s">
        <v>1575</v>
      </c>
    </row>
    <row r="821" spans="1:24" ht="12.75">
      <c r="A821" s="1" t="str">
        <f>HYPERLINK("http://www.ofsted.gov.uk/inspection-reports/find-inspection-report/provider/ELS/130633","Ofsted FES Webpage")</f>
        <v>Ofsted FES Webpage</v>
      </c>
      <c r="B821" t="s">
        <v>1037</v>
      </c>
      <c r="C821">
        <v>130633</v>
      </c>
      <c r="D821">
        <v>106457</v>
      </c>
      <c r="E821" t="s">
        <v>257</v>
      </c>
      <c r="F821" t="s">
        <v>68</v>
      </c>
      <c r="G821" t="s">
        <v>849</v>
      </c>
      <c r="H821" s="2">
        <v>40518</v>
      </c>
      <c r="I821" s="2">
        <v>40522</v>
      </c>
      <c r="J821" t="s">
        <v>56</v>
      </c>
      <c r="K821" s="2">
        <v>40568.135448726855</v>
      </c>
      <c r="L821" t="s">
        <v>858</v>
      </c>
      <c r="M821">
        <v>362659</v>
      </c>
      <c r="N821">
        <v>2</v>
      </c>
      <c r="O821">
        <v>2</v>
      </c>
      <c r="P821">
        <v>2</v>
      </c>
      <c r="Q821">
        <v>2</v>
      </c>
      <c r="R821">
        <v>2461</v>
      </c>
      <c r="S821" t="s">
        <v>4191</v>
      </c>
      <c r="V821" t="s">
        <v>2659</v>
      </c>
      <c r="W821" t="s">
        <v>257</v>
      </c>
      <c r="X821" t="s">
        <v>2157</v>
      </c>
    </row>
    <row r="822" spans="1:24" ht="12.75">
      <c r="A822" s="1" t="str">
        <f>HYPERLINK("http://www.ofsted.gov.uk/inspection-reports/find-inspection-report/provider/ELS/130634","Ofsted FES Webpage")</f>
        <v>Ofsted FES Webpage</v>
      </c>
      <c r="B822" t="s">
        <v>1038</v>
      </c>
      <c r="C822">
        <v>130634</v>
      </c>
      <c r="D822">
        <v>106454</v>
      </c>
      <c r="E822" t="s">
        <v>257</v>
      </c>
      <c r="F822" t="s">
        <v>68</v>
      </c>
      <c r="G822" t="s">
        <v>849</v>
      </c>
      <c r="H822" s="2">
        <v>40154</v>
      </c>
      <c r="I822" s="2">
        <v>40158</v>
      </c>
      <c r="J822" t="s">
        <v>18</v>
      </c>
      <c r="K822" s="2">
        <v>40194.13550188657</v>
      </c>
      <c r="L822" t="s">
        <v>851</v>
      </c>
      <c r="M822">
        <v>342297</v>
      </c>
      <c r="N822">
        <v>2</v>
      </c>
      <c r="O822">
        <v>2</v>
      </c>
      <c r="P822">
        <v>3</v>
      </c>
      <c r="Q822">
        <v>3</v>
      </c>
      <c r="R822">
        <v>2542</v>
      </c>
      <c r="S822" t="s">
        <v>2837</v>
      </c>
      <c r="V822" t="s">
        <v>2763</v>
      </c>
      <c r="W822" t="s">
        <v>257</v>
      </c>
      <c r="X822" t="s">
        <v>2158</v>
      </c>
    </row>
    <row r="823" spans="1:24" ht="12.75">
      <c r="A823" s="1" t="str">
        <f>HYPERLINK("http://www.ofsted.gov.uk/inspection-reports/find-inspection-report/provider/ELS/130637","Ofsted FES Webpage")</f>
        <v>Ofsted FES Webpage</v>
      </c>
      <c r="B823" t="s">
        <v>1039</v>
      </c>
      <c r="C823">
        <v>130637</v>
      </c>
      <c r="D823">
        <v>108438</v>
      </c>
      <c r="E823" t="s">
        <v>257</v>
      </c>
      <c r="F823" t="s">
        <v>68</v>
      </c>
      <c r="G823" t="s">
        <v>862</v>
      </c>
      <c r="H823" s="2">
        <v>41590</v>
      </c>
      <c r="I823" s="2">
        <v>41593</v>
      </c>
      <c r="J823" t="s">
        <v>27</v>
      </c>
      <c r="K823" s="2">
        <v>41628.13548923611</v>
      </c>
      <c r="L823" t="s">
        <v>875</v>
      </c>
      <c r="M823">
        <v>423381</v>
      </c>
      <c r="N823">
        <v>3</v>
      </c>
      <c r="O823">
        <v>3</v>
      </c>
      <c r="P823">
        <v>2</v>
      </c>
      <c r="Q823">
        <v>2</v>
      </c>
      <c r="R823">
        <v>1045</v>
      </c>
      <c r="S823" t="s">
        <v>4192</v>
      </c>
      <c r="V823" t="s">
        <v>2659</v>
      </c>
      <c r="W823" t="s">
        <v>257</v>
      </c>
      <c r="X823" t="s">
        <v>2159</v>
      </c>
    </row>
    <row r="824" spans="1:24" ht="12.75">
      <c r="A824" s="1" t="str">
        <f>HYPERLINK("http://www.ofsted.gov.uk/inspection-reports/find-inspection-report/provider/ELS/130638","Ofsted FES Webpage")</f>
        <v>Ofsted FES Webpage</v>
      </c>
      <c r="B824" t="s">
        <v>1040</v>
      </c>
      <c r="C824">
        <v>130638</v>
      </c>
      <c r="D824">
        <v>105367</v>
      </c>
      <c r="E824" t="s">
        <v>22</v>
      </c>
      <c r="F824" t="s">
        <v>16</v>
      </c>
      <c r="G824" t="s">
        <v>849</v>
      </c>
      <c r="H824" s="2">
        <v>41554</v>
      </c>
      <c r="I824" s="2">
        <v>41558</v>
      </c>
      <c r="J824" t="s">
        <v>27</v>
      </c>
      <c r="K824" s="2">
        <v>41589.1354784375</v>
      </c>
      <c r="L824" t="s">
        <v>850</v>
      </c>
      <c r="M824">
        <v>423356</v>
      </c>
      <c r="N824">
        <v>2</v>
      </c>
      <c r="O824">
        <v>2</v>
      </c>
      <c r="P824">
        <v>2</v>
      </c>
      <c r="Q824">
        <v>2</v>
      </c>
      <c r="R824">
        <v>10436</v>
      </c>
      <c r="S824" t="s">
        <v>4193</v>
      </c>
      <c r="V824" t="s">
        <v>2443</v>
      </c>
      <c r="W824" t="s">
        <v>22</v>
      </c>
      <c r="X824" t="s">
        <v>2160</v>
      </c>
    </row>
    <row r="825" spans="1:24" ht="12.75">
      <c r="A825" s="1" t="str">
        <f>HYPERLINK("http://www.ofsted.gov.uk/inspection-reports/find-inspection-report/provider/ELS/130645","Ofsted FES Webpage")</f>
        <v>Ofsted FES Webpage</v>
      </c>
      <c r="B825" t="s">
        <v>1041</v>
      </c>
      <c r="C825">
        <v>130645</v>
      </c>
      <c r="D825">
        <v>108460</v>
      </c>
      <c r="E825" t="s">
        <v>268</v>
      </c>
      <c r="F825" t="s">
        <v>63</v>
      </c>
      <c r="G825" t="s">
        <v>849</v>
      </c>
      <c r="H825" s="2">
        <v>41659</v>
      </c>
      <c r="I825" s="2">
        <v>41663</v>
      </c>
      <c r="J825" t="s">
        <v>27</v>
      </c>
      <c r="K825" s="2">
        <v>41698.13546628472</v>
      </c>
      <c r="L825" t="s">
        <v>850</v>
      </c>
      <c r="M825">
        <v>429162</v>
      </c>
      <c r="N825">
        <v>1</v>
      </c>
      <c r="O825">
        <v>1</v>
      </c>
      <c r="P825">
        <v>2</v>
      </c>
      <c r="Q825">
        <v>2</v>
      </c>
      <c r="R825">
        <v>10191</v>
      </c>
      <c r="S825" t="s">
        <v>3999</v>
      </c>
      <c r="V825" t="s">
        <v>2595</v>
      </c>
      <c r="W825" t="s">
        <v>268</v>
      </c>
      <c r="X825" t="s">
        <v>2004</v>
      </c>
    </row>
    <row r="826" spans="1:24" ht="12.75">
      <c r="A826" s="1" t="str">
        <f>HYPERLINK("http://www.ofsted.gov.uk/inspection-reports/find-inspection-report/provider/ELS/130646","Ofsted FES Webpage")</f>
        <v>Ofsted FES Webpage</v>
      </c>
      <c r="B826" t="s">
        <v>1042</v>
      </c>
      <c r="C826">
        <v>130646</v>
      </c>
      <c r="D826">
        <v>106509</v>
      </c>
      <c r="E826" t="s">
        <v>268</v>
      </c>
      <c r="F826" t="s">
        <v>63</v>
      </c>
      <c r="G826" t="s">
        <v>849</v>
      </c>
      <c r="H826" s="2">
        <v>40987</v>
      </c>
      <c r="I826" s="2">
        <v>40991</v>
      </c>
      <c r="J826" t="s">
        <v>23</v>
      </c>
      <c r="K826" s="2">
        <v>41030.13560185185</v>
      </c>
      <c r="L826" t="s">
        <v>858</v>
      </c>
      <c r="M826">
        <v>385350</v>
      </c>
      <c r="N826">
        <v>2</v>
      </c>
      <c r="O826">
        <v>2</v>
      </c>
      <c r="P826">
        <v>1</v>
      </c>
      <c r="Q826">
        <v>1</v>
      </c>
      <c r="R826">
        <v>15158</v>
      </c>
      <c r="S826" t="s">
        <v>4194</v>
      </c>
      <c r="V826" t="s">
        <v>3321</v>
      </c>
      <c r="W826" t="s">
        <v>268</v>
      </c>
      <c r="X826" t="s">
        <v>2161</v>
      </c>
    </row>
    <row r="827" spans="1:24" ht="12.75">
      <c r="A827" s="1" t="str">
        <f>HYPERLINK("http://www.ofsted.gov.uk/inspection-reports/find-inspection-report/provider/ELS/130648","Ofsted FES Webpage")</f>
        <v>Ofsted FES Webpage</v>
      </c>
      <c r="B827" t="s">
        <v>1043</v>
      </c>
      <c r="C827">
        <v>130648</v>
      </c>
      <c r="D827">
        <v>108487</v>
      </c>
      <c r="E827" t="s">
        <v>1044</v>
      </c>
      <c r="F827" t="s">
        <v>63</v>
      </c>
      <c r="G827" t="s">
        <v>849</v>
      </c>
      <c r="H827" s="2">
        <v>39755</v>
      </c>
      <c r="I827" s="2">
        <v>39759</v>
      </c>
      <c r="J827" t="s">
        <v>44</v>
      </c>
      <c r="K827" s="2">
        <v>39822.135584375</v>
      </c>
      <c r="L827" t="s">
        <v>858</v>
      </c>
      <c r="M827">
        <v>329155</v>
      </c>
      <c r="N827">
        <v>1</v>
      </c>
      <c r="O827">
        <v>1</v>
      </c>
      <c r="P827" t="s">
        <v>20</v>
      </c>
      <c r="Q827" t="s">
        <v>20</v>
      </c>
      <c r="R827">
        <v>9915</v>
      </c>
      <c r="S827" t="s">
        <v>4195</v>
      </c>
      <c r="T827" t="s">
        <v>4181</v>
      </c>
      <c r="V827" t="s">
        <v>2850</v>
      </c>
      <c r="W827" t="s">
        <v>268</v>
      </c>
      <c r="X827" t="s">
        <v>2162</v>
      </c>
    </row>
    <row r="828" spans="1:24" ht="12.75">
      <c r="A828" s="1" t="str">
        <f>HYPERLINK("http://www.ofsted.gov.uk/inspection-reports/find-inspection-report/provider/ELS/130649","Ofsted FES Webpage")</f>
        <v>Ofsted FES Webpage</v>
      </c>
      <c r="B828" t="s">
        <v>1045</v>
      </c>
      <c r="C828">
        <v>130649</v>
      </c>
      <c r="D828">
        <v>108499</v>
      </c>
      <c r="E828" t="s">
        <v>62</v>
      </c>
      <c r="F828" t="s">
        <v>63</v>
      </c>
      <c r="G828" t="s">
        <v>849</v>
      </c>
      <c r="H828" s="2">
        <v>41183</v>
      </c>
      <c r="I828" s="2">
        <v>41187</v>
      </c>
      <c r="J828" t="s">
        <v>32</v>
      </c>
      <c r="K828" s="2">
        <v>41222.135497256946</v>
      </c>
      <c r="L828" t="s">
        <v>850</v>
      </c>
      <c r="M828">
        <v>398997</v>
      </c>
      <c r="N828">
        <v>2</v>
      </c>
      <c r="O828">
        <v>2</v>
      </c>
      <c r="P828">
        <v>3</v>
      </c>
      <c r="Q828">
        <v>3</v>
      </c>
      <c r="R828">
        <v>8982</v>
      </c>
      <c r="S828" t="s">
        <v>4007</v>
      </c>
      <c r="T828" t="s">
        <v>3395</v>
      </c>
      <c r="V828" t="s">
        <v>62</v>
      </c>
      <c r="W828" t="s">
        <v>268</v>
      </c>
      <c r="X828" t="s">
        <v>2163</v>
      </c>
    </row>
    <row r="829" spans="1:24" ht="12.75">
      <c r="A829" s="1" t="str">
        <f>HYPERLINK("http://www.ofsted.gov.uk/inspection-reports/find-inspection-report/provider/ELS/130650","Ofsted FES Webpage")</f>
        <v>Ofsted FES Webpage</v>
      </c>
      <c r="B829" t="s">
        <v>1046</v>
      </c>
      <c r="C829">
        <v>130650</v>
      </c>
      <c r="D829">
        <v>106513</v>
      </c>
      <c r="E829" t="s">
        <v>62</v>
      </c>
      <c r="F829" t="s">
        <v>63</v>
      </c>
      <c r="G829" t="s">
        <v>890</v>
      </c>
      <c r="H829" s="2">
        <v>41394</v>
      </c>
      <c r="I829" s="2">
        <v>41397</v>
      </c>
      <c r="J829" t="s">
        <v>32</v>
      </c>
      <c r="K829" s="2">
        <v>41436.13551021991</v>
      </c>
      <c r="L829" t="s">
        <v>850</v>
      </c>
      <c r="M829">
        <v>410605</v>
      </c>
      <c r="N829">
        <v>2</v>
      </c>
      <c r="O829">
        <v>2</v>
      </c>
      <c r="P829">
        <v>2</v>
      </c>
      <c r="Q829">
        <v>2</v>
      </c>
      <c r="R829">
        <v>1070</v>
      </c>
      <c r="S829" t="s">
        <v>4196</v>
      </c>
      <c r="V829" t="s">
        <v>62</v>
      </c>
      <c r="W829" t="s">
        <v>268</v>
      </c>
      <c r="X829" t="s">
        <v>2164</v>
      </c>
    </row>
    <row r="830" spans="1:24" ht="12.75">
      <c r="A830" s="1" t="str">
        <f>HYPERLINK("http://www.ofsted.gov.uk/inspection-reports/find-inspection-report/provider/ELS/130651","Ofsted FES Webpage")</f>
        <v>Ofsted FES Webpage</v>
      </c>
      <c r="B830" t="s">
        <v>1047</v>
      </c>
      <c r="C830">
        <v>130651</v>
      </c>
      <c r="D830">
        <v>106483</v>
      </c>
      <c r="E830" t="s">
        <v>268</v>
      </c>
      <c r="F830" t="s">
        <v>63</v>
      </c>
      <c r="G830" t="s">
        <v>890</v>
      </c>
      <c r="H830" s="2">
        <v>41198</v>
      </c>
      <c r="I830" s="2">
        <v>41201</v>
      </c>
      <c r="J830" t="s">
        <v>32</v>
      </c>
      <c r="K830" s="2">
        <v>41236.13561878472</v>
      </c>
      <c r="L830" t="s">
        <v>850</v>
      </c>
      <c r="M830">
        <v>398992</v>
      </c>
      <c r="N830">
        <v>2</v>
      </c>
      <c r="O830">
        <v>2</v>
      </c>
      <c r="P830">
        <v>3</v>
      </c>
      <c r="Q830">
        <v>3</v>
      </c>
      <c r="R830">
        <v>1768</v>
      </c>
      <c r="S830" t="s">
        <v>4197</v>
      </c>
      <c r="V830" t="s">
        <v>4198</v>
      </c>
      <c r="W830" t="s">
        <v>268</v>
      </c>
      <c r="X830" t="s">
        <v>2165</v>
      </c>
    </row>
    <row r="831" spans="1:24" ht="12.75">
      <c r="A831" s="1" t="str">
        <f>HYPERLINK("http://www.ofsted.gov.uk/inspection-reports/find-inspection-report/provider/ELS/130652","Ofsted FES Webpage")</f>
        <v>Ofsted FES Webpage</v>
      </c>
      <c r="B831" t="s">
        <v>1048</v>
      </c>
      <c r="C831">
        <v>130652</v>
      </c>
      <c r="D831">
        <v>106532</v>
      </c>
      <c r="E831" t="s">
        <v>410</v>
      </c>
      <c r="F831" t="s">
        <v>63</v>
      </c>
      <c r="G831" t="s">
        <v>849</v>
      </c>
      <c r="H831" s="2">
        <v>40602</v>
      </c>
      <c r="I831" s="2">
        <v>40606</v>
      </c>
      <c r="J831" t="s">
        <v>56</v>
      </c>
      <c r="K831" s="2">
        <v>40641.13545324074</v>
      </c>
      <c r="L831" t="s">
        <v>858</v>
      </c>
      <c r="M831">
        <v>363302</v>
      </c>
      <c r="N831">
        <v>2</v>
      </c>
      <c r="O831">
        <v>2</v>
      </c>
      <c r="P831">
        <v>2</v>
      </c>
      <c r="Q831">
        <v>2</v>
      </c>
      <c r="R831">
        <v>9356</v>
      </c>
      <c r="S831" t="s">
        <v>2693</v>
      </c>
      <c r="V831" t="s">
        <v>410</v>
      </c>
      <c r="W831" t="s">
        <v>1050</v>
      </c>
      <c r="X831" t="s">
        <v>2166</v>
      </c>
    </row>
    <row r="832" spans="1:24" ht="12.75">
      <c r="A832" s="1" t="str">
        <f>HYPERLINK("http://www.ofsted.gov.uk/inspection-reports/find-inspection-report/provider/ELS/130653","Ofsted FES Webpage")</f>
        <v>Ofsted FES Webpage</v>
      </c>
      <c r="B832" t="s">
        <v>1049</v>
      </c>
      <c r="C832">
        <v>130653</v>
      </c>
      <c r="D832">
        <v>106540</v>
      </c>
      <c r="E832" t="s">
        <v>1050</v>
      </c>
      <c r="F832" t="s">
        <v>63</v>
      </c>
      <c r="G832" t="s">
        <v>849</v>
      </c>
      <c r="H832" s="2">
        <v>41429</v>
      </c>
      <c r="I832" s="2">
        <v>41432</v>
      </c>
      <c r="J832" t="s">
        <v>32</v>
      </c>
      <c r="K832" s="2">
        <v>41467.13558796296</v>
      </c>
      <c r="L832" t="s">
        <v>850</v>
      </c>
      <c r="M832">
        <v>409327</v>
      </c>
      <c r="N832">
        <v>3</v>
      </c>
      <c r="O832">
        <v>2</v>
      </c>
      <c r="P832">
        <v>3</v>
      </c>
      <c r="Q832">
        <v>3</v>
      </c>
      <c r="R832">
        <v>3122</v>
      </c>
      <c r="S832" t="s">
        <v>4199</v>
      </c>
      <c r="V832" t="s">
        <v>3393</v>
      </c>
      <c r="W832" t="s">
        <v>1050</v>
      </c>
      <c r="X832" t="s">
        <v>2167</v>
      </c>
    </row>
    <row r="833" spans="1:24" ht="12.75">
      <c r="A833" s="1" t="str">
        <f>HYPERLINK("http://www.ofsted.gov.uk/inspection-reports/find-inspection-report/provider/ELS/130655","Ofsted FES Webpage")</f>
        <v>Ofsted FES Webpage</v>
      </c>
      <c r="B833" t="s">
        <v>1051</v>
      </c>
      <c r="C833">
        <v>130655</v>
      </c>
      <c r="D833">
        <v>106536</v>
      </c>
      <c r="E833" t="s">
        <v>1050</v>
      </c>
      <c r="F833" t="s">
        <v>63</v>
      </c>
      <c r="G833" t="s">
        <v>890</v>
      </c>
      <c r="H833" s="2">
        <v>41394</v>
      </c>
      <c r="I833" s="2">
        <v>41397</v>
      </c>
      <c r="J833" t="s">
        <v>32</v>
      </c>
      <c r="K833" s="2">
        <v>41436.13550451389</v>
      </c>
      <c r="L833" t="s">
        <v>850</v>
      </c>
      <c r="M833">
        <v>410603</v>
      </c>
      <c r="N833">
        <v>3</v>
      </c>
      <c r="O833">
        <v>3</v>
      </c>
      <c r="P833">
        <v>2</v>
      </c>
      <c r="Q833">
        <v>2</v>
      </c>
      <c r="R833">
        <v>2576</v>
      </c>
      <c r="T833" t="s">
        <v>4201</v>
      </c>
      <c r="V833" t="s">
        <v>2444</v>
      </c>
      <c r="W833" t="s">
        <v>1050</v>
      </c>
      <c r="X833" t="s">
        <v>2169</v>
      </c>
    </row>
    <row r="834" spans="1:24" ht="12.75">
      <c r="A834" s="1" t="str">
        <f>HYPERLINK("http://www.ofsted.gov.uk/inspection-reports/find-inspection-report/provider/ELS/130656","Ofsted FES Webpage")</f>
        <v>Ofsted FES Webpage</v>
      </c>
      <c r="B834" t="s">
        <v>1052</v>
      </c>
      <c r="C834">
        <v>130656</v>
      </c>
      <c r="D834">
        <v>105941</v>
      </c>
      <c r="E834" t="s">
        <v>262</v>
      </c>
      <c r="F834" t="s">
        <v>26</v>
      </c>
      <c r="G834" t="s">
        <v>849</v>
      </c>
      <c r="H834" s="2">
        <v>39874</v>
      </c>
      <c r="I834" s="2">
        <v>39878</v>
      </c>
      <c r="J834" t="s">
        <v>44</v>
      </c>
      <c r="K834" s="2">
        <v>39934.13547207176</v>
      </c>
      <c r="L834" t="s">
        <v>858</v>
      </c>
      <c r="M834">
        <v>331026</v>
      </c>
      <c r="N834">
        <v>1</v>
      </c>
      <c r="O834">
        <v>1</v>
      </c>
      <c r="P834" t="s">
        <v>20</v>
      </c>
      <c r="Q834" t="s">
        <v>20</v>
      </c>
      <c r="R834">
        <v>9971</v>
      </c>
      <c r="S834" t="s">
        <v>2433</v>
      </c>
      <c r="T834" t="s">
        <v>2849</v>
      </c>
      <c r="V834" t="s">
        <v>262</v>
      </c>
      <c r="W834" t="s">
        <v>3048</v>
      </c>
      <c r="X834" t="s">
        <v>1464</v>
      </c>
    </row>
    <row r="835" spans="1:24" ht="12.75">
      <c r="A835" s="1" t="str">
        <f>HYPERLINK("http://www.ofsted.gov.uk/inspection-reports/find-inspection-report/provider/ELS/130657","Ofsted FES Webpage")</f>
        <v>Ofsted FES Webpage</v>
      </c>
      <c r="B835" t="s">
        <v>1053</v>
      </c>
      <c r="C835">
        <v>130657</v>
      </c>
      <c r="D835">
        <v>108530</v>
      </c>
      <c r="E835" t="s">
        <v>114</v>
      </c>
      <c r="F835" t="s">
        <v>26</v>
      </c>
      <c r="G835" t="s">
        <v>849</v>
      </c>
      <c r="H835" s="2">
        <v>40868</v>
      </c>
      <c r="I835" s="2">
        <v>40872</v>
      </c>
      <c r="J835" t="s">
        <v>23</v>
      </c>
      <c r="K835" s="2">
        <v>40914.135486377316</v>
      </c>
      <c r="L835" t="s">
        <v>858</v>
      </c>
      <c r="M835">
        <v>376145</v>
      </c>
      <c r="N835">
        <v>2</v>
      </c>
      <c r="O835">
        <v>2</v>
      </c>
      <c r="P835">
        <v>2</v>
      </c>
      <c r="Q835">
        <v>2</v>
      </c>
      <c r="R835">
        <v>7733</v>
      </c>
      <c r="S835" t="s">
        <v>4202</v>
      </c>
      <c r="V835" t="s">
        <v>2632</v>
      </c>
      <c r="W835" t="s">
        <v>3048</v>
      </c>
      <c r="X835" t="s">
        <v>2170</v>
      </c>
    </row>
    <row r="836" spans="1:24" ht="12.75">
      <c r="A836" s="1" t="str">
        <f>HYPERLINK("http://www.ofsted.gov.uk/inspection-reports/find-inspection-report/provider/ELS/130658","Ofsted FES Webpage")</f>
        <v>Ofsted FES Webpage</v>
      </c>
      <c r="B836" t="s">
        <v>1054</v>
      </c>
      <c r="C836">
        <v>130658</v>
      </c>
      <c r="D836">
        <v>108464</v>
      </c>
      <c r="E836" t="s">
        <v>114</v>
      </c>
      <c r="F836" t="s">
        <v>26</v>
      </c>
      <c r="G836" t="s">
        <v>849</v>
      </c>
      <c r="H836" s="2">
        <v>40987</v>
      </c>
      <c r="I836" s="2">
        <v>40991</v>
      </c>
      <c r="J836" t="s">
        <v>23</v>
      </c>
      <c r="K836" s="2">
        <v>41026.13554170139</v>
      </c>
      <c r="L836" t="s">
        <v>858</v>
      </c>
      <c r="M836">
        <v>385338</v>
      </c>
      <c r="N836">
        <v>2</v>
      </c>
      <c r="O836">
        <v>2</v>
      </c>
      <c r="P836">
        <v>2</v>
      </c>
      <c r="Q836">
        <v>2</v>
      </c>
      <c r="R836">
        <v>9159</v>
      </c>
      <c r="S836" t="s">
        <v>4203</v>
      </c>
      <c r="V836" t="s">
        <v>2822</v>
      </c>
      <c r="W836" t="s">
        <v>3048</v>
      </c>
      <c r="X836" t="s">
        <v>2171</v>
      </c>
    </row>
    <row r="837" spans="1:24" ht="12.75">
      <c r="A837" s="1" t="str">
        <f>HYPERLINK("http://www.ofsted.gov.uk/inspection-reports/find-inspection-report/provider/ELS/130659","Ofsted FES Webpage")</f>
        <v>Ofsted FES Webpage</v>
      </c>
      <c r="B837" t="s">
        <v>1055</v>
      </c>
      <c r="C837">
        <v>130659</v>
      </c>
      <c r="D837">
        <v>108661</v>
      </c>
      <c r="E837" t="s">
        <v>114</v>
      </c>
      <c r="F837" t="s">
        <v>26</v>
      </c>
      <c r="G837" t="s">
        <v>849</v>
      </c>
      <c r="H837" s="2">
        <v>39972</v>
      </c>
      <c r="I837" s="2">
        <v>39976</v>
      </c>
      <c r="J837" t="s">
        <v>44</v>
      </c>
      <c r="K837" s="2">
        <v>40018.13548622685</v>
      </c>
      <c r="L837" t="s">
        <v>858</v>
      </c>
      <c r="M837">
        <v>332999</v>
      </c>
      <c r="N837">
        <v>1</v>
      </c>
      <c r="O837">
        <v>1</v>
      </c>
      <c r="P837" t="s">
        <v>20</v>
      </c>
      <c r="Q837" t="s">
        <v>20</v>
      </c>
      <c r="R837">
        <v>8979</v>
      </c>
      <c r="S837" t="s">
        <v>4204</v>
      </c>
      <c r="T837" t="s">
        <v>4205</v>
      </c>
      <c r="V837" t="s">
        <v>114</v>
      </c>
      <c r="X837" t="s">
        <v>2172</v>
      </c>
    </row>
    <row r="838" spans="1:24" ht="12.75">
      <c r="A838" s="1" t="str">
        <f>HYPERLINK("http://www.ofsted.gov.uk/inspection-reports/find-inspection-report/provider/ELS/130662","Ofsted FES Webpage")</f>
        <v>Ofsted FES Webpage</v>
      </c>
      <c r="B838" t="s">
        <v>1056</v>
      </c>
      <c r="C838">
        <v>130662</v>
      </c>
      <c r="D838">
        <v>108400</v>
      </c>
      <c r="E838" t="s">
        <v>262</v>
      </c>
      <c r="F838" t="s">
        <v>26</v>
      </c>
      <c r="G838" t="s">
        <v>862</v>
      </c>
      <c r="H838" s="2">
        <v>40939</v>
      </c>
      <c r="I838" s="2">
        <v>40942</v>
      </c>
      <c r="J838" t="s">
        <v>23</v>
      </c>
      <c r="K838" s="2">
        <v>40977.13555841435</v>
      </c>
      <c r="L838" t="s">
        <v>863</v>
      </c>
      <c r="M838">
        <v>385367</v>
      </c>
      <c r="N838">
        <v>2</v>
      </c>
      <c r="O838">
        <v>2</v>
      </c>
      <c r="P838">
        <v>1</v>
      </c>
      <c r="Q838">
        <v>1</v>
      </c>
      <c r="R838">
        <v>2354</v>
      </c>
      <c r="S838" t="s">
        <v>4206</v>
      </c>
      <c r="V838" t="s">
        <v>262</v>
      </c>
      <c r="W838" t="s">
        <v>3048</v>
      </c>
      <c r="X838" t="s">
        <v>2173</v>
      </c>
    </row>
    <row r="839" spans="1:24" ht="12.75">
      <c r="A839" s="1" t="str">
        <f>HYPERLINK("http://www.ofsted.gov.uk/inspection-reports/find-inspection-report/provider/ELS/130663","Ofsted FES Webpage")</f>
        <v>Ofsted FES Webpage</v>
      </c>
      <c r="B839" t="s">
        <v>1057</v>
      </c>
      <c r="C839">
        <v>130663</v>
      </c>
      <c r="D839">
        <v>106098</v>
      </c>
      <c r="E839" t="s">
        <v>197</v>
      </c>
      <c r="F839" t="s">
        <v>43</v>
      </c>
      <c r="G839" t="s">
        <v>849</v>
      </c>
      <c r="H839" s="2">
        <v>40700</v>
      </c>
      <c r="I839" s="2">
        <v>40704</v>
      </c>
      <c r="J839" t="s">
        <v>56</v>
      </c>
      <c r="K839" s="2">
        <v>40737.13546261574</v>
      </c>
      <c r="L839" t="s">
        <v>851</v>
      </c>
      <c r="M839">
        <v>354454</v>
      </c>
      <c r="N839">
        <v>2</v>
      </c>
      <c r="O839">
        <v>1</v>
      </c>
      <c r="P839">
        <v>3</v>
      </c>
      <c r="Q839">
        <v>3</v>
      </c>
      <c r="R839">
        <v>6643</v>
      </c>
      <c r="S839" t="s">
        <v>4207</v>
      </c>
      <c r="V839" t="s">
        <v>2379</v>
      </c>
      <c r="W839" t="s">
        <v>53</v>
      </c>
      <c r="X839" t="s">
        <v>2174</v>
      </c>
    </row>
    <row r="840" spans="1:24" ht="12.75">
      <c r="A840" s="1" t="str">
        <f>HYPERLINK("http://www.ofsted.gov.uk/inspection-reports/find-inspection-report/provider/ELS/130665","Ofsted FES Webpage")</f>
        <v>Ofsted FES Webpage</v>
      </c>
      <c r="B840" t="s">
        <v>1058</v>
      </c>
      <c r="C840">
        <v>130665</v>
      </c>
      <c r="D840">
        <v>107520</v>
      </c>
      <c r="E840" t="s">
        <v>53</v>
      </c>
      <c r="F840" t="s">
        <v>43</v>
      </c>
      <c r="G840" t="s">
        <v>849</v>
      </c>
      <c r="H840" s="2">
        <v>41666</v>
      </c>
      <c r="I840" s="2">
        <v>41670</v>
      </c>
      <c r="J840" t="s">
        <v>27</v>
      </c>
      <c r="K840" s="2">
        <v>41705.13551165509</v>
      </c>
      <c r="L840" t="s">
        <v>882</v>
      </c>
      <c r="M840">
        <v>429284</v>
      </c>
      <c r="N840">
        <v>2</v>
      </c>
      <c r="O840">
        <v>1</v>
      </c>
      <c r="P840">
        <v>3</v>
      </c>
      <c r="Q840">
        <v>2</v>
      </c>
      <c r="R840">
        <v>7082</v>
      </c>
      <c r="S840" t="s">
        <v>4208</v>
      </c>
      <c r="T840" t="s">
        <v>3375</v>
      </c>
      <c r="V840" t="s">
        <v>2460</v>
      </c>
      <c r="W840" t="s">
        <v>53</v>
      </c>
      <c r="X840" t="s">
        <v>2175</v>
      </c>
    </row>
    <row r="841" spans="1:24" ht="12.75">
      <c r="A841" s="1" t="str">
        <f>HYPERLINK("http://www.ofsted.gov.uk/inspection-reports/find-inspection-report/provider/ELS/130667","Ofsted FES Webpage")</f>
        <v>Ofsted FES Webpage</v>
      </c>
      <c r="B841" t="s">
        <v>1059</v>
      </c>
      <c r="C841">
        <v>130667</v>
      </c>
      <c r="D841">
        <v>107525</v>
      </c>
      <c r="E841" t="s">
        <v>53</v>
      </c>
      <c r="F841" t="s">
        <v>43</v>
      </c>
      <c r="G841" t="s">
        <v>890</v>
      </c>
      <c r="H841" s="2">
        <v>40868</v>
      </c>
      <c r="I841" s="2">
        <v>40872</v>
      </c>
      <c r="J841" t="s">
        <v>23</v>
      </c>
      <c r="K841" s="2">
        <v>40913.135467824075</v>
      </c>
      <c r="L841" t="s">
        <v>858</v>
      </c>
      <c r="M841">
        <v>376134</v>
      </c>
      <c r="N841">
        <v>2</v>
      </c>
      <c r="O841">
        <v>2</v>
      </c>
      <c r="P841">
        <v>2</v>
      </c>
      <c r="Q841">
        <v>2</v>
      </c>
      <c r="R841">
        <v>1986</v>
      </c>
      <c r="S841" t="s">
        <v>4210</v>
      </c>
      <c r="T841" t="s">
        <v>4211</v>
      </c>
      <c r="V841" t="s">
        <v>2446</v>
      </c>
      <c r="W841" t="s">
        <v>53</v>
      </c>
      <c r="X841" t="s">
        <v>2177</v>
      </c>
    </row>
    <row r="842" spans="1:24" ht="12.75">
      <c r="A842" s="1" t="str">
        <f>HYPERLINK("http://www.ofsted.gov.uk/inspection-reports/find-inspection-report/provider/ELS/130668","Ofsted FES Webpage")</f>
        <v>Ofsted FES Webpage</v>
      </c>
      <c r="B842" t="s">
        <v>1060</v>
      </c>
      <c r="C842">
        <v>130668</v>
      </c>
      <c r="D842">
        <v>108380</v>
      </c>
      <c r="E842" t="s">
        <v>197</v>
      </c>
      <c r="F842" t="s">
        <v>43</v>
      </c>
      <c r="G842" t="s">
        <v>862</v>
      </c>
      <c r="H842" s="2">
        <v>41177</v>
      </c>
      <c r="I842" s="2">
        <v>41180</v>
      </c>
      <c r="J842" t="s">
        <v>32</v>
      </c>
      <c r="K842" s="2">
        <v>41215.13554363426</v>
      </c>
      <c r="L842" t="s">
        <v>875</v>
      </c>
      <c r="M842">
        <v>399024</v>
      </c>
      <c r="N842">
        <v>2</v>
      </c>
      <c r="O842">
        <v>2</v>
      </c>
      <c r="P842">
        <v>2</v>
      </c>
      <c r="Q842">
        <v>2</v>
      </c>
      <c r="R842">
        <v>2316</v>
      </c>
      <c r="S842" t="s">
        <v>4212</v>
      </c>
      <c r="V842" t="s">
        <v>2379</v>
      </c>
      <c r="W842" t="s">
        <v>53</v>
      </c>
      <c r="X842" t="s">
        <v>2178</v>
      </c>
    </row>
    <row r="843" spans="1:24" ht="12.75">
      <c r="A843" s="1" t="str">
        <f>HYPERLINK("http://www.ofsted.gov.uk/inspection-reports/find-inspection-report/provider/ELS/130669","Ofsted FES Webpage")</f>
        <v>Ofsted FES Webpage</v>
      </c>
      <c r="B843" t="s">
        <v>1061</v>
      </c>
      <c r="C843">
        <v>130669</v>
      </c>
      <c r="D843">
        <v>108432</v>
      </c>
      <c r="E843" t="s">
        <v>197</v>
      </c>
      <c r="F843" t="s">
        <v>43</v>
      </c>
      <c r="G843" t="s">
        <v>862</v>
      </c>
      <c r="H843" s="2">
        <v>41191</v>
      </c>
      <c r="I843" s="2">
        <v>41194</v>
      </c>
      <c r="J843" t="s">
        <v>32</v>
      </c>
      <c r="K843" s="2">
        <v>41229.13549760417</v>
      </c>
      <c r="L843" t="s">
        <v>875</v>
      </c>
      <c r="M843">
        <v>399015</v>
      </c>
      <c r="N843">
        <v>1</v>
      </c>
      <c r="O843">
        <v>1</v>
      </c>
      <c r="P843">
        <v>2</v>
      </c>
      <c r="Q843">
        <v>1</v>
      </c>
      <c r="R843">
        <v>2090</v>
      </c>
      <c r="S843" t="s">
        <v>4213</v>
      </c>
      <c r="V843" t="s">
        <v>2459</v>
      </c>
      <c r="W843" t="s">
        <v>53</v>
      </c>
      <c r="X843" t="s">
        <v>2179</v>
      </c>
    </row>
    <row r="844" spans="1:24" ht="12.75">
      <c r="A844" s="1" t="str">
        <f>HYPERLINK("http://www.ofsted.gov.uk/inspection-reports/find-inspection-report/provider/ELS/130670","Ofsted FES Webpage")</f>
        <v>Ofsted FES Webpage</v>
      </c>
      <c r="B844" t="s">
        <v>1062</v>
      </c>
      <c r="C844">
        <v>130670</v>
      </c>
      <c r="D844">
        <v>108435</v>
      </c>
      <c r="E844" t="s">
        <v>53</v>
      </c>
      <c r="F844" t="s">
        <v>43</v>
      </c>
      <c r="G844" t="s">
        <v>862</v>
      </c>
      <c r="H844" s="2">
        <v>40484</v>
      </c>
      <c r="I844" s="2">
        <v>40487</v>
      </c>
      <c r="J844" t="s">
        <v>56</v>
      </c>
      <c r="K844" s="2">
        <v>40522.135449340276</v>
      </c>
      <c r="L844" t="s">
        <v>908</v>
      </c>
      <c r="M844">
        <v>354453</v>
      </c>
      <c r="N844">
        <v>2</v>
      </c>
      <c r="O844">
        <v>2</v>
      </c>
      <c r="P844">
        <v>3</v>
      </c>
      <c r="Q844">
        <v>3</v>
      </c>
      <c r="R844">
        <v>1847</v>
      </c>
      <c r="S844" t="s">
        <v>4214</v>
      </c>
      <c r="T844" t="s">
        <v>4094</v>
      </c>
      <c r="V844" t="s">
        <v>4215</v>
      </c>
      <c r="W844" t="s">
        <v>53</v>
      </c>
      <c r="X844" t="s">
        <v>2180</v>
      </c>
    </row>
    <row r="845" spans="1:24" ht="12.75">
      <c r="A845" s="1" t="str">
        <f>HYPERLINK("http://www.ofsted.gov.uk/inspection-reports/find-inspection-report/provider/ELS/130672","Ofsted FES Webpage")</f>
        <v>Ofsted FES Webpage</v>
      </c>
      <c r="B845" t="s">
        <v>1063</v>
      </c>
      <c r="C845">
        <v>130672</v>
      </c>
      <c r="D845">
        <v>106569</v>
      </c>
      <c r="E845" t="s">
        <v>230</v>
      </c>
      <c r="F845" t="s">
        <v>39</v>
      </c>
      <c r="G845" t="s">
        <v>849</v>
      </c>
      <c r="H845" s="2">
        <v>41589</v>
      </c>
      <c r="I845" s="2">
        <v>41593</v>
      </c>
      <c r="J845" t="s">
        <v>27</v>
      </c>
      <c r="K845" s="2">
        <v>41625.13544695602</v>
      </c>
      <c r="L845" t="s">
        <v>850</v>
      </c>
      <c r="M845">
        <v>423357</v>
      </c>
      <c r="N845">
        <v>3</v>
      </c>
      <c r="O845">
        <v>3</v>
      </c>
      <c r="P845">
        <v>3</v>
      </c>
      <c r="Q845">
        <v>3</v>
      </c>
      <c r="R845">
        <v>16915</v>
      </c>
      <c r="S845" t="s">
        <v>3876</v>
      </c>
      <c r="V845" t="s">
        <v>2767</v>
      </c>
      <c r="W845" t="s">
        <v>95</v>
      </c>
      <c r="X845" t="s">
        <v>1936</v>
      </c>
    </row>
    <row r="846" spans="1:24" ht="12.75">
      <c r="A846" s="1" t="str">
        <f>HYPERLINK("http://www.ofsted.gov.uk/inspection-reports/find-inspection-report/provider/ELS/130674","Ofsted FES Webpage")</f>
        <v>Ofsted FES Webpage</v>
      </c>
      <c r="B846" t="s">
        <v>1064</v>
      </c>
      <c r="C846">
        <v>130674</v>
      </c>
      <c r="D846">
        <v>106564</v>
      </c>
      <c r="E846" t="s">
        <v>95</v>
      </c>
      <c r="F846" t="s">
        <v>39</v>
      </c>
      <c r="G846" t="s">
        <v>849</v>
      </c>
      <c r="H846" s="2">
        <v>41722</v>
      </c>
      <c r="I846" s="2">
        <v>41726</v>
      </c>
      <c r="J846" t="s">
        <v>27</v>
      </c>
      <c r="K846" s="2">
        <v>41761.13547685185</v>
      </c>
      <c r="L846" t="s">
        <v>850</v>
      </c>
      <c r="M846">
        <v>429158</v>
      </c>
      <c r="N846">
        <v>3</v>
      </c>
      <c r="O846">
        <v>3</v>
      </c>
      <c r="P846">
        <v>2</v>
      </c>
      <c r="Q846">
        <v>2</v>
      </c>
      <c r="R846">
        <v>11490</v>
      </c>
      <c r="S846" t="s">
        <v>4216</v>
      </c>
      <c r="V846" t="s">
        <v>2765</v>
      </c>
      <c r="W846" t="s">
        <v>95</v>
      </c>
      <c r="X846" t="s">
        <v>2181</v>
      </c>
    </row>
    <row r="847" spans="1:24" ht="12.75">
      <c r="A847" s="1" t="str">
        <f>HYPERLINK("http://www.ofsted.gov.uk/inspection-reports/find-inspection-report/provider/ELS/130676","Ofsted FES Webpage")</f>
        <v>Ofsted FES Webpage</v>
      </c>
      <c r="B847" t="s">
        <v>1065</v>
      </c>
      <c r="C847">
        <v>130676</v>
      </c>
      <c r="D847">
        <v>105486</v>
      </c>
      <c r="E847" t="s">
        <v>95</v>
      </c>
      <c r="F847" t="s">
        <v>39</v>
      </c>
      <c r="G847" t="s">
        <v>849</v>
      </c>
      <c r="H847" s="2">
        <v>40504</v>
      </c>
      <c r="I847" s="2">
        <v>40508</v>
      </c>
      <c r="J847" t="s">
        <v>56</v>
      </c>
      <c r="K847" s="2">
        <v>40548.13551454861</v>
      </c>
      <c r="L847" t="s">
        <v>851</v>
      </c>
      <c r="M847">
        <v>354437</v>
      </c>
      <c r="N847">
        <v>2</v>
      </c>
      <c r="O847">
        <v>2</v>
      </c>
      <c r="P847">
        <v>3</v>
      </c>
      <c r="Q847">
        <v>3</v>
      </c>
      <c r="R847">
        <v>8674</v>
      </c>
      <c r="S847" t="s">
        <v>4217</v>
      </c>
      <c r="V847" t="s">
        <v>3005</v>
      </c>
      <c r="W847" t="s">
        <v>95</v>
      </c>
      <c r="X847" t="s">
        <v>2182</v>
      </c>
    </row>
    <row r="848" spans="1:24" ht="12.75">
      <c r="A848" s="1" t="str">
        <f>HYPERLINK("http://www.ofsted.gov.uk/inspection-reports/find-inspection-report/provider/ELS/130677","Ofsted FES Webpage")</f>
        <v>Ofsted FES Webpage</v>
      </c>
      <c r="B848" t="s">
        <v>1066</v>
      </c>
      <c r="C848">
        <v>130677</v>
      </c>
      <c r="D848">
        <v>108461</v>
      </c>
      <c r="E848" t="s">
        <v>95</v>
      </c>
      <c r="F848" t="s">
        <v>39</v>
      </c>
      <c r="G848" t="s">
        <v>849</v>
      </c>
      <c r="H848" s="2">
        <v>41407</v>
      </c>
      <c r="I848" s="2">
        <v>41411</v>
      </c>
      <c r="J848" t="s">
        <v>32</v>
      </c>
      <c r="K848" s="2">
        <v>41449.135503969905</v>
      </c>
      <c r="L848" t="s">
        <v>850</v>
      </c>
      <c r="M848">
        <v>410611</v>
      </c>
      <c r="N848">
        <v>3</v>
      </c>
      <c r="O848">
        <v>2</v>
      </c>
      <c r="P848">
        <v>3</v>
      </c>
      <c r="Q848">
        <v>3</v>
      </c>
      <c r="R848">
        <v>3215</v>
      </c>
      <c r="S848" t="s">
        <v>4218</v>
      </c>
      <c r="V848" t="s">
        <v>4219</v>
      </c>
      <c r="W848" t="s">
        <v>95</v>
      </c>
      <c r="X848" t="s">
        <v>2183</v>
      </c>
    </row>
    <row r="849" spans="1:24" ht="12.75">
      <c r="A849" s="1" t="str">
        <f>HYPERLINK("http://www.ofsted.gov.uk/inspection-reports/find-inspection-report/provider/ELS/130679","Ofsted FES Webpage")</f>
        <v>Ofsted FES Webpage</v>
      </c>
      <c r="B849" t="s">
        <v>1067</v>
      </c>
      <c r="C849">
        <v>130679</v>
      </c>
      <c r="D849">
        <v>106563</v>
      </c>
      <c r="E849" t="s">
        <v>95</v>
      </c>
      <c r="F849" t="s">
        <v>39</v>
      </c>
      <c r="G849" t="s">
        <v>849</v>
      </c>
      <c r="H849" s="2">
        <v>41778</v>
      </c>
      <c r="I849" s="2">
        <v>41782</v>
      </c>
      <c r="J849" t="s">
        <v>27</v>
      </c>
      <c r="K849" s="2">
        <v>41820.13547341435</v>
      </c>
      <c r="L849" t="s">
        <v>850</v>
      </c>
      <c r="M849">
        <v>429156</v>
      </c>
      <c r="N849">
        <v>3</v>
      </c>
      <c r="O849">
        <v>3</v>
      </c>
      <c r="P849">
        <v>2</v>
      </c>
      <c r="Q849">
        <v>2</v>
      </c>
      <c r="R849">
        <v>3683</v>
      </c>
      <c r="S849" t="s">
        <v>4220</v>
      </c>
      <c r="V849" t="s">
        <v>2778</v>
      </c>
      <c r="W849" t="s">
        <v>95</v>
      </c>
      <c r="X849" t="s">
        <v>2184</v>
      </c>
    </row>
    <row r="850" spans="1:24" ht="12.75">
      <c r="A850" s="1" t="str">
        <f>HYPERLINK("http://www.ofsted.gov.uk/inspection-reports/find-inspection-report/provider/ELS/130680","Ofsted FES Webpage")</f>
        <v>Ofsted FES Webpage</v>
      </c>
      <c r="B850" t="s">
        <v>1068</v>
      </c>
      <c r="C850">
        <v>130680</v>
      </c>
      <c r="D850">
        <v>108395</v>
      </c>
      <c r="E850" t="s">
        <v>95</v>
      </c>
      <c r="F850" t="s">
        <v>39</v>
      </c>
      <c r="G850" t="s">
        <v>862</v>
      </c>
      <c r="H850" s="2">
        <v>41310</v>
      </c>
      <c r="I850" s="2">
        <v>41313</v>
      </c>
      <c r="J850" t="s">
        <v>32</v>
      </c>
      <c r="K850" s="2">
        <v>41348.135713344906</v>
      </c>
      <c r="L850" t="s">
        <v>875</v>
      </c>
      <c r="M850">
        <v>408452</v>
      </c>
      <c r="N850">
        <v>2</v>
      </c>
      <c r="O850">
        <v>2</v>
      </c>
      <c r="P850">
        <v>1</v>
      </c>
      <c r="Q850">
        <v>1</v>
      </c>
      <c r="R850">
        <v>3143</v>
      </c>
      <c r="S850" t="s">
        <v>4221</v>
      </c>
      <c r="V850" t="s">
        <v>2765</v>
      </c>
      <c r="W850" t="s">
        <v>95</v>
      </c>
      <c r="X850" t="s">
        <v>2185</v>
      </c>
    </row>
    <row r="851" spans="1:24" ht="12.75">
      <c r="A851" s="1" t="str">
        <f>HYPERLINK("http://www.ofsted.gov.uk/inspection-reports/find-inspection-report/provider/ELS/130681","Ofsted FES Webpage")</f>
        <v>Ofsted FES Webpage</v>
      </c>
      <c r="B851" t="s">
        <v>1069</v>
      </c>
      <c r="C851">
        <v>130681</v>
      </c>
      <c r="D851">
        <v>108340</v>
      </c>
      <c r="E851" t="s">
        <v>95</v>
      </c>
      <c r="F851" t="s">
        <v>39</v>
      </c>
      <c r="G851" t="s">
        <v>862</v>
      </c>
      <c r="H851" s="2">
        <v>41379</v>
      </c>
      <c r="I851" s="2">
        <v>41383</v>
      </c>
      <c r="J851" t="s">
        <v>32</v>
      </c>
      <c r="K851" s="2">
        <v>41422.135489733795</v>
      </c>
      <c r="L851" t="s">
        <v>850</v>
      </c>
      <c r="M851">
        <v>409324</v>
      </c>
      <c r="N851">
        <v>3</v>
      </c>
      <c r="O851">
        <v>3</v>
      </c>
      <c r="P851">
        <v>2</v>
      </c>
      <c r="Q851">
        <v>2</v>
      </c>
      <c r="R851">
        <v>3040</v>
      </c>
      <c r="S851" t="s">
        <v>4222</v>
      </c>
      <c r="V851" t="s">
        <v>4223</v>
      </c>
      <c r="W851" t="s">
        <v>95</v>
      </c>
      <c r="X851" t="s">
        <v>2186</v>
      </c>
    </row>
    <row r="852" spans="1:24" ht="12.75">
      <c r="A852" s="1" t="str">
        <f>HYPERLINK("http://www.ofsted.gov.uk/inspection-reports/find-inspection-report/provider/ELS/130682","Ofsted FES Webpage")</f>
        <v>Ofsted FES Webpage</v>
      </c>
      <c r="B852" t="s">
        <v>1070</v>
      </c>
      <c r="C852">
        <v>130682</v>
      </c>
      <c r="D852">
        <v>108332</v>
      </c>
      <c r="E852" t="s">
        <v>641</v>
      </c>
      <c r="F852" t="s">
        <v>39</v>
      </c>
      <c r="G852" t="s">
        <v>862</v>
      </c>
      <c r="H852" s="2">
        <v>41562</v>
      </c>
      <c r="I852" s="2">
        <v>41565</v>
      </c>
      <c r="J852" t="s">
        <v>27</v>
      </c>
      <c r="K852" s="2">
        <v>41596.13546848379</v>
      </c>
      <c r="L852" t="s">
        <v>875</v>
      </c>
      <c r="M852">
        <v>423382</v>
      </c>
      <c r="N852">
        <v>3</v>
      </c>
      <c r="O852">
        <v>3</v>
      </c>
      <c r="P852">
        <v>1</v>
      </c>
      <c r="Q852">
        <v>1</v>
      </c>
      <c r="R852">
        <v>2089</v>
      </c>
      <c r="S852" t="s">
        <v>3374</v>
      </c>
      <c r="V852" t="s">
        <v>2651</v>
      </c>
      <c r="W852" t="s">
        <v>95</v>
      </c>
      <c r="X852" t="s">
        <v>1685</v>
      </c>
    </row>
    <row r="853" spans="1:24" ht="12.75">
      <c r="A853" s="1" t="str">
        <f>HYPERLINK("http://www.ofsted.gov.uk/inspection-reports/find-inspection-report/provider/ELS/130683","Ofsted FES Webpage")</f>
        <v>Ofsted FES Webpage</v>
      </c>
      <c r="B853" t="s">
        <v>1071</v>
      </c>
      <c r="C853">
        <v>130683</v>
      </c>
      <c r="D853">
        <v>106583</v>
      </c>
      <c r="E853" t="s">
        <v>65</v>
      </c>
      <c r="F853" t="s">
        <v>63</v>
      </c>
      <c r="G853" t="s">
        <v>849</v>
      </c>
      <c r="H853" s="2">
        <v>41351</v>
      </c>
      <c r="I853" s="2">
        <v>41355</v>
      </c>
      <c r="J853" t="s">
        <v>32</v>
      </c>
      <c r="K853" s="2">
        <v>41394.13557542824</v>
      </c>
      <c r="L853" t="s">
        <v>850</v>
      </c>
      <c r="M853">
        <v>409316</v>
      </c>
      <c r="N853">
        <v>2</v>
      </c>
      <c r="O853">
        <v>2</v>
      </c>
      <c r="P853">
        <v>2</v>
      </c>
      <c r="Q853">
        <v>2</v>
      </c>
      <c r="R853">
        <v>12314</v>
      </c>
      <c r="S853" t="s">
        <v>4224</v>
      </c>
      <c r="T853" t="s">
        <v>4225</v>
      </c>
      <c r="V853" t="s">
        <v>2358</v>
      </c>
      <c r="W853" t="s">
        <v>65</v>
      </c>
      <c r="X853" t="s">
        <v>1875</v>
      </c>
    </row>
    <row r="854" spans="1:24" ht="12.75">
      <c r="A854" s="1" t="str">
        <f>HYPERLINK("http://www.ofsted.gov.uk/inspection-reports/find-inspection-report/provider/ELS/130686","Ofsted FES Webpage")</f>
        <v>Ofsted FES Webpage</v>
      </c>
      <c r="B854" t="s">
        <v>1072</v>
      </c>
      <c r="C854">
        <v>130686</v>
      </c>
      <c r="D854">
        <v>106582</v>
      </c>
      <c r="E854" t="s">
        <v>65</v>
      </c>
      <c r="F854" t="s">
        <v>63</v>
      </c>
      <c r="G854" t="s">
        <v>849</v>
      </c>
      <c r="H854" s="2">
        <v>39055</v>
      </c>
      <c r="I854" s="2">
        <v>39059</v>
      </c>
      <c r="J854" t="s">
        <v>100</v>
      </c>
      <c r="K854" s="2">
        <v>39115.13549945602</v>
      </c>
      <c r="L854" t="s">
        <v>858</v>
      </c>
      <c r="M854">
        <v>295867</v>
      </c>
      <c r="N854">
        <v>1</v>
      </c>
      <c r="O854">
        <v>1</v>
      </c>
      <c r="P854" t="s">
        <v>20</v>
      </c>
      <c r="Q854" t="s">
        <v>20</v>
      </c>
      <c r="R854">
        <v>3240</v>
      </c>
      <c r="S854" t="s">
        <v>2792</v>
      </c>
      <c r="T854" t="s">
        <v>2793</v>
      </c>
      <c r="V854" t="s">
        <v>2440</v>
      </c>
      <c r="W854" t="s">
        <v>65</v>
      </c>
      <c r="X854" t="s">
        <v>1443</v>
      </c>
    </row>
    <row r="855" spans="1:24" ht="12.75">
      <c r="A855" s="1" t="str">
        <f>HYPERLINK("http://www.ofsted.gov.uk/inspection-reports/find-inspection-report/provider/ELS/130687","Ofsted FES Webpage")</f>
        <v>Ofsted FES Webpage</v>
      </c>
      <c r="B855" t="s">
        <v>1073</v>
      </c>
      <c r="C855">
        <v>130687</v>
      </c>
      <c r="D855">
        <v>106586</v>
      </c>
      <c r="E855" t="s">
        <v>65</v>
      </c>
      <c r="F855" t="s">
        <v>63</v>
      </c>
      <c r="G855" t="s">
        <v>890</v>
      </c>
      <c r="H855" s="2">
        <v>40140</v>
      </c>
      <c r="I855" s="2">
        <v>40144</v>
      </c>
      <c r="J855" t="s">
        <v>18</v>
      </c>
      <c r="K855" s="2">
        <v>40184.135499537035</v>
      </c>
      <c r="L855" t="s">
        <v>858</v>
      </c>
      <c r="M855">
        <v>345455</v>
      </c>
      <c r="N855">
        <v>1</v>
      </c>
      <c r="O855">
        <v>1</v>
      </c>
      <c r="P855">
        <v>2</v>
      </c>
      <c r="Q855">
        <v>2</v>
      </c>
      <c r="R855">
        <v>4351</v>
      </c>
      <c r="S855" t="s">
        <v>4226</v>
      </c>
      <c r="T855" t="s">
        <v>4227</v>
      </c>
      <c r="V855" t="s">
        <v>2458</v>
      </c>
      <c r="W855" t="s">
        <v>65</v>
      </c>
      <c r="X855" t="s">
        <v>2187</v>
      </c>
    </row>
    <row r="856" spans="1:24" ht="12.75">
      <c r="A856" s="1" t="str">
        <f>HYPERLINK("http://www.ofsted.gov.uk/inspection-reports/find-inspection-report/provider/ELS/130688","Ofsted FES Webpage")</f>
        <v>Ofsted FES Webpage</v>
      </c>
      <c r="B856" t="s">
        <v>1074</v>
      </c>
      <c r="C856">
        <v>130688</v>
      </c>
      <c r="D856">
        <v>106596</v>
      </c>
      <c r="E856" t="s">
        <v>59</v>
      </c>
      <c r="F856" t="s">
        <v>43</v>
      </c>
      <c r="G856" t="s">
        <v>849</v>
      </c>
      <c r="H856" s="2">
        <v>41414</v>
      </c>
      <c r="I856" s="2">
        <v>41418</v>
      </c>
      <c r="J856" t="s">
        <v>32</v>
      </c>
      <c r="K856" s="2">
        <v>41456.13547638889</v>
      </c>
      <c r="L856" t="s">
        <v>850</v>
      </c>
      <c r="M856">
        <v>410608</v>
      </c>
      <c r="N856">
        <v>2</v>
      </c>
      <c r="O856">
        <v>1</v>
      </c>
      <c r="P856">
        <v>3</v>
      </c>
      <c r="Q856">
        <v>3</v>
      </c>
      <c r="R856">
        <v>8173</v>
      </c>
      <c r="S856" t="s">
        <v>4228</v>
      </c>
      <c r="V856" t="s">
        <v>2633</v>
      </c>
      <c r="W856" t="s">
        <v>59</v>
      </c>
      <c r="X856" t="s">
        <v>2188</v>
      </c>
    </row>
    <row r="857" spans="1:24" ht="12.75">
      <c r="A857" s="1" t="str">
        <f>HYPERLINK("http://www.ofsted.gov.uk/inspection-reports/find-inspection-report/provider/ELS/130689","Ofsted FES Webpage")</f>
        <v>Ofsted FES Webpage</v>
      </c>
      <c r="B857" t="s">
        <v>1075</v>
      </c>
      <c r="C857">
        <v>130689</v>
      </c>
      <c r="D857">
        <v>106602</v>
      </c>
      <c r="E857" t="s">
        <v>59</v>
      </c>
      <c r="F857" t="s">
        <v>43</v>
      </c>
      <c r="G857" t="s">
        <v>849</v>
      </c>
      <c r="H857" s="2">
        <v>40861</v>
      </c>
      <c r="I857" s="2">
        <v>40865</v>
      </c>
      <c r="J857" t="s">
        <v>23</v>
      </c>
      <c r="K857" s="2">
        <v>40900.13546631944</v>
      </c>
      <c r="L857" t="s">
        <v>851</v>
      </c>
      <c r="M857">
        <v>376150</v>
      </c>
      <c r="N857">
        <v>1</v>
      </c>
      <c r="O857">
        <v>1</v>
      </c>
      <c r="P857">
        <v>3</v>
      </c>
      <c r="Q857">
        <v>2</v>
      </c>
      <c r="R857">
        <v>3705</v>
      </c>
      <c r="S857" t="s">
        <v>4229</v>
      </c>
      <c r="V857" t="s">
        <v>2991</v>
      </c>
      <c r="W857" t="s">
        <v>59</v>
      </c>
      <c r="X857" t="s">
        <v>2189</v>
      </c>
    </row>
    <row r="858" spans="1:24" ht="12.75">
      <c r="A858" s="1" t="str">
        <f>HYPERLINK("http://www.ofsted.gov.uk/inspection-reports/find-inspection-report/provider/ELS/130690","Ofsted FES Webpage")</f>
        <v>Ofsted FES Webpage</v>
      </c>
      <c r="B858" t="s">
        <v>1076</v>
      </c>
      <c r="C858">
        <v>130690</v>
      </c>
      <c r="D858">
        <v>108468</v>
      </c>
      <c r="E858" t="s">
        <v>59</v>
      </c>
      <c r="F858" t="s">
        <v>43</v>
      </c>
      <c r="G858" t="s">
        <v>849</v>
      </c>
      <c r="H858" s="2">
        <v>39575</v>
      </c>
      <c r="I858" s="2">
        <v>39576</v>
      </c>
      <c r="J858" t="s">
        <v>154</v>
      </c>
      <c r="K858" s="2">
        <v>39626.13589517361</v>
      </c>
      <c r="L858" t="s">
        <v>858</v>
      </c>
      <c r="M858">
        <v>322401</v>
      </c>
      <c r="N858">
        <v>1</v>
      </c>
      <c r="O858">
        <v>1</v>
      </c>
      <c r="P858" t="s">
        <v>20</v>
      </c>
      <c r="Q858" t="s">
        <v>20</v>
      </c>
      <c r="R858">
        <v>9015</v>
      </c>
      <c r="S858" t="s">
        <v>4230</v>
      </c>
      <c r="V858" t="s">
        <v>4231</v>
      </c>
      <c r="W858" t="s">
        <v>59</v>
      </c>
      <c r="X858" t="s">
        <v>2190</v>
      </c>
    </row>
    <row r="859" spans="1:24" ht="12.75">
      <c r="A859" s="1" t="str">
        <f>HYPERLINK("http://www.ofsted.gov.uk/inspection-reports/find-inspection-report/provider/ELS/130691","Ofsted FES Webpage")</f>
        <v>Ofsted FES Webpage</v>
      </c>
      <c r="B859" t="s">
        <v>1077</v>
      </c>
      <c r="C859">
        <v>130691</v>
      </c>
      <c r="D859">
        <v>108469</v>
      </c>
      <c r="E859" t="s">
        <v>59</v>
      </c>
      <c r="F859" t="s">
        <v>43</v>
      </c>
      <c r="G859" t="s">
        <v>862</v>
      </c>
      <c r="H859" s="2">
        <v>40085</v>
      </c>
      <c r="I859" s="2">
        <v>40088</v>
      </c>
      <c r="J859" t="s">
        <v>18</v>
      </c>
      <c r="K859" s="2">
        <v>40134.135507025465</v>
      </c>
      <c r="L859" t="s">
        <v>863</v>
      </c>
      <c r="M859">
        <v>342292</v>
      </c>
      <c r="N859">
        <v>1</v>
      </c>
      <c r="O859">
        <v>1</v>
      </c>
      <c r="P859">
        <v>1</v>
      </c>
      <c r="Q859">
        <v>1</v>
      </c>
      <c r="R859">
        <v>2512</v>
      </c>
      <c r="S859" t="s">
        <v>4232</v>
      </c>
      <c r="V859" t="s">
        <v>2811</v>
      </c>
      <c r="W859" t="s">
        <v>59</v>
      </c>
      <c r="X859" t="s">
        <v>2191</v>
      </c>
    </row>
    <row r="860" spans="1:24" ht="12.75">
      <c r="A860" s="1" t="str">
        <f>HYPERLINK("http://www.ofsted.gov.uk/inspection-reports/find-inspection-report/provider/ELS/130692","Ofsted FES Webpage")</f>
        <v>Ofsted FES Webpage</v>
      </c>
      <c r="B860" t="s">
        <v>1078</v>
      </c>
      <c r="C860">
        <v>130692</v>
      </c>
      <c r="D860">
        <v>108524</v>
      </c>
      <c r="E860" t="s">
        <v>59</v>
      </c>
      <c r="F860" t="s">
        <v>43</v>
      </c>
      <c r="G860" t="s">
        <v>849</v>
      </c>
      <c r="H860" s="2">
        <v>41050</v>
      </c>
      <c r="I860" s="2">
        <v>41054</v>
      </c>
      <c r="J860" t="s">
        <v>23</v>
      </c>
      <c r="K860" s="2">
        <v>41099.1355153125</v>
      </c>
      <c r="L860" t="s">
        <v>858</v>
      </c>
      <c r="M860">
        <v>388022</v>
      </c>
      <c r="N860">
        <v>1</v>
      </c>
      <c r="O860">
        <v>1</v>
      </c>
      <c r="P860">
        <v>2</v>
      </c>
      <c r="Q860">
        <v>2</v>
      </c>
      <c r="R860">
        <v>17032</v>
      </c>
      <c r="S860" t="s">
        <v>3941</v>
      </c>
      <c r="V860" t="s">
        <v>2829</v>
      </c>
      <c r="W860" t="s">
        <v>59</v>
      </c>
      <c r="X860" t="s">
        <v>2192</v>
      </c>
    </row>
    <row r="861" spans="1:24" ht="12.75">
      <c r="A861" s="1" t="str">
        <f>HYPERLINK("http://www.ofsted.gov.uk/inspection-reports/find-inspection-report/provider/ELS/130693","Ofsted FES Webpage")</f>
        <v>Ofsted FES Webpage</v>
      </c>
      <c r="B861" t="s">
        <v>1079</v>
      </c>
      <c r="C861">
        <v>130693</v>
      </c>
      <c r="D861">
        <v>108459</v>
      </c>
      <c r="E861" t="s">
        <v>59</v>
      </c>
      <c r="F861" t="s">
        <v>43</v>
      </c>
      <c r="G861" t="s">
        <v>849</v>
      </c>
      <c r="H861" s="2">
        <v>41393</v>
      </c>
      <c r="I861" s="2">
        <v>41397</v>
      </c>
      <c r="J861" t="s">
        <v>32</v>
      </c>
      <c r="K861" s="2">
        <v>41436.13549872685</v>
      </c>
      <c r="L861" t="s">
        <v>850</v>
      </c>
      <c r="M861">
        <v>409445</v>
      </c>
      <c r="N861">
        <v>2</v>
      </c>
      <c r="O861">
        <v>2</v>
      </c>
      <c r="P861">
        <v>3</v>
      </c>
      <c r="Q861">
        <v>3</v>
      </c>
      <c r="R861">
        <v>4546</v>
      </c>
      <c r="S861" t="s">
        <v>4233</v>
      </c>
      <c r="V861" t="s">
        <v>2935</v>
      </c>
      <c r="W861" t="s">
        <v>59</v>
      </c>
      <c r="X861" t="s">
        <v>2193</v>
      </c>
    </row>
    <row r="862" spans="1:24" ht="12.75">
      <c r="A862" s="1" t="str">
        <f>HYPERLINK("http://www.ofsted.gov.uk/inspection-reports/find-inspection-report/provider/ELS/130695","Ofsted FES Webpage")</f>
        <v>Ofsted FES Webpage</v>
      </c>
      <c r="B862" t="s">
        <v>1080</v>
      </c>
      <c r="C862">
        <v>130695</v>
      </c>
      <c r="D862">
        <v>108488</v>
      </c>
      <c r="E862" t="s">
        <v>59</v>
      </c>
      <c r="F862" t="s">
        <v>43</v>
      </c>
      <c r="G862" t="s">
        <v>849</v>
      </c>
      <c r="H862" s="2">
        <v>39357</v>
      </c>
      <c r="I862" s="2">
        <v>39358</v>
      </c>
      <c r="J862" t="s">
        <v>154</v>
      </c>
      <c r="K862" s="2">
        <v>39409.135528819446</v>
      </c>
      <c r="L862" t="s">
        <v>858</v>
      </c>
      <c r="M862">
        <v>316618</v>
      </c>
      <c r="N862">
        <v>1</v>
      </c>
      <c r="O862">
        <v>1</v>
      </c>
      <c r="P862" t="s">
        <v>20</v>
      </c>
      <c r="Q862" t="s">
        <v>20</v>
      </c>
      <c r="R862">
        <v>8595</v>
      </c>
      <c r="S862" t="s">
        <v>2881</v>
      </c>
      <c r="V862" t="s">
        <v>3078</v>
      </c>
      <c r="W862" t="s">
        <v>59</v>
      </c>
      <c r="X862" t="s">
        <v>2194</v>
      </c>
    </row>
    <row r="863" spans="1:24" ht="12.75">
      <c r="A863" s="1" t="str">
        <f>HYPERLINK("http://www.ofsted.gov.uk/inspection-reports/find-inspection-report/provider/ELS/130696","Ofsted FES Webpage")</f>
        <v>Ofsted FES Webpage</v>
      </c>
      <c r="B863" t="s">
        <v>1081</v>
      </c>
      <c r="C863">
        <v>130696</v>
      </c>
      <c r="D863">
        <v>106614</v>
      </c>
      <c r="E863" t="s">
        <v>592</v>
      </c>
      <c r="F863" t="s">
        <v>43</v>
      </c>
      <c r="G863" t="s">
        <v>849</v>
      </c>
      <c r="H863" s="2">
        <v>40609</v>
      </c>
      <c r="I863" s="2">
        <v>40613</v>
      </c>
      <c r="J863" t="s">
        <v>56</v>
      </c>
      <c r="K863" s="2">
        <v>40648.135441782404</v>
      </c>
      <c r="L863" t="s">
        <v>851</v>
      </c>
      <c r="M863">
        <v>363303</v>
      </c>
      <c r="N863">
        <v>2</v>
      </c>
      <c r="O863">
        <v>2</v>
      </c>
      <c r="P863">
        <v>3</v>
      </c>
      <c r="Q863">
        <v>3</v>
      </c>
      <c r="R863">
        <v>5214</v>
      </c>
      <c r="S863" t="s">
        <v>4234</v>
      </c>
      <c r="V863" t="s">
        <v>592</v>
      </c>
      <c r="W863" t="s">
        <v>59</v>
      </c>
      <c r="X863" t="s">
        <v>2195</v>
      </c>
    </row>
    <row r="864" spans="1:24" ht="12.75">
      <c r="A864" s="1" t="str">
        <f>HYPERLINK("http://www.ofsted.gov.uk/inspection-reports/find-inspection-report/provider/ELS/130697","Ofsted FES Webpage")</f>
        <v>Ofsted FES Webpage</v>
      </c>
      <c r="B864" t="s">
        <v>1082</v>
      </c>
      <c r="C864">
        <v>130697</v>
      </c>
      <c r="D864">
        <v>110218</v>
      </c>
      <c r="E864" t="s">
        <v>516</v>
      </c>
      <c r="F864" t="s">
        <v>43</v>
      </c>
      <c r="G864" t="s">
        <v>849</v>
      </c>
      <c r="H864" s="2">
        <v>40672</v>
      </c>
      <c r="I864" s="2">
        <v>40676</v>
      </c>
      <c r="J864" t="s">
        <v>56</v>
      </c>
      <c r="K864" s="2">
        <v>40714.13544644676</v>
      </c>
      <c r="L864" t="s">
        <v>858</v>
      </c>
      <c r="M864">
        <v>375471</v>
      </c>
      <c r="N864">
        <v>1</v>
      </c>
      <c r="O864">
        <v>1</v>
      </c>
      <c r="P864">
        <v>2</v>
      </c>
      <c r="Q864">
        <v>2</v>
      </c>
      <c r="R864">
        <v>6168</v>
      </c>
      <c r="S864" t="s">
        <v>4235</v>
      </c>
      <c r="T864" t="s">
        <v>2998</v>
      </c>
      <c r="V864" t="s">
        <v>516</v>
      </c>
      <c r="W864" t="s">
        <v>59</v>
      </c>
      <c r="X864" t="s">
        <v>2196</v>
      </c>
    </row>
    <row r="865" spans="1:24" ht="12.75">
      <c r="A865" s="1" t="str">
        <f>HYPERLINK("http://www.ofsted.gov.uk/inspection-reports/find-inspection-report/provider/ELS/130698","Ofsted FES Webpage")</f>
        <v>Ofsted FES Webpage</v>
      </c>
      <c r="B865" t="s">
        <v>1083</v>
      </c>
      <c r="C865">
        <v>130698</v>
      </c>
      <c r="D865">
        <v>106618</v>
      </c>
      <c r="E865" t="s">
        <v>59</v>
      </c>
      <c r="F865" t="s">
        <v>43</v>
      </c>
      <c r="G865" t="s">
        <v>890</v>
      </c>
      <c r="H865" s="2">
        <v>41680</v>
      </c>
      <c r="I865" s="2">
        <v>41684</v>
      </c>
      <c r="J865" t="s">
        <v>27</v>
      </c>
      <c r="K865" s="2">
        <v>41719.13549826389</v>
      </c>
      <c r="L865" t="s">
        <v>850</v>
      </c>
      <c r="M865">
        <v>429182</v>
      </c>
      <c r="N865">
        <v>2</v>
      </c>
      <c r="O865">
        <v>2</v>
      </c>
      <c r="P865">
        <v>2</v>
      </c>
      <c r="Q865">
        <v>2</v>
      </c>
      <c r="R865">
        <v>5504</v>
      </c>
      <c r="V865" t="s">
        <v>3003</v>
      </c>
      <c r="W865" t="s">
        <v>59</v>
      </c>
      <c r="X865" t="s">
        <v>1763</v>
      </c>
    </row>
    <row r="866" spans="1:24" ht="12.75">
      <c r="A866" s="1" t="str">
        <f>HYPERLINK("http://www.ofsted.gov.uk/inspection-reports/find-inspection-report/provider/ELS/130699","Ofsted FES Webpage")</f>
        <v>Ofsted FES Webpage</v>
      </c>
      <c r="B866" t="s">
        <v>1084</v>
      </c>
      <c r="C866">
        <v>130699</v>
      </c>
      <c r="D866">
        <v>108382</v>
      </c>
      <c r="E866" t="s">
        <v>59</v>
      </c>
      <c r="F866" t="s">
        <v>43</v>
      </c>
      <c r="G866" t="s">
        <v>862</v>
      </c>
      <c r="H866" s="2">
        <v>41674</v>
      </c>
      <c r="I866" s="2">
        <v>41677</v>
      </c>
      <c r="J866" t="s">
        <v>27</v>
      </c>
      <c r="K866" s="2">
        <v>41712.135491354165</v>
      </c>
      <c r="L866" t="s">
        <v>897</v>
      </c>
      <c r="M866">
        <v>429256</v>
      </c>
      <c r="N866">
        <v>3</v>
      </c>
      <c r="O866">
        <v>3</v>
      </c>
      <c r="P866">
        <v>3</v>
      </c>
      <c r="Q866">
        <v>3</v>
      </c>
      <c r="R866">
        <v>4251</v>
      </c>
      <c r="S866" t="s">
        <v>4236</v>
      </c>
      <c r="T866" t="s">
        <v>4237</v>
      </c>
      <c r="V866" t="s">
        <v>592</v>
      </c>
      <c r="W866" t="s">
        <v>59</v>
      </c>
      <c r="X866" t="s">
        <v>2197</v>
      </c>
    </row>
    <row r="867" spans="1:24" ht="12.75">
      <c r="A867" s="1" t="str">
        <f>HYPERLINK("http://www.ofsted.gov.uk/inspection-reports/find-inspection-report/provider/ELS/130700","Ofsted FES Webpage")</f>
        <v>Ofsted FES Webpage</v>
      </c>
      <c r="B867" t="s">
        <v>1085</v>
      </c>
      <c r="C867">
        <v>130700</v>
      </c>
      <c r="D867">
        <v>108399</v>
      </c>
      <c r="E867" t="s">
        <v>59</v>
      </c>
      <c r="F867" t="s">
        <v>43</v>
      </c>
      <c r="G867" t="s">
        <v>862</v>
      </c>
      <c r="H867" s="2">
        <v>40309</v>
      </c>
      <c r="I867" s="2">
        <v>40312</v>
      </c>
      <c r="J867" t="s">
        <v>18</v>
      </c>
      <c r="K867" s="2">
        <v>40343.135525150465</v>
      </c>
      <c r="L867" t="s">
        <v>863</v>
      </c>
      <c r="M867">
        <v>345838</v>
      </c>
      <c r="N867">
        <v>2</v>
      </c>
      <c r="O867">
        <v>1</v>
      </c>
      <c r="P867">
        <v>2</v>
      </c>
      <c r="Q867">
        <v>2</v>
      </c>
      <c r="R867">
        <v>2582</v>
      </c>
      <c r="S867" t="s">
        <v>4238</v>
      </c>
      <c r="V867" t="s">
        <v>2633</v>
      </c>
      <c r="W867" t="s">
        <v>59</v>
      </c>
      <c r="X867" t="s">
        <v>2198</v>
      </c>
    </row>
    <row r="868" spans="1:24" ht="12.75">
      <c r="A868" s="1" t="str">
        <f>HYPERLINK("http://www.ofsted.gov.uk/inspection-reports/find-inspection-report/provider/ELS/130701","Ofsted FES Webpage")</f>
        <v>Ofsted FES Webpage</v>
      </c>
      <c r="B868" t="s">
        <v>1086</v>
      </c>
      <c r="C868">
        <v>130701</v>
      </c>
      <c r="D868">
        <v>108437</v>
      </c>
      <c r="E868" t="s">
        <v>59</v>
      </c>
      <c r="F868" t="s">
        <v>43</v>
      </c>
      <c r="G868" t="s">
        <v>862</v>
      </c>
      <c r="H868" s="2">
        <v>40211</v>
      </c>
      <c r="I868" s="2">
        <v>40214</v>
      </c>
      <c r="J868" t="s">
        <v>18</v>
      </c>
      <c r="K868" s="2">
        <v>40249.13553564815</v>
      </c>
      <c r="L868" t="s">
        <v>863</v>
      </c>
      <c r="M868">
        <v>343646</v>
      </c>
      <c r="N868">
        <v>2</v>
      </c>
      <c r="O868">
        <v>1</v>
      </c>
      <c r="P868">
        <v>2</v>
      </c>
      <c r="Q868">
        <v>2</v>
      </c>
      <c r="R868">
        <v>3272</v>
      </c>
      <c r="S868" t="s">
        <v>3941</v>
      </c>
      <c r="V868" t="s">
        <v>2829</v>
      </c>
      <c r="W868" t="s">
        <v>59</v>
      </c>
      <c r="X868" t="s">
        <v>2199</v>
      </c>
    </row>
    <row r="869" spans="1:24" ht="12.75">
      <c r="A869" s="1" t="str">
        <f>HYPERLINK("http://www.ofsted.gov.uk/inspection-reports/find-inspection-report/provider/ELS/130702","Ofsted FES Webpage")</f>
        <v>Ofsted FES Webpage</v>
      </c>
      <c r="B869" t="s">
        <v>1087</v>
      </c>
      <c r="C869">
        <v>130702</v>
      </c>
      <c r="D869">
        <v>108422</v>
      </c>
      <c r="E869" t="s">
        <v>59</v>
      </c>
      <c r="F869" t="s">
        <v>43</v>
      </c>
      <c r="G869" t="s">
        <v>862</v>
      </c>
      <c r="H869" s="2">
        <v>41338</v>
      </c>
      <c r="I869" s="2">
        <v>41341</v>
      </c>
      <c r="J869" t="s">
        <v>32</v>
      </c>
      <c r="K869" s="2">
        <v>41380.13558984954</v>
      </c>
      <c r="L869" t="s">
        <v>875</v>
      </c>
      <c r="M869">
        <v>409442</v>
      </c>
      <c r="N869">
        <v>2</v>
      </c>
      <c r="O869">
        <v>2</v>
      </c>
      <c r="P869">
        <v>3</v>
      </c>
      <c r="Q869">
        <v>3</v>
      </c>
      <c r="R869">
        <v>1709</v>
      </c>
      <c r="S869" t="s">
        <v>3040</v>
      </c>
      <c r="V869" t="s">
        <v>3111</v>
      </c>
      <c r="W869" t="s">
        <v>59</v>
      </c>
      <c r="X869" t="s">
        <v>2200</v>
      </c>
    </row>
    <row r="870" spans="1:24" ht="12.75">
      <c r="A870" s="1" t="str">
        <f>HYPERLINK("http://www.ofsted.gov.uk/inspection-reports/find-inspection-report/provider/ELS/130703","Ofsted FES Webpage")</f>
        <v>Ofsted FES Webpage</v>
      </c>
      <c r="B870" t="s">
        <v>1088</v>
      </c>
      <c r="C870">
        <v>130703</v>
      </c>
      <c r="D870">
        <v>108394</v>
      </c>
      <c r="E870" t="s">
        <v>59</v>
      </c>
      <c r="F870" t="s">
        <v>43</v>
      </c>
      <c r="G870" t="s">
        <v>862</v>
      </c>
      <c r="H870" s="2">
        <v>39203</v>
      </c>
      <c r="I870" s="2">
        <v>39203</v>
      </c>
      <c r="J870" t="s">
        <v>100</v>
      </c>
      <c r="K870" s="2">
        <v>39192.13551883102</v>
      </c>
      <c r="L870" t="s">
        <v>876</v>
      </c>
      <c r="M870">
        <v>295114</v>
      </c>
      <c r="N870">
        <v>1</v>
      </c>
      <c r="O870">
        <v>1</v>
      </c>
      <c r="P870" t="s">
        <v>20</v>
      </c>
      <c r="Q870" t="s">
        <v>20</v>
      </c>
      <c r="R870">
        <v>3318</v>
      </c>
      <c r="S870" t="s">
        <v>4239</v>
      </c>
      <c r="V870" t="s">
        <v>2991</v>
      </c>
      <c r="W870" t="s">
        <v>59</v>
      </c>
      <c r="X870" t="s">
        <v>2201</v>
      </c>
    </row>
    <row r="871" spans="1:24" ht="12.75">
      <c r="A871" s="1" t="str">
        <f>HYPERLINK("http://www.ofsted.gov.uk/inspection-reports/find-inspection-report/provider/ELS/130704","Ofsted FES Webpage")</f>
        <v>Ofsted FES Webpage</v>
      </c>
      <c r="B871" t="s">
        <v>1089</v>
      </c>
      <c r="C871">
        <v>130704</v>
      </c>
      <c r="D871">
        <v>108416</v>
      </c>
      <c r="E871" t="s">
        <v>592</v>
      </c>
      <c r="F871" t="s">
        <v>43</v>
      </c>
      <c r="G871" t="s">
        <v>862</v>
      </c>
      <c r="H871" s="2">
        <v>41548</v>
      </c>
      <c r="I871" s="2">
        <v>41551</v>
      </c>
      <c r="J871" t="s">
        <v>27</v>
      </c>
      <c r="K871" s="2">
        <v>41586.13549386574</v>
      </c>
      <c r="L871" t="s">
        <v>875</v>
      </c>
      <c r="M871">
        <v>423383</v>
      </c>
      <c r="N871">
        <v>2</v>
      </c>
      <c r="O871">
        <v>2</v>
      </c>
      <c r="P871">
        <v>2</v>
      </c>
      <c r="Q871">
        <v>2</v>
      </c>
      <c r="R871">
        <v>1733</v>
      </c>
      <c r="S871" t="s">
        <v>4240</v>
      </c>
      <c r="T871" t="s">
        <v>4241</v>
      </c>
      <c r="V871" t="s">
        <v>592</v>
      </c>
      <c r="W871" t="s">
        <v>59</v>
      </c>
      <c r="X871" t="s">
        <v>2202</v>
      </c>
    </row>
    <row r="872" spans="1:24" ht="12.75">
      <c r="A872" s="1" t="str">
        <f>HYPERLINK("http://www.ofsted.gov.uk/inspection-reports/find-inspection-report/provider/ELS/130705","Ofsted FES Webpage")</f>
        <v>Ofsted FES Webpage</v>
      </c>
      <c r="B872" t="s">
        <v>1090</v>
      </c>
      <c r="C872">
        <v>130705</v>
      </c>
      <c r="D872">
        <v>108387</v>
      </c>
      <c r="E872" t="s">
        <v>59</v>
      </c>
      <c r="F872" t="s">
        <v>43</v>
      </c>
      <c r="G872" t="s">
        <v>862</v>
      </c>
      <c r="H872" s="2">
        <v>41730</v>
      </c>
      <c r="I872" s="2">
        <v>41733</v>
      </c>
      <c r="J872" t="s">
        <v>27</v>
      </c>
      <c r="K872" s="2">
        <v>41773.13545084491</v>
      </c>
      <c r="L872" t="s">
        <v>897</v>
      </c>
      <c r="M872">
        <v>429292</v>
      </c>
      <c r="N872">
        <v>3</v>
      </c>
      <c r="O872">
        <v>3</v>
      </c>
      <c r="P872">
        <v>3</v>
      </c>
      <c r="Q872">
        <v>3</v>
      </c>
      <c r="R872">
        <v>2367</v>
      </c>
      <c r="S872" t="s">
        <v>3034</v>
      </c>
      <c r="V872" t="s">
        <v>2846</v>
      </c>
      <c r="W872" t="s">
        <v>59</v>
      </c>
      <c r="X872" t="s">
        <v>2203</v>
      </c>
    </row>
    <row r="873" spans="1:24" ht="12.75">
      <c r="A873" s="1" t="str">
        <f>HYPERLINK("http://www.ofsted.gov.uk/inspection-reports/find-inspection-report/provider/ELS/130706","Ofsted FES Webpage")</f>
        <v>Ofsted FES Webpage</v>
      </c>
      <c r="B873" t="s">
        <v>1091</v>
      </c>
      <c r="C873">
        <v>130706</v>
      </c>
      <c r="D873">
        <v>108402</v>
      </c>
      <c r="E873" t="s">
        <v>516</v>
      </c>
      <c r="F873" t="s">
        <v>43</v>
      </c>
      <c r="G873" t="s">
        <v>862</v>
      </c>
      <c r="H873" s="2">
        <v>41345</v>
      </c>
      <c r="I873" s="2">
        <v>41348</v>
      </c>
      <c r="J873" t="s">
        <v>32</v>
      </c>
      <c r="K873" s="2">
        <v>41387.135575</v>
      </c>
      <c r="L873" t="s">
        <v>875</v>
      </c>
      <c r="M873">
        <v>408458</v>
      </c>
      <c r="N873">
        <v>2</v>
      </c>
      <c r="O873">
        <v>2</v>
      </c>
      <c r="P873">
        <v>3</v>
      </c>
      <c r="Q873">
        <v>2</v>
      </c>
      <c r="R873">
        <v>2690</v>
      </c>
      <c r="S873" t="s">
        <v>4242</v>
      </c>
      <c r="V873" t="s">
        <v>516</v>
      </c>
      <c r="W873" t="s">
        <v>59</v>
      </c>
      <c r="X873" t="s">
        <v>2204</v>
      </c>
    </row>
    <row r="874" spans="1:24" ht="12.75">
      <c r="A874" s="1" t="str">
        <f>HYPERLINK("http://www.ofsted.gov.uk/inspection-reports/find-inspection-report/provider/ELS/130707","Ofsted FES Webpage")</f>
        <v>Ofsted FES Webpage</v>
      </c>
      <c r="B874" t="s">
        <v>1092</v>
      </c>
      <c r="C874">
        <v>130707</v>
      </c>
      <c r="D874">
        <v>108384</v>
      </c>
      <c r="E874" t="s">
        <v>592</v>
      </c>
      <c r="F874" t="s">
        <v>43</v>
      </c>
      <c r="G874" t="s">
        <v>862</v>
      </c>
      <c r="H874" s="2">
        <v>41562</v>
      </c>
      <c r="I874" s="2">
        <v>41565</v>
      </c>
      <c r="J874" t="s">
        <v>27</v>
      </c>
      <c r="K874" s="2">
        <v>41600.13547306713</v>
      </c>
      <c r="L874" t="s">
        <v>875</v>
      </c>
      <c r="M874">
        <v>423384</v>
      </c>
      <c r="N874">
        <v>2</v>
      </c>
      <c r="O874">
        <v>2</v>
      </c>
      <c r="P874">
        <v>3</v>
      </c>
      <c r="Q874">
        <v>3</v>
      </c>
      <c r="R874">
        <v>1196</v>
      </c>
      <c r="S874" t="s">
        <v>4243</v>
      </c>
      <c r="V874" t="s">
        <v>592</v>
      </c>
      <c r="W874" t="s">
        <v>59</v>
      </c>
      <c r="X874" t="s">
        <v>2205</v>
      </c>
    </row>
    <row r="875" spans="1:24" ht="12.75">
      <c r="A875" s="1" t="str">
        <f>HYPERLINK("http://www.ofsted.gov.uk/inspection-reports/find-inspection-report/provider/ELS/130708","Ofsted FES Webpage")</f>
        <v>Ofsted FES Webpage</v>
      </c>
      <c r="B875" t="s">
        <v>1093</v>
      </c>
      <c r="C875">
        <v>130708</v>
      </c>
      <c r="D875">
        <v>108405</v>
      </c>
      <c r="E875" t="s">
        <v>59</v>
      </c>
      <c r="F875" t="s">
        <v>43</v>
      </c>
      <c r="G875" t="s">
        <v>862</v>
      </c>
      <c r="H875" s="2">
        <v>39533</v>
      </c>
      <c r="I875" s="2">
        <v>39534</v>
      </c>
      <c r="J875" t="s">
        <v>154</v>
      </c>
      <c r="K875" s="2">
        <v>39584.135585185184</v>
      </c>
      <c r="L875" t="s">
        <v>863</v>
      </c>
      <c r="M875">
        <v>318857</v>
      </c>
      <c r="N875">
        <v>1</v>
      </c>
      <c r="O875">
        <v>1</v>
      </c>
      <c r="P875" t="s">
        <v>20</v>
      </c>
      <c r="Q875" t="s">
        <v>20</v>
      </c>
      <c r="R875">
        <v>4303</v>
      </c>
      <c r="S875" t="s">
        <v>4244</v>
      </c>
      <c r="V875" t="s">
        <v>3003</v>
      </c>
      <c r="W875" t="s">
        <v>59</v>
      </c>
      <c r="X875" t="s">
        <v>2206</v>
      </c>
    </row>
    <row r="876" spans="1:24" ht="12.75">
      <c r="A876" s="1" t="str">
        <f>HYPERLINK("http://www.ofsted.gov.uk/inspection-reports/find-inspection-report/provider/ELS/130709","Ofsted FES Webpage")</f>
        <v>Ofsted FES Webpage</v>
      </c>
      <c r="B876" t="s">
        <v>1094</v>
      </c>
      <c r="C876">
        <v>130709</v>
      </c>
      <c r="D876">
        <v>109884</v>
      </c>
      <c r="E876" t="s">
        <v>93</v>
      </c>
      <c r="F876" t="s">
        <v>49</v>
      </c>
      <c r="G876" t="s">
        <v>849</v>
      </c>
      <c r="H876" s="2">
        <v>41583</v>
      </c>
      <c r="I876" s="2">
        <v>41586</v>
      </c>
      <c r="J876" t="s">
        <v>27</v>
      </c>
      <c r="K876" s="2">
        <v>41618.13545019676</v>
      </c>
      <c r="L876" t="s">
        <v>866</v>
      </c>
      <c r="M876">
        <v>411685</v>
      </c>
      <c r="N876">
        <v>2</v>
      </c>
      <c r="O876">
        <v>2</v>
      </c>
      <c r="P876">
        <v>4</v>
      </c>
      <c r="Q876">
        <v>4</v>
      </c>
      <c r="R876">
        <v>2909</v>
      </c>
      <c r="S876" t="s">
        <v>4245</v>
      </c>
      <c r="V876" t="s">
        <v>3044</v>
      </c>
      <c r="W876" t="s">
        <v>93</v>
      </c>
      <c r="X876" t="s">
        <v>2207</v>
      </c>
    </row>
    <row r="877" spans="1:24" ht="12.75">
      <c r="A877" s="1" t="str">
        <f>HYPERLINK("http://www.ofsted.gov.uk/inspection-reports/find-inspection-report/provider/ELS/130710","Ofsted FES Webpage")</f>
        <v>Ofsted FES Webpage</v>
      </c>
      <c r="B877" t="s">
        <v>1095</v>
      </c>
      <c r="C877">
        <v>130710</v>
      </c>
      <c r="D877">
        <v>106633</v>
      </c>
      <c r="E877" t="s">
        <v>116</v>
      </c>
      <c r="F877" t="s">
        <v>49</v>
      </c>
      <c r="G877" t="s">
        <v>849</v>
      </c>
      <c r="H877" s="2">
        <v>40315</v>
      </c>
      <c r="I877" s="2">
        <v>40319</v>
      </c>
      <c r="J877" t="s">
        <v>18</v>
      </c>
      <c r="K877" s="2">
        <v>40357.1355278125</v>
      </c>
      <c r="L877" t="s">
        <v>858</v>
      </c>
      <c r="M877">
        <v>345806</v>
      </c>
      <c r="N877">
        <v>2</v>
      </c>
      <c r="O877">
        <v>2</v>
      </c>
      <c r="P877">
        <v>2</v>
      </c>
      <c r="Q877">
        <v>2</v>
      </c>
      <c r="R877">
        <v>5231</v>
      </c>
      <c r="S877" t="s">
        <v>4246</v>
      </c>
      <c r="V877" t="s">
        <v>2480</v>
      </c>
      <c r="W877" t="s">
        <v>116</v>
      </c>
      <c r="X877" t="s">
        <v>2208</v>
      </c>
    </row>
    <row r="878" spans="1:24" ht="12.75">
      <c r="A878" s="1" t="str">
        <f>HYPERLINK("http://www.ofsted.gov.uk/inspection-reports/find-inspection-report/provider/ELS/130713","Ofsted FES Webpage")</f>
        <v>Ofsted FES Webpage</v>
      </c>
      <c r="B878" t="s">
        <v>1096</v>
      </c>
      <c r="C878">
        <v>130713</v>
      </c>
      <c r="D878">
        <v>106641</v>
      </c>
      <c r="E878" t="s">
        <v>93</v>
      </c>
      <c r="F878" t="s">
        <v>49</v>
      </c>
      <c r="G878" t="s">
        <v>849</v>
      </c>
      <c r="H878" s="2">
        <v>41435</v>
      </c>
      <c r="I878" s="2">
        <v>41439</v>
      </c>
      <c r="J878" t="s">
        <v>32</v>
      </c>
      <c r="K878" s="2">
        <v>41474.135564351855</v>
      </c>
      <c r="L878" t="s">
        <v>850</v>
      </c>
      <c r="M878">
        <v>408427</v>
      </c>
      <c r="N878">
        <v>3</v>
      </c>
      <c r="O878">
        <v>3</v>
      </c>
      <c r="P878">
        <v>2</v>
      </c>
      <c r="Q878">
        <v>2</v>
      </c>
      <c r="R878">
        <v>7104</v>
      </c>
      <c r="S878" t="s">
        <v>4247</v>
      </c>
      <c r="V878" t="s">
        <v>2466</v>
      </c>
      <c r="W878" t="s">
        <v>93</v>
      </c>
      <c r="X878" t="s">
        <v>2209</v>
      </c>
    </row>
    <row r="879" spans="1:24" ht="12.75">
      <c r="A879" s="1" t="str">
        <f>HYPERLINK("http://www.ofsted.gov.uk/inspection-reports/find-inspection-report/provider/ELS/130714","Ofsted FES Webpage")</f>
        <v>Ofsted FES Webpage</v>
      </c>
      <c r="B879" t="s">
        <v>1097</v>
      </c>
      <c r="C879">
        <v>130714</v>
      </c>
      <c r="D879">
        <v>108535</v>
      </c>
      <c r="E879" t="s">
        <v>116</v>
      </c>
      <c r="F879" t="s">
        <v>49</v>
      </c>
      <c r="G879" t="s">
        <v>890</v>
      </c>
      <c r="H879" s="2">
        <v>41548</v>
      </c>
      <c r="I879" s="2">
        <v>41551</v>
      </c>
      <c r="J879" t="s">
        <v>27</v>
      </c>
      <c r="K879" s="2">
        <v>41596.13546269676</v>
      </c>
      <c r="L879" t="s">
        <v>850</v>
      </c>
      <c r="M879">
        <v>423372</v>
      </c>
      <c r="N879">
        <v>2</v>
      </c>
      <c r="O879">
        <v>1</v>
      </c>
      <c r="P879">
        <v>3</v>
      </c>
      <c r="Q879">
        <v>3</v>
      </c>
      <c r="R879">
        <v>371</v>
      </c>
      <c r="S879" t="s">
        <v>4246</v>
      </c>
      <c r="V879" t="s">
        <v>2480</v>
      </c>
      <c r="W879" t="s">
        <v>116</v>
      </c>
      <c r="X879" t="s">
        <v>2210</v>
      </c>
    </row>
    <row r="880" spans="1:24" ht="12.75">
      <c r="A880" s="1" t="str">
        <f>HYPERLINK("http://www.ofsted.gov.uk/inspection-reports/find-inspection-report/provider/ELS/130718","Ofsted FES Webpage")</f>
        <v>Ofsted FES Webpage</v>
      </c>
      <c r="B880" t="s">
        <v>1098</v>
      </c>
      <c r="C880">
        <v>130718</v>
      </c>
      <c r="D880">
        <v>108419</v>
      </c>
      <c r="E880" t="s">
        <v>116</v>
      </c>
      <c r="F880" t="s">
        <v>49</v>
      </c>
      <c r="G880" t="s">
        <v>862</v>
      </c>
      <c r="H880" s="2">
        <v>39553</v>
      </c>
      <c r="I880" s="2">
        <v>39554</v>
      </c>
      <c r="J880" t="s">
        <v>154</v>
      </c>
      <c r="K880" s="2">
        <v>39605.13556886574</v>
      </c>
      <c r="L880" t="s">
        <v>863</v>
      </c>
      <c r="M880">
        <v>320848</v>
      </c>
      <c r="N880">
        <v>1</v>
      </c>
      <c r="O880">
        <v>1</v>
      </c>
      <c r="P880" t="s">
        <v>20</v>
      </c>
      <c r="Q880" t="s">
        <v>20</v>
      </c>
      <c r="R880">
        <v>1983</v>
      </c>
      <c r="S880" t="s">
        <v>4246</v>
      </c>
      <c r="V880" t="s">
        <v>2480</v>
      </c>
      <c r="W880" t="s">
        <v>116</v>
      </c>
      <c r="X880" t="s">
        <v>2211</v>
      </c>
    </row>
    <row r="881" spans="1:24" ht="12.75">
      <c r="A881" s="1" t="str">
        <f>HYPERLINK("http://www.ofsted.gov.uk/inspection-reports/find-inspection-report/provider/ELS/130719","Ofsted FES Webpage")</f>
        <v>Ofsted FES Webpage</v>
      </c>
      <c r="B881" t="s">
        <v>1099</v>
      </c>
      <c r="C881">
        <v>130719</v>
      </c>
      <c r="D881">
        <v>108377</v>
      </c>
      <c r="E881" t="s">
        <v>93</v>
      </c>
      <c r="F881" t="s">
        <v>49</v>
      </c>
      <c r="G881" t="s">
        <v>862</v>
      </c>
      <c r="H881" s="2">
        <v>41191</v>
      </c>
      <c r="I881" s="2">
        <v>41194</v>
      </c>
      <c r="J881" t="s">
        <v>32</v>
      </c>
      <c r="K881" s="2">
        <v>41229.13564050926</v>
      </c>
      <c r="L881" t="s">
        <v>875</v>
      </c>
      <c r="M881">
        <v>406868</v>
      </c>
      <c r="N881">
        <v>2</v>
      </c>
      <c r="O881">
        <v>2</v>
      </c>
      <c r="P881">
        <v>2</v>
      </c>
      <c r="Q881">
        <v>2</v>
      </c>
      <c r="R881">
        <v>1649</v>
      </c>
      <c r="S881" t="s">
        <v>3692</v>
      </c>
      <c r="V881" t="s">
        <v>2520</v>
      </c>
      <c r="W881" t="s">
        <v>93</v>
      </c>
      <c r="X881" t="s">
        <v>2212</v>
      </c>
    </row>
    <row r="882" spans="1:24" ht="12.75">
      <c r="A882" s="1" t="str">
        <f>HYPERLINK("http://www.ofsted.gov.uk/inspection-reports/find-inspection-report/provider/ELS/130720","Ofsted FES Webpage")</f>
        <v>Ofsted FES Webpage</v>
      </c>
      <c r="B882" t="s">
        <v>1100</v>
      </c>
      <c r="C882">
        <v>130720</v>
      </c>
      <c r="D882">
        <v>108477</v>
      </c>
      <c r="E882" t="s">
        <v>70</v>
      </c>
      <c r="F882" t="s">
        <v>39</v>
      </c>
      <c r="G882" t="s">
        <v>849</v>
      </c>
      <c r="H882" s="2">
        <v>40252</v>
      </c>
      <c r="I882" s="2">
        <v>40256</v>
      </c>
      <c r="J882" t="s">
        <v>18</v>
      </c>
      <c r="K882" s="2">
        <v>40297.13552199074</v>
      </c>
      <c r="L882" t="s">
        <v>858</v>
      </c>
      <c r="M882">
        <v>343695</v>
      </c>
      <c r="N882">
        <v>1</v>
      </c>
      <c r="O882">
        <v>1</v>
      </c>
      <c r="P882">
        <v>2</v>
      </c>
      <c r="Q882">
        <v>2</v>
      </c>
      <c r="R882">
        <v>9243</v>
      </c>
      <c r="S882" t="s">
        <v>4248</v>
      </c>
      <c r="T882" t="s">
        <v>3838</v>
      </c>
      <c r="V882" t="s">
        <v>2537</v>
      </c>
      <c r="W882" t="s">
        <v>70</v>
      </c>
      <c r="X882" t="s">
        <v>2213</v>
      </c>
    </row>
    <row r="883" spans="1:24" ht="12.75">
      <c r="A883" s="1" t="str">
        <f>HYPERLINK("http://www.ofsted.gov.uk/inspection-reports/find-inspection-report/provider/ELS/130721","Ofsted FES Webpage")</f>
        <v>Ofsted FES Webpage</v>
      </c>
      <c r="B883" t="s">
        <v>1101</v>
      </c>
      <c r="C883">
        <v>130721</v>
      </c>
      <c r="D883">
        <v>105010</v>
      </c>
      <c r="E883" t="s">
        <v>70</v>
      </c>
      <c r="F883" t="s">
        <v>39</v>
      </c>
      <c r="G883" t="s">
        <v>849</v>
      </c>
      <c r="H883" s="2">
        <v>40336</v>
      </c>
      <c r="I883" s="2">
        <v>40340</v>
      </c>
      <c r="J883" t="s">
        <v>18</v>
      </c>
      <c r="K883" s="2">
        <v>40375.135540972224</v>
      </c>
      <c r="L883" t="s">
        <v>858</v>
      </c>
      <c r="M883">
        <v>345800</v>
      </c>
      <c r="N883">
        <v>2</v>
      </c>
      <c r="O883">
        <v>1</v>
      </c>
      <c r="P883">
        <v>2</v>
      </c>
      <c r="Q883">
        <v>2</v>
      </c>
      <c r="R883">
        <v>16590</v>
      </c>
      <c r="S883" t="s">
        <v>4249</v>
      </c>
      <c r="T883" t="s">
        <v>3326</v>
      </c>
      <c r="V883" t="s">
        <v>2916</v>
      </c>
      <c r="W883" t="s">
        <v>70</v>
      </c>
      <c r="X883" t="s">
        <v>2214</v>
      </c>
    </row>
    <row r="884" spans="1:24" ht="12.75">
      <c r="A884" s="1" t="str">
        <f>HYPERLINK("http://www.ofsted.gov.uk/inspection-reports/find-inspection-report/provider/ELS/130722","Ofsted FES Webpage")</f>
        <v>Ofsted FES Webpage</v>
      </c>
      <c r="B884" t="s">
        <v>1102</v>
      </c>
      <c r="C884">
        <v>130722</v>
      </c>
      <c r="D884">
        <v>106658</v>
      </c>
      <c r="E884" t="s">
        <v>70</v>
      </c>
      <c r="F884" t="s">
        <v>39</v>
      </c>
      <c r="G884" t="s">
        <v>849</v>
      </c>
      <c r="H884" s="2">
        <v>41393</v>
      </c>
      <c r="I884" s="2">
        <v>41397</v>
      </c>
      <c r="J884" t="s">
        <v>32</v>
      </c>
      <c r="K884" s="2">
        <v>41436.1355159375</v>
      </c>
      <c r="L884" t="s">
        <v>850</v>
      </c>
      <c r="M884">
        <v>410614</v>
      </c>
      <c r="N884">
        <v>2</v>
      </c>
      <c r="O884">
        <v>2</v>
      </c>
      <c r="P884">
        <v>3</v>
      </c>
      <c r="Q884">
        <v>3</v>
      </c>
      <c r="R884">
        <v>7059</v>
      </c>
      <c r="S884" t="s">
        <v>4250</v>
      </c>
      <c r="V884" t="s">
        <v>2502</v>
      </c>
      <c r="W884" t="s">
        <v>70</v>
      </c>
      <c r="X884" t="s">
        <v>2215</v>
      </c>
    </row>
    <row r="885" spans="1:24" ht="12.75">
      <c r="A885" s="1" t="str">
        <f>HYPERLINK("http://www.ofsted.gov.uk/inspection-reports/find-inspection-report/provider/ELS/130723","Ofsted FES Webpage")</f>
        <v>Ofsted FES Webpage</v>
      </c>
      <c r="B885" t="s">
        <v>1103</v>
      </c>
      <c r="C885">
        <v>130723</v>
      </c>
      <c r="D885">
        <v>108498</v>
      </c>
      <c r="E885" t="s">
        <v>70</v>
      </c>
      <c r="F885" t="s">
        <v>39</v>
      </c>
      <c r="G885" t="s">
        <v>849</v>
      </c>
      <c r="H885" s="2">
        <v>40140</v>
      </c>
      <c r="I885" s="2">
        <v>40144</v>
      </c>
      <c r="J885" t="s">
        <v>18</v>
      </c>
      <c r="K885" s="2">
        <v>40192.135505590275</v>
      </c>
      <c r="L885" t="s">
        <v>851</v>
      </c>
      <c r="M885">
        <v>342264</v>
      </c>
      <c r="N885">
        <v>2</v>
      </c>
      <c r="O885">
        <v>2</v>
      </c>
      <c r="P885">
        <v>3</v>
      </c>
      <c r="Q885">
        <v>3</v>
      </c>
      <c r="R885">
        <v>7857</v>
      </c>
      <c r="S885" t="s">
        <v>4251</v>
      </c>
      <c r="T885" t="s">
        <v>4252</v>
      </c>
      <c r="V885" t="s">
        <v>3297</v>
      </c>
      <c r="W885" t="s">
        <v>70</v>
      </c>
      <c r="X885" t="s">
        <v>2216</v>
      </c>
    </row>
    <row r="886" spans="1:24" ht="12.75">
      <c r="A886" s="1" t="str">
        <f>HYPERLINK("http://www.ofsted.gov.uk/inspection-reports/find-inspection-report/provider/ELS/130724","Ofsted FES Webpage")</f>
        <v>Ofsted FES Webpage</v>
      </c>
      <c r="B886" t="s">
        <v>1104</v>
      </c>
      <c r="C886">
        <v>130724</v>
      </c>
      <c r="D886">
        <v>108517</v>
      </c>
      <c r="E886" t="s">
        <v>220</v>
      </c>
      <c r="F886" t="s">
        <v>43</v>
      </c>
      <c r="G886" t="s">
        <v>849</v>
      </c>
      <c r="H886" s="2">
        <v>39202</v>
      </c>
      <c r="I886" s="2">
        <v>39206</v>
      </c>
      <c r="J886" t="s">
        <v>100</v>
      </c>
      <c r="K886" s="2">
        <v>39255.13560081019</v>
      </c>
      <c r="L886" t="s">
        <v>858</v>
      </c>
      <c r="M886">
        <v>302820</v>
      </c>
      <c r="N886">
        <v>1</v>
      </c>
      <c r="O886">
        <v>1</v>
      </c>
      <c r="P886" t="s">
        <v>20</v>
      </c>
      <c r="Q886" t="s">
        <v>20</v>
      </c>
      <c r="R886">
        <v>4598</v>
      </c>
      <c r="S886" t="s">
        <v>3717</v>
      </c>
      <c r="V886" t="s">
        <v>2408</v>
      </c>
      <c r="W886" t="s">
        <v>220</v>
      </c>
      <c r="X886" t="s">
        <v>1859</v>
      </c>
    </row>
    <row r="887" spans="1:24" ht="12.75">
      <c r="A887" s="1" t="str">
        <f>HYPERLINK("http://www.ofsted.gov.uk/inspection-reports/find-inspection-report/provider/ELS/130725","Ofsted FES Webpage")</f>
        <v>Ofsted FES Webpage</v>
      </c>
      <c r="B887" t="s">
        <v>1105</v>
      </c>
      <c r="C887">
        <v>130725</v>
      </c>
      <c r="D887">
        <v>106734</v>
      </c>
      <c r="E887" t="s">
        <v>99</v>
      </c>
      <c r="F887" t="s">
        <v>43</v>
      </c>
      <c r="G887" t="s">
        <v>849</v>
      </c>
      <c r="H887" s="2">
        <v>41680</v>
      </c>
      <c r="I887" s="2">
        <v>41684</v>
      </c>
      <c r="J887" t="s">
        <v>27</v>
      </c>
      <c r="K887" s="2">
        <v>41719.13549212963</v>
      </c>
      <c r="L887" t="s">
        <v>850</v>
      </c>
      <c r="M887">
        <v>429167</v>
      </c>
      <c r="N887">
        <v>2</v>
      </c>
      <c r="O887">
        <v>2</v>
      </c>
      <c r="P887">
        <v>3</v>
      </c>
      <c r="Q887">
        <v>3</v>
      </c>
      <c r="R887">
        <v>6738</v>
      </c>
      <c r="S887" t="s">
        <v>4253</v>
      </c>
      <c r="V887" t="s">
        <v>2855</v>
      </c>
      <c r="W887" t="s">
        <v>99</v>
      </c>
      <c r="X887" t="s">
        <v>2217</v>
      </c>
    </row>
    <row r="888" spans="1:24" ht="12.75">
      <c r="A888" s="1" t="str">
        <f>HYPERLINK("http://www.ofsted.gov.uk/inspection-reports/find-inspection-report/provider/ELS/130726","Ofsted FES Webpage")</f>
        <v>Ofsted FES Webpage</v>
      </c>
      <c r="B888" t="s">
        <v>1106</v>
      </c>
      <c r="C888">
        <v>130726</v>
      </c>
      <c r="D888">
        <v>106733</v>
      </c>
      <c r="E888" t="s">
        <v>358</v>
      </c>
      <c r="F888" t="s">
        <v>43</v>
      </c>
      <c r="G888" t="s">
        <v>849</v>
      </c>
      <c r="H888" s="2">
        <v>39874</v>
      </c>
      <c r="I888" s="2">
        <v>39878</v>
      </c>
      <c r="J888" t="s">
        <v>44</v>
      </c>
      <c r="K888" s="2">
        <v>39934.135471875</v>
      </c>
      <c r="L888" t="s">
        <v>851</v>
      </c>
      <c r="M888">
        <v>330821</v>
      </c>
      <c r="N888">
        <v>2</v>
      </c>
      <c r="O888">
        <v>2</v>
      </c>
      <c r="P888" t="s">
        <v>20</v>
      </c>
      <c r="Q888" t="s">
        <v>20</v>
      </c>
      <c r="R888">
        <v>8300</v>
      </c>
      <c r="S888" t="s">
        <v>4254</v>
      </c>
      <c r="V888" t="s">
        <v>3891</v>
      </c>
      <c r="W888" t="s">
        <v>99</v>
      </c>
      <c r="X888" t="s">
        <v>2218</v>
      </c>
    </row>
    <row r="889" spans="1:24" ht="12.75">
      <c r="A889" s="1" t="str">
        <f>HYPERLINK("http://www.ofsted.gov.uk/inspection-reports/find-inspection-report/provider/ELS/130727","Ofsted FES Webpage")</f>
        <v>Ofsted FES Webpage</v>
      </c>
      <c r="B889" t="s">
        <v>1107</v>
      </c>
      <c r="C889">
        <v>130727</v>
      </c>
      <c r="D889">
        <v>105603</v>
      </c>
      <c r="E889" t="s">
        <v>99</v>
      </c>
      <c r="F889" t="s">
        <v>43</v>
      </c>
      <c r="G889" t="s">
        <v>849</v>
      </c>
      <c r="H889" s="2">
        <v>41582</v>
      </c>
      <c r="I889" s="2">
        <v>41586</v>
      </c>
      <c r="J889" t="s">
        <v>27</v>
      </c>
      <c r="K889" s="2">
        <v>41621.13563295139</v>
      </c>
      <c r="L889" t="s">
        <v>850</v>
      </c>
      <c r="M889">
        <v>428116</v>
      </c>
      <c r="N889">
        <v>4</v>
      </c>
      <c r="O889">
        <v>4</v>
      </c>
      <c r="P889">
        <v>3</v>
      </c>
      <c r="Q889">
        <v>3</v>
      </c>
      <c r="R889">
        <v>11011</v>
      </c>
      <c r="S889" t="s">
        <v>3722</v>
      </c>
      <c r="V889" t="s">
        <v>3253</v>
      </c>
      <c r="W889" t="s">
        <v>99</v>
      </c>
      <c r="X889" t="s">
        <v>2219</v>
      </c>
    </row>
    <row r="890" spans="1:24" ht="12.75">
      <c r="A890" s="1" t="str">
        <f>HYPERLINK("http://www.ofsted.gov.uk/inspection-reports/find-inspection-report/provider/ELS/130728","Ofsted FES Webpage")</f>
        <v>Ofsted FES Webpage</v>
      </c>
      <c r="B890" t="s">
        <v>1108</v>
      </c>
      <c r="C890">
        <v>130728</v>
      </c>
      <c r="D890">
        <v>106743</v>
      </c>
      <c r="E890" t="s">
        <v>99</v>
      </c>
      <c r="F890" t="s">
        <v>43</v>
      </c>
      <c r="G890" t="s">
        <v>849</v>
      </c>
      <c r="H890" s="2">
        <v>41337</v>
      </c>
      <c r="I890" s="2">
        <v>41341</v>
      </c>
      <c r="J890" t="s">
        <v>32</v>
      </c>
      <c r="K890" s="2">
        <v>41380.13558434028</v>
      </c>
      <c r="L890" t="s">
        <v>850</v>
      </c>
      <c r="M890">
        <v>409326</v>
      </c>
      <c r="N890">
        <v>2</v>
      </c>
      <c r="O890">
        <v>1</v>
      </c>
      <c r="P890">
        <v>3</v>
      </c>
      <c r="Q890">
        <v>3</v>
      </c>
      <c r="R890">
        <v>4678</v>
      </c>
      <c r="S890" t="s">
        <v>4255</v>
      </c>
      <c r="V890" t="s">
        <v>4256</v>
      </c>
      <c r="W890" t="s">
        <v>99</v>
      </c>
      <c r="X890" t="s">
        <v>2220</v>
      </c>
    </row>
    <row r="891" spans="1:24" ht="12.75">
      <c r="A891" s="1" t="str">
        <f>HYPERLINK("http://www.ofsted.gov.uk/inspection-reports/find-inspection-report/provider/ELS/130730","Ofsted FES Webpage")</f>
        <v>Ofsted FES Webpage</v>
      </c>
      <c r="B891" t="s">
        <v>1109</v>
      </c>
      <c r="C891">
        <v>130730</v>
      </c>
      <c r="D891">
        <v>106717</v>
      </c>
      <c r="E891" t="s">
        <v>99</v>
      </c>
      <c r="F891" t="s">
        <v>43</v>
      </c>
      <c r="G891" t="s">
        <v>849</v>
      </c>
      <c r="H891" s="2">
        <v>41589</v>
      </c>
      <c r="I891" s="2">
        <v>41593</v>
      </c>
      <c r="J891" t="s">
        <v>27</v>
      </c>
      <c r="K891" s="2">
        <v>41628.13548321759</v>
      </c>
      <c r="L891" t="s">
        <v>850</v>
      </c>
      <c r="M891">
        <v>423359</v>
      </c>
      <c r="N891">
        <v>3</v>
      </c>
      <c r="O891">
        <v>3</v>
      </c>
      <c r="P891">
        <v>3</v>
      </c>
      <c r="Q891">
        <v>3</v>
      </c>
      <c r="R891">
        <v>9182</v>
      </c>
      <c r="S891" t="s">
        <v>4257</v>
      </c>
      <c r="V891" t="s">
        <v>2740</v>
      </c>
      <c r="W891" t="s">
        <v>99</v>
      </c>
      <c r="X891" t="s">
        <v>2221</v>
      </c>
    </row>
    <row r="892" spans="1:24" ht="12.75">
      <c r="A892" s="1" t="str">
        <f>HYPERLINK("http://www.ofsted.gov.uk/inspection-reports/find-inspection-report/provider/ELS/130733","Ofsted FES Webpage")</f>
        <v>Ofsted FES Webpage</v>
      </c>
      <c r="B892" t="s">
        <v>1110</v>
      </c>
      <c r="C892">
        <v>130733</v>
      </c>
      <c r="D892">
        <v>107708</v>
      </c>
      <c r="E892" t="s">
        <v>99</v>
      </c>
      <c r="F892" t="s">
        <v>43</v>
      </c>
      <c r="G892" t="s">
        <v>890</v>
      </c>
      <c r="H892" s="2">
        <v>40336</v>
      </c>
      <c r="I892" s="2">
        <v>40340</v>
      </c>
      <c r="J892" t="s">
        <v>18</v>
      </c>
      <c r="K892" s="2">
        <v>40375.13554082176</v>
      </c>
      <c r="L892" t="s">
        <v>858</v>
      </c>
      <c r="M892">
        <v>345814</v>
      </c>
      <c r="N892">
        <v>1</v>
      </c>
      <c r="O892">
        <v>1</v>
      </c>
      <c r="P892">
        <v>2</v>
      </c>
      <c r="Q892">
        <v>2</v>
      </c>
      <c r="R892">
        <v>2068</v>
      </c>
      <c r="S892" t="s">
        <v>4258</v>
      </c>
      <c r="T892" t="s">
        <v>4259</v>
      </c>
      <c r="V892" t="s">
        <v>3253</v>
      </c>
      <c r="W892" t="s">
        <v>99</v>
      </c>
      <c r="X892" t="s">
        <v>2222</v>
      </c>
    </row>
    <row r="893" spans="1:24" ht="12.75">
      <c r="A893" s="1" t="str">
        <f>HYPERLINK("http://www.ofsted.gov.uk/inspection-reports/find-inspection-report/provider/ELS/130734","Ofsted FES Webpage")</f>
        <v>Ofsted FES Webpage</v>
      </c>
      <c r="B893" t="s">
        <v>1111</v>
      </c>
      <c r="C893">
        <v>130734</v>
      </c>
      <c r="D893">
        <v>106762</v>
      </c>
      <c r="E893" t="s">
        <v>170</v>
      </c>
      <c r="F893" t="s">
        <v>68</v>
      </c>
      <c r="G893" t="s">
        <v>849</v>
      </c>
      <c r="H893" s="2">
        <v>39881</v>
      </c>
      <c r="I893" s="2">
        <v>39885</v>
      </c>
      <c r="J893" t="s">
        <v>44</v>
      </c>
      <c r="K893" s="2">
        <v>39941.13547515046</v>
      </c>
      <c r="L893" t="s">
        <v>858</v>
      </c>
      <c r="M893">
        <v>331030</v>
      </c>
      <c r="N893">
        <v>1</v>
      </c>
      <c r="O893">
        <v>1</v>
      </c>
      <c r="P893" t="s">
        <v>20</v>
      </c>
      <c r="Q893" t="s">
        <v>20</v>
      </c>
      <c r="R893">
        <v>8298</v>
      </c>
      <c r="S893" t="s">
        <v>3731</v>
      </c>
      <c r="V893" t="s">
        <v>2901</v>
      </c>
      <c r="W893" t="s">
        <v>170</v>
      </c>
      <c r="X893" t="s">
        <v>2223</v>
      </c>
    </row>
    <row r="894" spans="1:24" ht="12.75">
      <c r="A894" s="1" t="str">
        <f>HYPERLINK("http://www.ofsted.gov.uk/inspection-reports/find-inspection-report/provider/ELS/130735","Ofsted FES Webpage")</f>
        <v>Ofsted FES Webpage</v>
      </c>
      <c r="B894" t="s">
        <v>1112</v>
      </c>
      <c r="C894">
        <v>130735</v>
      </c>
      <c r="D894">
        <v>106751</v>
      </c>
      <c r="E894" t="s">
        <v>170</v>
      </c>
      <c r="F894" t="s">
        <v>68</v>
      </c>
      <c r="G894" t="s">
        <v>849</v>
      </c>
      <c r="H894" s="2">
        <v>39888</v>
      </c>
      <c r="I894" s="2">
        <v>39892</v>
      </c>
      <c r="J894" t="s">
        <v>44</v>
      </c>
      <c r="K894" s="2">
        <v>39948.13547693287</v>
      </c>
      <c r="L894" t="s">
        <v>858</v>
      </c>
      <c r="M894">
        <v>331024</v>
      </c>
      <c r="N894">
        <v>1</v>
      </c>
      <c r="O894">
        <v>1</v>
      </c>
      <c r="P894" t="s">
        <v>20</v>
      </c>
      <c r="Q894" t="s">
        <v>20</v>
      </c>
      <c r="R894">
        <v>5968</v>
      </c>
      <c r="S894" t="s">
        <v>2782</v>
      </c>
      <c r="V894" t="s">
        <v>2724</v>
      </c>
      <c r="W894" t="s">
        <v>170</v>
      </c>
      <c r="X894" t="s">
        <v>2224</v>
      </c>
    </row>
    <row r="895" spans="1:24" ht="12.75">
      <c r="A895" s="1" t="str">
        <f>HYPERLINK("http://www.ofsted.gov.uk/inspection-reports/find-inspection-report/provider/ELS/130736","Ofsted FES Webpage")</f>
        <v>Ofsted FES Webpage</v>
      </c>
      <c r="B895" t="s">
        <v>1113</v>
      </c>
      <c r="C895">
        <v>130736</v>
      </c>
      <c r="D895">
        <v>106749</v>
      </c>
      <c r="E895" t="s">
        <v>181</v>
      </c>
      <c r="F895" t="s">
        <v>68</v>
      </c>
      <c r="G895" t="s">
        <v>849</v>
      </c>
      <c r="H895" s="2">
        <v>39398</v>
      </c>
      <c r="I895" s="2">
        <v>39402</v>
      </c>
      <c r="J895" t="s">
        <v>154</v>
      </c>
      <c r="K895" s="2">
        <v>39458.13553966435</v>
      </c>
      <c r="L895" t="s">
        <v>858</v>
      </c>
      <c r="M895">
        <v>316663</v>
      </c>
      <c r="N895">
        <v>1</v>
      </c>
      <c r="O895">
        <v>1</v>
      </c>
      <c r="P895" t="s">
        <v>20</v>
      </c>
      <c r="Q895" t="s">
        <v>20</v>
      </c>
      <c r="R895">
        <v>9342</v>
      </c>
      <c r="S895" t="s">
        <v>4260</v>
      </c>
      <c r="V895" t="s">
        <v>2681</v>
      </c>
      <c r="W895" t="s">
        <v>170</v>
      </c>
      <c r="X895" t="s">
        <v>2225</v>
      </c>
    </row>
    <row r="896" spans="1:24" ht="12.75">
      <c r="A896" s="1" t="str">
        <f>HYPERLINK("http://www.ofsted.gov.uk/inspection-reports/find-inspection-report/provider/ELS/130737","Ofsted FES Webpage")</f>
        <v>Ofsted FES Webpage</v>
      </c>
      <c r="B896" t="s">
        <v>1114</v>
      </c>
      <c r="C896">
        <v>130737</v>
      </c>
      <c r="D896">
        <v>106466</v>
      </c>
      <c r="E896" t="s">
        <v>170</v>
      </c>
      <c r="F896" t="s">
        <v>68</v>
      </c>
      <c r="G896" t="s">
        <v>849</v>
      </c>
      <c r="H896" s="2">
        <v>41253</v>
      </c>
      <c r="I896" s="2">
        <v>41257</v>
      </c>
      <c r="J896" t="s">
        <v>32</v>
      </c>
      <c r="K896" s="2">
        <v>41292.135450891205</v>
      </c>
      <c r="L896" t="s">
        <v>850</v>
      </c>
      <c r="M896">
        <v>399135</v>
      </c>
      <c r="N896">
        <v>2</v>
      </c>
      <c r="O896">
        <v>2</v>
      </c>
      <c r="P896">
        <v>3</v>
      </c>
      <c r="Q896">
        <v>3</v>
      </c>
      <c r="R896">
        <v>4855</v>
      </c>
      <c r="S896" t="s">
        <v>4261</v>
      </c>
      <c r="V896" t="s">
        <v>2353</v>
      </c>
      <c r="W896" t="s">
        <v>170</v>
      </c>
      <c r="X896" t="s">
        <v>2226</v>
      </c>
    </row>
    <row r="897" spans="1:24" ht="12.75">
      <c r="A897" s="1" t="str">
        <f>HYPERLINK("http://www.ofsted.gov.uk/inspection-reports/find-inspection-report/provider/ELS/130738","Ofsted FES Webpage")</f>
        <v>Ofsted FES Webpage</v>
      </c>
      <c r="B897" t="s">
        <v>1115</v>
      </c>
      <c r="C897">
        <v>130738</v>
      </c>
      <c r="D897">
        <v>106753</v>
      </c>
      <c r="E897" t="s">
        <v>170</v>
      </c>
      <c r="F897" t="s">
        <v>68</v>
      </c>
      <c r="G897" t="s">
        <v>849</v>
      </c>
      <c r="H897" s="2">
        <v>39567</v>
      </c>
      <c r="I897" s="2">
        <v>39568</v>
      </c>
      <c r="J897" t="s">
        <v>154</v>
      </c>
      <c r="K897" s="2">
        <v>39619.13594707176</v>
      </c>
      <c r="L897" t="s">
        <v>858</v>
      </c>
      <c r="M897">
        <v>322402</v>
      </c>
      <c r="N897">
        <v>1</v>
      </c>
      <c r="O897">
        <v>1</v>
      </c>
      <c r="P897" t="s">
        <v>20</v>
      </c>
      <c r="Q897" t="s">
        <v>20</v>
      </c>
      <c r="R897">
        <v>4066</v>
      </c>
      <c r="S897" t="s">
        <v>4262</v>
      </c>
      <c r="V897" t="s">
        <v>2777</v>
      </c>
      <c r="W897" t="s">
        <v>170</v>
      </c>
      <c r="X897" t="s">
        <v>2227</v>
      </c>
    </row>
    <row r="898" spans="1:24" ht="12.75">
      <c r="A898" s="1" t="str">
        <f>HYPERLINK("http://www.ofsted.gov.uk/inspection-reports/find-inspection-report/provider/ELS/130739","Ofsted FES Webpage")</f>
        <v>Ofsted FES Webpage</v>
      </c>
      <c r="B898" t="s">
        <v>1116</v>
      </c>
      <c r="C898">
        <v>130739</v>
      </c>
      <c r="D898">
        <v>108529</v>
      </c>
      <c r="E898" t="s">
        <v>183</v>
      </c>
      <c r="F898" t="s">
        <v>68</v>
      </c>
      <c r="G898" t="s">
        <v>849</v>
      </c>
      <c r="H898" s="2">
        <v>41554</v>
      </c>
      <c r="I898" s="2">
        <v>41558</v>
      </c>
      <c r="J898" t="s">
        <v>27</v>
      </c>
      <c r="K898" s="2">
        <v>41593.1354724537</v>
      </c>
      <c r="L898" t="s">
        <v>850</v>
      </c>
      <c r="M898">
        <v>423360</v>
      </c>
      <c r="N898">
        <v>1</v>
      </c>
      <c r="O898">
        <v>1</v>
      </c>
      <c r="P898">
        <v>2</v>
      </c>
      <c r="Q898">
        <v>2</v>
      </c>
      <c r="R898">
        <v>9377</v>
      </c>
      <c r="S898" t="s">
        <v>4263</v>
      </c>
      <c r="T898" t="s">
        <v>4264</v>
      </c>
      <c r="V898" t="s">
        <v>183</v>
      </c>
      <c r="W898" t="s">
        <v>170</v>
      </c>
      <c r="X898" t="s">
        <v>2228</v>
      </c>
    </row>
    <row r="899" spans="1:24" ht="12.75">
      <c r="A899" s="1" t="str">
        <f>HYPERLINK("http://www.ofsted.gov.uk/inspection-reports/find-inspection-report/provider/ELS/130740","Ofsted FES Webpage")</f>
        <v>Ofsted FES Webpage</v>
      </c>
      <c r="B899" t="s">
        <v>1117</v>
      </c>
      <c r="C899">
        <v>130740</v>
      </c>
      <c r="D899">
        <v>108623</v>
      </c>
      <c r="E899" t="s">
        <v>170</v>
      </c>
      <c r="F899" t="s">
        <v>68</v>
      </c>
      <c r="G899" t="s">
        <v>849</v>
      </c>
      <c r="H899" s="2">
        <v>41589</v>
      </c>
      <c r="I899" s="2">
        <v>41593</v>
      </c>
      <c r="J899" t="s">
        <v>27</v>
      </c>
      <c r="K899" s="2">
        <v>41624.13546774306</v>
      </c>
      <c r="L899" t="s">
        <v>850</v>
      </c>
      <c r="M899">
        <v>423361</v>
      </c>
      <c r="N899">
        <v>2</v>
      </c>
      <c r="O899">
        <v>2</v>
      </c>
      <c r="P899">
        <v>3</v>
      </c>
      <c r="Q899">
        <v>3</v>
      </c>
      <c r="R899">
        <v>12806</v>
      </c>
      <c r="S899" t="s">
        <v>4000</v>
      </c>
      <c r="T899" t="s">
        <v>4265</v>
      </c>
      <c r="U899" t="s">
        <v>3159</v>
      </c>
      <c r="V899" t="s">
        <v>2655</v>
      </c>
      <c r="W899" t="s">
        <v>170</v>
      </c>
      <c r="X899" t="s">
        <v>2005</v>
      </c>
    </row>
    <row r="900" spans="1:24" ht="12.75">
      <c r="A900" s="1" t="str">
        <f>HYPERLINK("http://www.ofsted.gov.uk/inspection-reports/find-inspection-report/provider/ELS/130741","Ofsted FES Webpage")</f>
        <v>Ofsted FES Webpage</v>
      </c>
      <c r="B900" t="s">
        <v>1118</v>
      </c>
      <c r="C900">
        <v>130741</v>
      </c>
      <c r="D900">
        <v>108625</v>
      </c>
      <c r="E900" t="s">
        <v>170</v>
      </c>
      <c r="F900" t="s">
        <v>68</v>
      </c>
      <c r="G900" t="s">
        <v>849</v>
      </c>
      <c r="H900" s="2">
        <v>39589</v>
      </c>
      <c r="I900" s="2">
        <v>39590</v>
      </c>
      <c r="J900" t="s">
        <v>154</v>
      </c>
      <c r="K900" s="2">
        <v>39640.13602465278</v>
      </c>
      <c r="L900" t="s">
        <v>858</v>
      </c>
      <c r="M900">
        <v>322406</v>
      </c>
      <c r="N900">
        <v>1</v>
      </c>
      <c r="O900">
        <v>1</v>
      </c>
      <c r="P900" t="s">
        <v>20</v>
      </c>
      <c r="Q900" t="s">
        <v>20</v>
      </c>
      <c r="R900">
        <v>7323</v>
      </c>
      <c r="S900" t="s">
        <v>4266</v>
      </c>
      <c r="V900" t="s">
        <v>3041</v>
      </c>
      <c r="W900" t="s">
        <v>170</v>
      </c>
      <c r="X900" t="s">
        <v>2229</v>
      </c>
    </row>
    <row r="901" spans="1:24" ht="12.75">
      <c r="A901" s="1" t="str">
        <f>HYPERLINK("http://www.ofsted.gov.uk/inspection-reports/find-inspection-report/provider/ELS/130743","Ofsted FES Webpage")</f>
        <v>Ofsted FES Webpage</v>
      </c>
      <c r="B901" t="s">
        <v>1119</v>
      </c>
      <c r="C901">
        <v>130743</v>
      </c>
      <c r="D901">
        <v>106924</v>
      </c>
      <c r="E901" t="s">
        <v>170</v>
      </c>
      <c r="F901" t="s">
        <v>68</v>
      </c>
      <c r="G901" t="s">
        <v>849</v>
      </c>
      <c r="H901" s="2">
        <v>41428</v>
      </c>
      <c r="I901" s="2">
        <v>41432</v>
      </c>
      <c r="J901" t="s">
        <v>32</v>
      </c>
      <c r="K901" s="2">
        <v>41465.1355684838</v>
      </c>
      <c r="L901" t="s">
        <v>850</v>
      </c>
      <c r="M901">
        <v>410604</v>
      </c>
      <c r="N901">
        <v>2</v>
      </c>
      <c r="O901">
        <v>2</v>
      </c>
      <c r="P901">
        <v>3</v>
      </c>
      <c r="Q901">
        <v>3</v>
      </c>
      <c r="R901">
        <v>3824</v>
      </c>
      <c r="S901" t="s">
        <v>4267</v>
      </c>
      <c r="T901" t="s">
        <v>4268</v>
      </c>
      <c r="V901" t="s">
        <v>2655</v>
      </c>
      <c r="W901" t="s">
        <v>170</v>
      </c>
      <c r="X901" t="s">
        <v>2230</v>
      </c>
    </row>
    <row r="902" spans="1:24" ht="12.75">
      <c r="A902" s="1" t="str">
        <f>HYPERLINK("http://www.ofsted.gov.uk/inspection-reports/find-inspection-report/provider/ELS/130744","Ofsted FES Webpage")</f>
        <v>Ofsted FES Webpage</v>
      </c>
      <c r="B902" t="s">
        <v>1120</v>
      </c>
      <c r="C902">
        <v>130744</v>
      </c>
      <c r="D902">
        <v>108433</v>
      </c>
      <c r="E902" t="s">
        <v>183</v>
      </c>
      <c r="F902" t="s">
        <v>68</v>
      </c>
      <c r="G902" t="s">
        <v>862</v>
      </c>
      <c r="H902" s="2">
        <v>39944</v>
      </c>
      <c r="I902" s="2">
        <v>39948</v>
      </c>
      <c r="J902" t="s">
        <v>44</v>
      </c>
      <c r="K902" s="2">
        <v>39983.1354875</v>
      </c>
      <c r="L902" t="s">
        <v>908</v>
      </c>
      <c r="M902">
        <v>333004</v>
      </c>
      <c r="N902">
        <v>1</v>
      </c>
      <c r="O902">
        <v>1</v>
      </c>
      <c r="P902" t="s">
        <v>20</v>
      </c>
      <c r="Q902" t="s">
        <v>20</v>
      </c>
      <c r="R902">
        <v>2082</v>
      </c>
      <c r="S902" t="s">
        <v>4269</v>
      </c>
      <c r="V902" t="s">
        <v>183</v>
      </c>
      <c r="W902" t="s">
        <v>170</v>
      </c>
      <c r="X902" t="s">
        <v>2231</v>
      </c>
    </row>
    <row r="903" spans="1:24" ht="12.75">
      <c r="A903" s="1" t="str">
        <f>HYPERLINK("http://www.ofsted.gov.uk/inspection-reports/find-inspection-report/provider/ELS/130745","Ofsted FES Webpage")</f>
        <v>Ofsted FES Webpage</v>
      </c>
      <c r="B903" t="s">
        <v>1121</v>
      </c>
      <c r="C903">
        <v>130745</v>
      </c>
      <c r="D903">
        <v>108371</v>
      </c>
      <c r="E903" t="s">
        <v>170</v>
      </c>
      <c r="F903" t="s">
        <v>68</v>
      </c>
      <c r="G903" t="s">
        <v>862</v>
      </c>
      <c r="H903" s="2">
        <v>39952</v>
      </c>
      <c r="I903" s="2">
        <v>39953</v>
      </c>
      <c r="J903" t="s">
        <v>44</v>
      </c>
      <c r="K903" s="2">
        <v>39990.13547434028</v>
      </c>
      <c r="L903" t="s">
        <v>863</v>
      </c>
      <c r="M903">
        <v>333000</v>
      </c>
      <c r="N903">
        <v>1</v>
      </c>
      <c r="O903">
        <v>1</v>
      </c>
      <c r="P903" t="s">
        <v>20</v>
      </c>
      <c r="Q903" t="s">
        <v>20</v>
      </c>
      <c r="R903">
        <v>2751</v>
      </c>
      <c r="S903" t="s">
        <v>4270</v>
      </c>
      <c r="U903" t="s">
        <v>4271</v>
      </c>
      <c r="V903" t="s">
        <v>2655</v>
      </c>
      <c r="W903" t="s">
        <v>170</v>
      </c>
      <c r="X903" t="s">
        <v>2232</v>
      </c>
    </row>
    <row r="904" spans="1:24" ht="12.75">
      <c r="A904" s="1" t="str">
        <f>HYPERLINK("http://www.ofsted.gov.uk/inspection-reports/find-inspection-report/provider/ELS/130746","Ofsted FES Webpage")</f>
        <v>Ofsted FES Webpage</v>
      </c>
      <c r="B904" t="s">
        <v>1122</v>
      </c>
      <c r="C904">
        <v>130746</v>
      </c>
      <c r="D904">
        <v>108339</v>
      </c>
      <c r="E904" t="s">
        <v>181</v>
      </c>
      <c r="F904" t="s">
        <v>68</v>
      </c>
      <c r="G904" t="s">
        <v>862</v>
      </c>
      <c r="H904" s="2">
        <v>41534</v>
      </c>
      <c r="I904" s="2">
        <v>41537</v>
      </c>
      <c r="J904" t="s">
        <v>27</v>
      </c>
      <c r="K904" s="2">
        <v>41569.1354587963</v>
      </c>
      <c r="L904" t="s">
        <v>875</v>
      </c>
      <c r="M904">
        <v>423385</v>
      </c>
      <c r="N904">
        <v>2</v>
      </c>
      <c r="O904">
        <v>3</v>
      </c>
      <c r="P904">
        <v>2</v>
      </c>
      <c r="Q904">
        <v>2</v>
      </c>
      <c r="R904">
        <v>1262</v>
      </c>
      <c r="S904" t="s">
        <v>4272</v>
      </c>
      <c r="V904" t="s">
        <v>2681</v>
      </c>
      <c r="W904" t="s">
        <v>170</v>
      </c>
      <c r="X904" t="s">
        <v>2233</v>
      </c>
    </row>
    <row r="905" spans="1:24" ht="12.75">
      <c r="A905" s="1" t="str">
        <f>HYPERLINK("http://www.ofsted.gov.uk/inspection-reports/find-inspection-report/provider/ELS/130747","Ofsted FES Webpage")</f>
        <v>Ofsted FES Webpage</v>
      </c>
      <c r="B905" t="s">
        <v>1123</v>
      </c>
      <c r="C905">
        <v>130747</v>
      </c>
      <c r="D905">
        <v>105420</v>
      </c>
      <c r="E905" t="s">
        <v>399</v>
      </c>
      <c r="F905" t="s">
        <v>16</v>
      </c>
      <c r="G905" t="s">
        <v>849</v>
      </c>
      <c r="H905" s="2">
        <v>41603</v>
      </c>
      <c r="I905" s="2">
        <v>41607</v>
      </c>
      <c r="J905" t="s">
        <v>27</v>
      </c>
      <c r="K905" s="2">
        <v>41631.135450891205</v>
      </c>
      <c r="L905" t="s">
        <v>850</v>
      </c>
      <c r="M905">
        <v>423362</v>
      </c>
      <c r="N905">
        <v>2</v>
      </c>
      <c r="O905">
        <v>2</v>
      </c>
      <c r="P905">
        <v>3</v>
      </c>
      <c r="Q905">
        <v>2</v>
      </c>
      <c r="R905">
        <v>6909</v>
      </c>
      <c r="S905" t="s">
        <v>4273</v>
      </c>
      <c r="V905" t="s">
        <v>3720</v>
      </c>
      <c r="W905" t="s">
        <v>399</v>
      </c>
      <c r="X905" t="s">
        <v>2234</v>
      </c>
    </row>
    <row r="906" spans="1:24" ht="12.75">
      <c r="A906" s="1" t="str">
        <f>HYPERLINK("http://www.ofsted.gov.uk/inspection-reports/find-inspection-report/provider/ELS/130748","Ofsted FES Webpage")</f>
        <v>Ofsted FES Webpage</v>
      </c>
      <c r="B906" t="s">
        <v>1124</v>
      </c>
      <c r="C906">
        <v>130748</v>
      </c>
      <c r="D906">
        <v>109293</v>
      </c>
      <c r="E906" t="s">
        <v>399</v>
      </c>
      <c r="F906" t="s">
        <v>16</v>
      </c>
      <c r="G906" t="s">
        <v>849</v>
      </c>
      <c r="H906" s="2">
        <v>41330</v>
      </c>
      <c r="I906" s="2">
        <v>41334</v>
      </c>
      <c r="J906" t="s">
        <v>32</v>
      </c>
      <c r="K906" s="2">
        <v>41373.13554105324</v>
      </c>
      <c r="L906" t="s">
        <v>850</v>
      </c>
      <c r="M906">
        <v>409320</v>
      </c>
      <c r="N906">
        <v>2</v>
      </c>
      <c r="O906">
        <v>2</v>
      </c>
      <c r="P906">
        <v>2</v>
      </c>
      <c r="Q906">
        <v>2</v>
      </c>
      <c r="R906">
        <v>7635</v>
      </c>
      <c r="S906" t="s">
        <v>2368</v>
      </c>
      <c r="V906" t="s">
        <v>2369</v>
      </c>
      <c r="W906" t="s">
        <v>399</v>
      </c>
      <c r="X906" t="s">
        <v>1857</v>
      </c>
    </row>
    <row r="907" spans="1:24" ht="12.75">
      <c r="A907" s="1" t="str">
        <f>HYPERLINK("http://www.ofsted.gov.uk/inspection-reports/find-inspection-report/provider/ELS/130750","Ofsted FES Webpage")</f>
        <v>Ofsted FES Webpage</v>
      </c>
      <c r="B907" t="s">
        <v>1125</v>
      </c>
      <c r="C907">
        <v>130750</v>
      </c>
      <c r="D907">
        <v>106775</v>
      </c>
      <c r="E907" t="s">
        <v>399</v>
      </c>
      <c r="F907" t="s">
        <v>16</v>
      </c>
      <c r="G907" t="s">
        <v>849</v>
      </c>
      <c r="H907" s="2">
        <v>41435</v>
      </c>
      <c r="I907" s="2">
        <v>41439</v>
      </c>
      <c r="J907" t="s">
        <v>32</v>
      </c>
      <c r="K907" s="2">
        <v>41474.13558811343</v>
      </c>
      <c r="L907" t="s">
        <v>850</v>
      </c>
      <c r="M907">
        <v>410617</v>
      </c>
      <c r="N907">
        <v>3</v>
      </c>
      <c r="O907">
        <v>2</v>
      </c>
      <c r="P907">
        <v>3</v>
      </c>
      <c r="Q907">
        <v>3</v>
      </c>
      <c r="R907">
        <v>6710</v>
      </c>
      <c r="S907" t="s">
        <v>4274</v>
      </c>
      <c r="T907" t="s">
        <v>4275</v>
      </c>
      <c r="U907" t="s">
        <v>4276</v>
      </c>
      <c r="V907" t="s">
        <v>397</v>
      </c>
      <c r="W907" t="s">
        <v>399</v>
      </c>
      <c r="X907" t="s">
        <v>2235</v>
      </c>
    </row>
    <row r="908" spans="1:24" ht="12.75">
      <c r="A908" s="1" t="str">
        <f>HYPERLINK("http://www.ofsted.gov.uk/inspection-reports/find-inspection-report/provider/ELS/130754","Ofsted FES Webpage")</f>
        <v>Ofsted FES Webpage</v>
      </c>
      <c r="B908" t="s">
        <v>1126</v>
      </c>
      <c r="C908">
        <v>130754</v>
      </c>
      <c r="D908">
        <v>106763</v>
      </c>
      <c r="E908" t="s">
        <v>399</v>
      </c>
      <c r="F908" t="s">
        <v>16</v>
      </c>
      <c r="G908" t="s">
        <v>849</v>
      </c>
      <c r="H908" s="2">
        <v>41226</v>
      </c>
      <c r="I908" s="2">
        <v>41229</v>
      </c>
      <c r="J908" t="s">
        <v>32</v>
      </c>
      <c r="K908" s="2">
        <v>41264.13571091435</v>
      </c>
      <c r="L908" t="s">
        <v>850</v>
      </c>
      <c r="M908">
        <v>404159</v>
      </c>
      <c r="N908">
        <v>2</v>
      </c>
      <c r="O908">
        <v>2</v>
      </c>
      <c r="P908">
        <v>3</v>
      </c>
      <c r="Q908">
        <v>3</v>
      </c>
      <c r="R908">
        <v>2044</v>
      </c>
      <c r="S908" t="s">
        <v>4278</v>
      </c>
      <c r="V908" t="s">
        <v>3715</v>
      </c>
      <c r="W908" t="s">
        <v>399</v>
      </c>
      <c r="X908" t="s">
        <v>2237</v>
      </c>
    </row>
    <row r="909" spans="1:24" ht="12.75">
      <c r="A909" s="1" t="str">
        <f>HYPERLINK("http://www.ofsted.gov.uk/inspection-reports/find-inspection-report/provider/ELS/130755","Ofsted FES Webpage")</f>
        <v>Ofsted FES Webpage</v>
      </c>
      <c r="B909" t="s">
        <v>1127</v>
      </c>
      <c r="C909">
        <v>130755</v>
      </c>
      <c r="D909">
        <v>108425</v>
      </c>
      <c r="E909" t="s">
        <v>397</v>
      </c>
      <c r="F909" t="s">
        <v>16</v>
      </c>
      <c r="G909" t="s">
        <v>862</v>
      </c>
      <c r="H909" s="2">
        <v>41667</v>
      </c>
      <c r="I909" s="2">
        <v>41670</v>
      </c>
      <c r="J909" t="s">
        <v>27</v>
      </c>
      <c r="K909" s="2">
        <v>41701.13558969907</v>
      </c>
      <c r="L909" t="s">
        <v>897</v>
      </c>
      <c r="M909">
        <v>429098</v>
      </c>
      <c r="N909">
        <v>2</v>
      </c>
      <c r="O909">
        <v>2</v>
      </c>
      <c r="P909">
        <v>3</v>
      </c>
      <c r="Q909">
        <v>3</v>
      </c>
      <c r="R909">
        <v>1446</v>
      </c>
      <c r="S909" t="s">
        <v>4279</v>
      </c>
      <c r="V909" t="s">
        <v>397</v>
      </c>
      <c r="W909" t="s">
        <v>399</v>
      </c>
      <c r="X909" t="s">
        <v>2238</v>
      </c>
    </row>
    <row r="910" spans="1:24" ht="12.75">
      <c r="A910" s="1" t="str">
        <f>HYPERLINK("http://www.ofsted.gov.uk/inspection-reports/find-inspection-report/provider/ELS/130756","Ofsted FES Webpage")</f>
        <v>Ofsted FES Webpage</v>
      </c>
      <c r="B910" t="s">
        <v>1128</v>
      </c>
      <c r="C910">
        <v>130756</v>
      </c>
      <c r="D910">
        <v>108374</v>
      </c>
      <c r="E910" t="s">
        <v>397</v>
      </c>
      <c r="F910" t="s">
        <v>16</v>
      </c>
      <c r="G910" t="s">
        <v>862</v>
      </c>
      <c r="H910" s="2">
        <v>39357</v>
      </c>
      <c r="I910" s="2">
        <v>39358</v>
      </c>
      <c r="J910" t="s">
        <v>154</v>
      </c>
      <c r="K910" s="2">
        <v>39409.1355290162</v>
      </c>
      <c r="L910" t="s">
        <v>863</v>
      </c>
      <c r="M910">
        <v>316653</v>
      </c>
      <c r="N910">
        <v>1</v>
      </c>
      <c r="O910">
        <v>1</v>
      </c>
      <c r="P910" t="s">
        <v>20</v>
      </c>
      <c r="Q910" t="s">
        <v>20</v>
      </c>
      <c r="R910">
        <v>2235</v>
      </c>
      <c r="S910" t="s">
        <v>2478</v>
      </c>
      <c r="V910" t="s">
        <v>397</v>
      </c>
      <c r="W910" t="s">
        <v>399</v>
      </c>
      <c r="X910" t="s">
        <v>2239</v>
      </c>
    </row>
    <row r="911" spans="1:24" ht="12.75">
      <c r="A911" s="1" t="str">
        <f>HYPERLINK("http://www.ofsted.gov.uk/inspection-reports/find-inspection-report/provider/ELS/130757","Ofsted FES Webpage")</f>
        <v>Ofsted FES Webpage</v>
      </c>
      <c r="B911" t="s">
        <v>1129</v>
      </c>
      <c r="C911">
        <v>130757</v>
      </c>
      <c r="D911">
        <v>108327</v>
      </c>
      <c r="E911" t="s">
        <v>397</v>
      </c>
      <c r="F911" t="s">
        <v>16</v>
      </c>
      <c r="G911" t="s">
        <v>862</v>
      </c>
      <c r="H911" s="2">
        <v>41352</v>
      </c>
      <c r="I911" s="2">
        <v>41355</v>
      </c>
      <c r="J911" t="s">
        <v>32</v>
      </c>
      <c r="K911" s="2">
        <v>41394.13558125</v>
      </c>
      <c r="L911" t="s">
        <v>875</v>
      </c>
      <c r="M911">
        <v>409440</v>
      </c>
      <c r="N911">
        <v>2</v>
      </c>
      <c r="O911">
        <v>2</v>
      </c>
      <c r="P911">
        <v>3</v>
      </c>
      <c r="Q911">
        <v>3</v>
      </c>
      <c r="R911">
        <v>1095</v>
      </c>
      <c r="S911" t="s">
        <v>4280</v>
      </c>
      <c r="V911" t="s">
        <v>397</v>
      </c>
      <c r="W911" t="s">
        <v>399</v>
      </c>
      <c r="X911" t="s">
        <v>2240</v>
      </c>
    </row>
    <row r="912" spans="1:24" ht="12.75">
      <c r="A912" s="1" t="str">
        <f>HYPERLINK("http://www.ofsted.gov.uk/inspection-reports/find-inspection-report/provider/ELS/130759","Ofsted FES Webpage")</f>
        <v>Ofsted FES Webpage</v>
      </c>
      <c r="B912" t="s">
        <v>1130</v>
      </c>
      <c r="C912">
        <v>130759</v>
      </c>
      <c r="D912">
        <v>110215</v>
      </c>
      <c r="E912" t="s">
        <v>234</v>
      </c>
      <c r="F912" t="s">
        <v>16</v>
      </c>
      <c r="G912" t="s">
        <v>849</v>
      </c>
      <c r="H912" s="2">
        <v>40203</v>
      </c>
      <c r="I912" s="2">
        <v>40207</v>
      </c>
      <c r="J912" t="s">
        <v>18</v>
      </c>
      <c r="K912" s="2">
        <v>40242.13552592593</v>
      </c>
      <c r="L912" t="s">
        <v>851</v>
      </c>
      <c r="M912">
        <v>343697</v>
      </c>
      <c r="N912">
        <v>2</v>
      </c>
      <c r="O912">
        <v>2</v>
      </c>
      <c r="P912">
        <v>3</v>
      </c>
      <c r="Q912">
        <v>3</v>
      </c>
      <c r="R912">
        <v>4205</v>
      </c>
      <c r="S912" t="s">
        <v>3343</v>
      </c>
      <c r="V912" t="s">
        <v>2692</v>
      </c>
      <c r="W912" t="s">
        <v>234</v>
      </c>
      <c r="X912" t="s">
        <v>2241</v>
      </c>
    </row>
    <row r="913" spans="1:24" ht="12.75">
      <c r="A913" s="1" t="str">
        <f>HYPERLINK("http://www.ofsted.gov.uk/inspection-reports/find-inspection-report/provider/ELS/130760","Ofsted FES Webpage")</f>
        <v>Ofsted FES Webpage</v>
      </c>
      <c r="B913" t="s">
        <v>1131</v>
      </c>
      <c r="C913">
        <v>130760</v>
      </c>
      <c r="D913">
        <v>107722</v>
      </c>
      <c r="E913" t="s">
        <v>234</v>
      </c>
      <c r="F913" t="s">
        <v>16</v>
      </c>
      <c r="G913" t="s">
        <v>849</v>
      </c>
      <c r="H913" s="2">
        <v>40679</v>
      </c>
      <c r="I913" s="2">
        <v>40683</v>
      </c>
      <c r="J913" t="s">
        <v>56</v>
      </c>
      <c r="K913" s="2">
        <v>40721.13545061342</v>
      </c>
      <c r="L913" t="s">
        <v>858</v>
      </c>
      <c r="M913">
        <v>365901</v>
      </c>
      <c r="N913">
        <v>2</v>
      </c>
      <c r="O913">
        <v>2</v>
      </c>
      <c r="P913">
        <v>2</v>
      </c>
      <c r="Q913">
        <v>2</v>
      </c>
      <c r="R913">
        <v>5278</v>
      </c>
      <c r="S913" t="s">
        <v>4281</v>
      </c>
      <c r="V913" t="s">
        <v>4282</v>
      </c>
      <c r="W913" t="s">
        <v>234</v>
      </c>
      <c r="X913" t="s">
        <v>2242</v>
      </c>
    </row>
    <row r="914" spans="1:24" ht="12.75">
      <c r="A914" s="1" t="str">
        <f>HYPERLINK("http://www.ofsted.gov.uk/inspection-reports/find-inspection-report/provider/ELS/130761","Ofsted FES Webpage")</f>
        <v>Ofsted FES Webpage</v>
      </c>
      <c r="B914" t="s">
        <v>1132</v>
      </c>
      <c r="C914">
        <v>130761</v>
      </c>
      <c r="D914">
        <v>107641</v>
      </c>
      <c r="E914" t="s">
        <v>234</v>
      </c>
      <c r="F914" t="s">
        <v>16</v>
      </c>
      <c r="G914" t="s">
        <v>849</v>
      </c>
      <c r="H914" s="2">
        <v>41792</v>
      </c>
      <c r="I914" s="2">
        <v>41796</v>
      </c>
      <c r="J914" t="s">
        <v>27</v>
      </c>
      <c r="K914" s="2">
        <v>41827.13546871528</v>
      </c>
      <c r="L914" t="s">
        <v>882</v>
      </c>
      <c r="M914">
        <v>429285</v>
      </c>
      <c r="N914">
        <v>2</v>
      </c>
      <c r="O914">
        <v>2</v>
      </c>
      <c r="P914">
        <v>3</v>
      </c>
      <c r="Q914">
        <v>3</v>
      </c>
      <c r="R914">
        <v>7571</v>
      </c>
      <c r="S914" t="s">
        <v>4283</v>
      </c>
      <c r="T914" t="s">
        <v>4284</v>
      </c>
      <c r="V914" t="s">
        <v>3045</v>
      </c>
      <c r="W914" t="s">
        <v>234</v>
      </c>
      <c r="X914" t="s">
        <v>2243</v>
      </c>
    </row>
    <row r="915" spans="1:24" ht="12.75">
      <c r="A915" s="1" t="str">
        <f>HYPERLINK("http://www.ofsted.gov.uk/inspection-reports/find-inspection-report/provider/ELS/130762","Ofsted FES Webpage")</f>
        <v>Ofsted FES Webpage</v>
      </c>
      <c r="B915" t="s">
        <v>1133</v>
      </c>
      <c r="C915">
        <v>130762</v>
      </c>
      <c r="D915">
        <v>110223</v>
      </c>
      <c r="E915" t="s">
        <v>234</v>
      </c>
      <c r="F915" t="s">
        <v>16</v>
      </c>
      <c r="G915" t="s">
        <v>849</v>
      </c>
      <c r="H915" s="2">
        <v>40588</v>
      </c>
      <c r="I915" s="2">
        <v>40592</v>
      </c>
      <c r="J915" t="s">
        <v>56</v>
      </c>
      <c r="K915" s="2">
        <v>40627.13550069444</v>
      </c>
      <c r="L915" t="s">
        <v>858</v>
      </c>
      <c r="M915">
        <v>363289</v>
      </c>
      <c r="N915">
        <v>1</v>
      </c>
      <c r="O915">
        <v>1</v>
      </c>
      <c r="P915">
        <v>2</v>
      </c>
      <c r="Q915">
        <v>2</v>
      </c>
      <c r="R915">
        <v>13868</v>
      </c>
      <c r="S915" t="s">
        <v>3192</v>
      </c>
      <c r="V915" t="s">
        <v>2469</v>
      </c>
      <c r="W915" t="s">
        <v>234</v>
      </c>
      <c r="X915" t="s">
        <v>1591</v>
      </c>
    </row>
    <row r="916" spans="1:24" ht="12.75">
      <c r="A916" s="1" t="str">
        <f>HYPERLINK("http://www.ofsted.gov.uk/inspection-reports/find-inspection-report/provider/ELS/130763","Ofsted FES Webpage")</f>
        <v>Ofsted FES Webpage</v>
      </c>
      <c r="B916" t="s">
        <v>1134</v>
      </c>
      <c r="C916">
        <v>130763</v>
      </c>
      <c r="D916">
        <v>105939</v>
      </c>
      <c r="E916" t="s">
        <v>38</v>
      </c>
      <c r="F916" t="s">
        <v>39</v>
      </c>
      <c r="G916" t="s">
        <v>849</v>
      </c>
      <c r="H916" s="2">
        <v>41288</v>
      </c>
      <c r="I916" s="2">
        <v>41292</v>
      </c>
      <c r="J916" t="s">
        <v>32</v>
      </c>
      <c r="K916" s="2">
        <v>41327.1355647338</v>
      </c>
      <c r="L916" t="s">
        <v>850</v>
      </c>
      <c r="M916">
        <v>408429</v>
      </c>
      <c r="N916">
        <v>2</v>
      </c>
      <c r="O916">
        <v>2</v>
      </c>
      <c r="P916">
        <v>1</v>
      </c>
      <c r="Q916">
        <v>1</v>
      </c>
      <c r="R916">
        <v>11392</v>
      </c>
      <c r="S916" t="s">
        <v>4285</v>
      </c>
      <c r="V916" t="s">
        <v>2764</v>
      </c>
      <c r="W916" t="s">
        <v>38</v>
      </c>
      <c r="X916" t="s">
        <v>2244</v>
      </c>
    </row>
    <row r="917" spans="1:24" ht="12.75">
      <c r="A917" s="1" t="str">
        <f>HYPERLINK("http://www.ofsted.gov.uk/inspection-reports/find-inspection-report/provider/ELS/130764","Ofsted FES Webpage")</f>
        <v>Ofsted FES Webpage</v>
      </c>
      <c r="B917" t="s">
        <v>1135</v>
      </c>
      <c r="C917">
        <v>130764</v>
      </c>
      <c r="D917">
        <v>106947</v>
      </c>
      <c r="E917" t="s">
        <v>38</v>
      </c>
      <c r="F917" t="s">
        <v>39</v>
      </c>
      <c r="G917" t="s">
        <v>849</v>
      </c>
      <c r="H917" s="2">
        <v>41351</v>
      </c>
      <c r="I917" s="2">
        <v>41355</v>
      </c>
      <c r="J917" t="s">
        <v>32</v>
      </c>
      <c r="K917" s="2">
        <v>41394.135611226855</v>
      </c>
      <c r="L917" t="s">
        <v>850</v>
      </c>
      <c r="M917">
        <v>410615</v>
      </c>
      <c r="N917">
        <v>2</v>
      </c>
      <c r="O917">
        <v>2</v>
      </c>
      <c r="P917">
        <v>3</v>
      </c>
      <c r="Q917">
        <v>3</v>
      </c>
      <c r="R917">
        <v>8500</v>
      </c>
      <c r="S917" t="s">
        <v>3316</v>
      </c>
      <c r="V917" t="s">
        <v>2424</v>
      </c>
      <c r="W917" t="s">
        <v>38</v>
      </c>
      <c r="X917" t="s">
        <v>2245</v>
      </c>
    </row>
    <row r="918" spans="1:24" ht="12.75">
      <c r="A918" s="1" t="str">
        <f>HYPERLINK("http://www.ofsted.gov.uk/inspection-reports/find-inspection-report/provider/ELS/130765","Ofsted FES Webpage")</f>
        <v>Ofsted FES Webpage</v>
      </c>
      <c r="B918" t="s">
        <v>1136</v>
      </c>
      <c r="C918">
        <v>130765</v>
      </c>
      <c r="D918">
        <v>106950</v>
      </c>
      <c r="E918" t="s">
        <v>38</v>
      </c>
      <c r="F918" t="s">
        <v>39</v>
      </c>
      <c r="G918" t="s">
        <v>849</v>
      </c>
      <c r="H918" s="2">
        <v>41548</v>
      </c>
      <c r="I918" s="2">
        <v>41551</v>
      </c>
      <c r="J918" t="s">
        <v>27</v>
      </c>
      <c r="K918" s="2">
        <v>41586.135476469906</v>
      </c>
      <c r="L918" t="s">
        <v>850</v>
      </c>
      <c r="M918">
        <v>423363</v>
      </c>
      <c r="N918">
        <v>2</v>
      </c>
      <c r="O918">
        <v>2</v>
      </c>
      <c r="P918">
        <v>3</v>
      </c>
      <c r="Q918">
        <v>3</v>
      </c>
      <c r="R918">
        <v>3880</v>
      </c>
      <c r="S918" t="s">
        <v>4286</v>
      </c>
      <c r="T918" t="s">
        <v>4287</v>
      </c>
      <c r="V918" t="s">
        <v>2905</v>
      </c>
      <c r="W918" t="s">
        <v>38</v>
      </c>
      <c r="X918" t="s">
        <v>2246</v>
      </c>
    </row>
    <row r="919" spans="1:24" ht="12.75">
      <c r="A919" s="1" t="str">
        <f>HYPERLINK("http://www.ofsted.gov.uk/inspection-reports/find-inspection-report/provider/ELS/130767","Ofsted FES Webpage")</f>
        <v>Ofsted FES Webpage</v>
      </c>
      <c r="B919" t="s">
        <v>1137</v>
      </c>
      <c r="C919">
        <v>130767</v>
      </c>
      <c r="D919">
        <v>108429</v>
      </c>
      <c r="E919" t="s">
        <v>38</v>
      </c>
      <c r="F919" t="s">
        <v>39</v>
      </c>
      <c r="G919" t="s">
        <v>862</v>
      </c>
      <c r="H919" s="2">
        <v>41534</v>
      </c>
      <c r="I919" s="2">
        <v>41537</v>
      </c>
      <c r="J919" t="s">
        <v>27</v>
      </c>
      <c r="K919" s="2">
        <v>41571.135477083335</v>
      </c>
      <c r="L919" t="s">
        <v>875</v>
      </c>
      <c r="M919">
        <v>423386</v>
      </c>
      <c r="N919">
        <v>2</v>
      </c>
      <c r="O919">
        <v>2</v>
      </c>
      <c r="P919">
        <v>2</v>
      </c>
      <c r="Q919">
        <v>2</v>
      </c>
      <c r="R919">
        <v>1714</v>
      </c>
      <c r="S919" t="s">
        <v>2903</v>
      </c>
      <c r="T919" t="s">
        <v>2904</v>
      </c>
      <c r="V919" t="s">
        <v>2905</v>
      </c>
      <c r="W919" t="s">
        <v>38</v>
      </c>
      <c r="X919" t="s">
        <v>1483</v>
      </c>
    </row>
    <row r="920" spans="1:24" ht="12.75">
      <c r="A920" s="1" t="str">
        <f>HYPERLINK("http://www.ofsted.gov.uk/inspection-reports/find-inspection-report/provider/ELS/130768","Ofsted FES Webpage")</f>
        <v>Ofsted FES Webpage</v>
      </c>
      <c r="B920" t="s">
        <v>1138</v>
      </c>
      <c r="C920">
        <v>130768</v>
      </c>
      <c r="D920">
        <v>108313</v>
      </c>
      <c r="E920" t="s">
        <v>38</v>
      </c>
      <c r="F920" t="s">
        <v>39</v>
      </c>
      <c r="G920" t="s">
        <v>862</v>
      </c>
      <c r="H920" s="2">
        <v>40617</v>
      </c>
      <c r="I920" s="2">
        <v>40620</v>
      </c>
      <c r="J920" t="s">
        <v>56</v>
      </c>
      <c r="K920" s="2">
        <v>40659.13545825231</v>
      </c>
      <c r="L920" t="s">
        <v>863</v>
      </c>
      <c r="M920">
        <v>363316</v>
      </c>
      <c r="N920">
        <v>2</v>
      </c>
      <c r="O920">
        <v>2</v>
      </c>
      <c r="P920">
        <v>2</v>
      </c>
      <c r="Q920">
        <v>2</v>
      </c>
      <c r="R920">
        <v>899</v>
      </c>
      <c r="S920" t="s">
        <v>4288</v>
      </c>
      <c r="V920" t="s">
        <v>4289</v>
      </c>
      <c r="W920" t="s">
        <v>38</v>
      </c>
      <c r="X920" t="s">
        <v>2248</v>
      </c>
    </row>
    <row r="921" spans="1:24" ht="12.75">
      <c r="A921" s="1" t="str">
        <f>HYPERLINK("http://www.ofsted.gov.uk/inspection-reports/find-inspection-report/provider/ELS/130769","Ofsted FES Webpage")</f>
        <v>Ofsted FES Webpage</v>
      </c>
      <c r="B921" t="s">
        <v>1139</v>
      </c>
      <c r="C921">
        <v>130769</v>
      </c>
      <c r="D921">
        <v>106970</v>
      </c>
      <c r="E921" t="s">
        <v>89</v>
      </c>
      <c r="F921" t="s">
        <v>16</v>
      </c>
      <c r="G921" t="s">
        <v>849</v>
      </c>
      <c r="H921" s="2">
        <v>41309</v>
      </c>
      <c r="I921" s="2">
        <v>41313</v>
      </c>
      <c r="J921" t="s">
        <v>32</v>
      </c>
      <c r="K921" s="2">
        <v>41348.13570208333</v>
      </c>
      <c r="L921" t="s">
        <v>850</v>
      </c>
      <c r="M921">
        <v>408428</v>
      </c>
      <c r="N921">
        <v>2</v>
      </c>
      <c r="O921">
        <v>2</v>
      </c>
      <c r="P921">
        <v>3</v>
      </c>
      <c r="Q921">
        <v>3</v>
      </c>
      <c r="R921">
        <v>7485</v>
      </c>
      <c r="S921" t="s">
        <v>4290</v>
      </c>
      <c r="T921" t="s">
        <v>4291</v>
      </c>
      <c r="V921" t="s">
        <v>2511</v>
      </c>
      <c r="W921" t="s">
        <v>89</v>
      </c>
      <c r="X921" t="s">
        <v>2249</v>
      </c>
    </row>
    <row r="922" spans="1:24" ht="12.75">
      <c r="A922" s="1" t="str">
        <f>HYPERLINK("http://www.ofsted.gov.uk/inspection-reports/find-inspection-report/provider/ELS/130771","Ofsted FES Webpage")</f>
        <v>Ofsted FES Webpage</v>
      </c>
      <c r="B922" t="s">
        <v>1140</v>
      </c>
      <c r="C922">
        <v>130771</v>
      </c>
      <c r="D922">
        <v>106972</v>
      </c>
      <c r="E922" t="s">
        <v>89</v>
      </c>
      <c r="F922" t="s">
        <v>16</v>
      </c>
      <c r="G922" t="s">
        <v>849</v>
      </c>
      <c r="H922" s="2">
        <v>40098</v>
      </c>
      <c r="I922" s="2">
        <v>40102</v>
      </c>
      <c r="J922" t="s">
        <v>18</v>
      </c>
      <c r="K922" s="2">
        <v>40158.668737037035</v>
      </c>
      <c r="L922" t="s">
        <v>851</v>
      </c>
      <c r="M922">
        <v>342265</v>
      </c>
      <c r="N922">
        <v>2</v>
      </c>
      <c r="O922">
        <v>2</v>
      </c>
      <c r="P922">
        <v>3</v>
      </c>
      <c r="Q922">
        <v>3</v>
      </c>
      <c r="R922">
        <v>9720</v>
      </c>
      <c r="S922" t="s">
        <v>4292</v>
      </c>
      <c r="V922" t="s">
        <v>3133</v>
      </c>
      <c r="W922" t="s">
        <v>89</v>
      </c>
      <c r="X922" t="s">
        <v>2250</v>
      </c>
    </row>
    <row r="923" spans="1:24" ht="12.75">
      <c r="A923" s="1" t="str">
        <f>HYPERLINK("http://www.ofsted.gov.uk/inspection-reports/find-inspection-report/provider/ELS/130772","Ofsted FES Webpage")</f>
        <v>Ofsted FES Webpage</v>
      </c>
      <c r="B923" t="s">
        <v>1141</v>
      </c>
      <c r="C923">
        <v>130772</v>
      </c>
      <c r="D923">
        <v>106966</v>
      </c>
      <c r="E923" t="s">
        <v>89</v>
      </c>
      <c r="F923" t="s">
        <v>16</v>
      </c>
      <c r="G923" t="s">
        <v>890</v>
      </c>
      <c r="H923" s="2">
        <v>39575</v>
      </c>
      <c r="I923" s="2">
        <v>39576</v>
      </c>
      <c r="J923" t="s">
        <v>154</v>
      </c>
      <c r="K923" s="2">
        <v>39626.135894444444</v>
      </c>
      <c r="L923" t="s">
        <v>891</v>
      </c>
      <c r="M923">
        <v>320855</v>
      </c>
      <c r="N923">
        <v>1</v>
      </c>
      <c r="O923">
        <v>1</v>
      </c>
      <c r="P923" t="s">
        <v>20</v>
      </c>
      <c r="Q923" t="s">
        <v>20</v>
      </c>
      <c r="R923">
        <v>5114</v>
      </c>
      <c r="S923" t="s">
        <v>2539</v>
      </c>
      <c r="T923" t="s">
        <v>4293</v>
      </c>
      <c r="V923" t="s">
        <v>2511</v>
      </c>
      <c r="W923" t="s">
        <v>89</v>
      </c>
      <c r="X923" t="s">
        <v>2251</v>
      </c>
    </row>
    <row r="924" spans="1:24" ht="12.75">
      <c r="A924" s="1" t="str">
        <f>HYPERLINK("http://www.ofsted.gov.uk/inspection-reports/find-inspection-report/provider/ELS/130773","Ofsted FES Webpage")</f>
        <v>Ofsted FES Webpage</v>
      </c>
      <c r="B924" t="s">
        <v>1142</v>
      </c>
      <c r="C924">
        <v>130773</v>
      </c>
      <c r="D924">
        <v>107495</v>
      </c>
      <c r="E924" t="s">
        <v>164</v>
      </c>
      <c r="F924" t="s">
        <v>26</v>
      </c>
      <c r="G924" t="s">
        <v>849</v>
      </c>
      <c r="H924" s="2">
        <v>41302</v>
      </c>
      <c r="I924" s="2">
        <v>41306</v>
      </c>
      <c r="J924" t="s">
        <v>32</v>
      </c>
      <c r="K924" s="2">
        <v>41341.13579479167</v>
      </c>
      <c r="L924" t="s">
        <v>850</v>
      </c>
      <c r="M924">
        <v>408434</v>
      </c>
      <c r="N924">
        <v>2</v>
      </c>
      <c r="O924">
        <v>2</v>
      </c>
      <c r="P924">
        <v>3</v>
      </c>
      <c r="Q924">
        <v>3</v>
      </c>
      <c r="R924">
        <v>5709</v>
      </c>
      <c r="S924" t="s">
        <v>2881</v>
      </c>
      <c r="V924" t="s">
        <v>3166</v>
      </c>
      <c r="W924" t="s">
        <v>164</v>
      </c>
      <c r="X924" t="s">
        <v>2252</v>
      </c>
    </row>
    <row r="925" spans="1:24" ht="12.75">
      <c r="A925" s="1" t="str">
        <f>HYPERLINK("http://www.ofsted.gov.uk/inspection-reports/find-inspection-report/provider/ELS/130776","Ofsted FES Webpage")</f>
        <v>Ofsted FES Webpage</v>
      </c>
      <c r="B925" t="s">
        <v>1143</v>
      </c>
      <c r="C925">
        <v>130776</v>
      </c>
      <c r="D925">
        <v>106985</v>
      </c>
      <c r="E925" t="s">
        <v>15</v>
      </c>
      <c r="F925" t="s">
        <v>16</v>
      </c>
      <c r="G925" t="s">
        <v>849</v>
      </c>
      <c r="H925" s="2">
        <v>41771</v>
      </c>
      <c r="I925" s="2">
        <v>41775</v>
      </c>
      <c r="J925" t="s">
        <v>27</v>
      </c>
      <c r="K925" s="2">
        <v>41814.13546732639</v>
      </c>
      <c r="L925" t="s">
        <v>882</v>
      </c>
      <c r="M925">
        <v>429286</v>
      </c>
      <c r="N925">
        <v>3</v>
      </c>
      <c r="O925">
        <v>3</v>
      </c>
      <c r="P925">
        <v>3</v>
      </c>
      <c r="Q925">
        <v>3</v>
      </c>
      <c r="R925">
        <v>16203</v>
      </c>
      <c r="S925" t="s">
        <v>4294</v>
      </c>
      <c r="V925" t="s">
        <v>15</v>
      </c>
      <c r="W925" t="s">
        <v>51</v>
      </c>
      <c r="X925" t="s">
        <v>2253</v>
      </c>
    </row>
    <row r="926" spans="1:24" ht="12.75">
      <c r="A926" s="1" t="str">
        <f>HYPERLINK("http://www.ofsted.gov.uk/inspection-reports/find-inspection-report/provider/ELS/130777","Ofsted FES Webpage")</f>
        <v>Ofsted FES Webpage</v>
      </c>
      <c r="B926" t="s">
        <v>1144</v>
      </c>
      <c r="C926">
        <v>130777</v>
      </c>
      <c r="D926">
        <v>107960</v>
      </c>
      <c r="E926" t="s">
        <v>51</v>
      </c>
      <c r="F926" t="s">
        <v>16</v>
      </c>
      <c r="G926" t="s">
        <v>849</v>
      </c>
      <c r="H926" s="2">
        <v>41057</v>
      </c>
      <c r="I926" s="2">
        <v>41061</v>
      </c>
      <c r="J926" t="s">
        <v>23</v>
      </c>
      <c r="K926" s="2">
        <v>41100.13554795139</v>
      </c>
      <c r="L926" t="s">
        <v>858</v>
      </c>
      <c r="M926">
        <v>388004</v>
      </c>
      <c r="N926">
        <v>2</v>
      </c>
      <c r="O926">
        <v>2</v>
      </c>
      <c r="P926">
        <v>1</v>
      </c>
      <c r="Q926">
        <v>1</v>
      </c>
      <c r="R926">
        <v>24922</v>
      </c>
      <c r="S926" t="s">
        <v>3737</v>
      </c>
      <c r="V926" t="s">
        <v>2398</v>
      </c>
      <c r="W926" t="s">
        <v>51</v>
      </c>
      <c r="X926" t="s">
        <v>2254</v>
      </c>
    </row>
    <row r="927" spans="1:24" ht="12.75">
      <c r="A927" s="1" t="str">
        <f>HYPERLINK("http://www.ofsted.gov.uk/inspection-reports/find-inspection-report/provider/ELS/130779","Ofsted FES Webpage")</f>
        <v>Ofsted FES Webpage</v>
      </c>
      <c r="B927" t="s">
        <v>1145</v>
      </c>
      <c r="C927">
        <v>130779</v>
      </c>
      <c r="D927">
        <v>107949</v>
      </c>
      <c r="E927" t="s">
        <v>51</v>
      </c>
      <c r="F927" t="s">
        <v>16</v>
      </c>
      <c r="G927" t="s">
        <v>849</v>
      </c>
      <c r="H927" s="2">
        <v>41253</v>
      </c>
      <c r="I927" s="2">
        <v>41257</v>
      </c>
      <c r="J927" t="s">
        <v>32</v>
      </c>
      <c r="K927" s="2">
        <v>41297.135473298615</v>
      </c>
      <c r="L927" t="s">
        <v>850</v>
      </c>
      <c r="M927">
        <v>399001</v>
      </c>
      <c r="N927">
        <v>2</v>
      </c>
      <c r="O927">
        <v>2</v>
      </c>
      <c r="P927">
        <v>3</v>
      </c>
      <c r="Q927">
        <v>3</v>
      </c>
      <c r="R927">
        <v>5294</v>
      </c>
      <c r="S927" t="s">
        <v>2965</v>
      </c>
      <c r="V927" t="s">
        <v>2966</v>
      </c>
      <c r="W927" t="s">
        <v>51</v>
      </c>
      <c r="X927" t="s">
        <v>2255</v>
      </c>
    </row>
    <row r="928" spans="1:24" ht="12.75">
      <c r="A928" s="1" t="str">
        <f>HYPERLINK("http://www.ofsted.gov.uk/inspection-reports/find-inspection-report/provider/ELS/130783","Ofsted FES Webpage")</f>
        <v>Ofsted FES Webpage</v>
      </c>
      <c r="B928" t="s">
        <v>1146</v>
      </c>
      <c r="C928">
        <v>130783</v>
      </c>
      <c r="D928">
        <v>108485</v>
      </c>
      <c r="E928" t="s">
        <v>51</v>
      </c>
      <c r="F928" t="s">
        <v>16</v>
      </c>
      <c r="G928" t="s">
        <v>849</v>
      </c>
      <c r="H928" s="2">
        <v>41414</v>
      </c>
      <c r="I928" s="2">
        <v>41418</v>
      </c>
      <c r="J928" t="s">
        <v>32</v>
      </c>
      <c r="K928" s="2">
        <v>41456.13548804398</v>
      </c>
      <c r="L928" t="s">
        <v>850</v>
      </c>
      <c r="M928">
        <v>410618</v>
      </c>
      <c r="N928">
        <v>3</v>
      </c>
      <c r="O928">
        <v>3</v>
      </c>
      <c r="P928">
        <v>2</v>
      </c>
      <c r="Q928">
        <v>3</v>
      </c>
      <c r="R928">
        <v>33205</v>
      </c>
      <c r="S928" t="s">
        <v>4295</v>
      </c>
      <c r="T928" t="s">
        <v>3348</v>
      </c>
      <c r="V928" t="s">
        <v>15</v>
      </c>
      <c r="W928" t="s">
        <v>51</v>
      </c>
      <c r="X928" t="s">
        <v>2256</v>
      </c>
    </row>
    <row r="929" spans="1:24" ht="12.75">
      <c r="A929" s="1" t="str">
        <f>HYPERLINK("http://www.ofsted.gov.uk/inspection-reports/find-inspection-report/provider/ELS/130787","Ofsted FES Webpage")</f>
        <v>Ofsted FES Webpage</v>
      </c>
      <c r="B929" t="s">
        <v>1147</v>
      </c>
      <c r="C929">
        <v>130787</v>
      </c>
      <c r="D929">
        <v>108326</v>
      </c>
      <c r="E929" t="s">
        <v>15</v>
      </c>
      <c r="F929" t="s">
        <v>16</v>
      </c>
      <c r="G929" t="s">
        <v>862</v>
      </c>
      <c r="H929" s="2">
        <v>39896</v>
      </c>
      <c r="I929" s="2">
        <v>39897</v>
      </c>
      <c r="J929" t="s">
        <v>44</v>
      </c>
      <c r="K929" s="2">
        <v>39955.13547554398</v>
      </c>
      <c r="L929" t="s">
        <v>876</v>
      </c>
      <c r="M929">
        <v>331246</v>
      </c>
      <c r="N929">
        <v>2</v>
      </c>
      <c r="O929">
        <v>2</v>
      </c>
      <c r="P929" t="s">
        <v>20</v>
      </c>
      <c r="Q929" t="s">
        <v>20</v>
      </c>
      <c r="R929">
        <v>1723</v>
      </c>
      <c r="S929" t="s">
        <v>4296</v>
      </c>
      <c r="T929" t="s">
        <v>3721</v>
      </c>
      <c r="V929" t="s">
        <v>15</v>
      </c>
      <c r="W929" t="s">
        <v>51</v>
      </c>
      <c r="X929" t="s">
        <v>2257</v>
      </c>
    </row>
    <row r="930" spans="1:24" ht="12.75">
      <c r="A930" s="1" t="str">
        <f>HYPERLINK("http://www.ofsted.gov.uk/inspection-reports/find-inspection-report/provider/ELS/130789","Ofsted FES Webpage")</f>
        <v>Ofsted FES Webpage</v>
      </c>
      <c r="B930" t="s">
        <v>1148</v>
      </c>
      <c r="C930">
        <v>130789</v>
      </c>
      <c r="D930">
        <v>105028</v>
      </c>
      <c r="E930" t="s">
        <v>91</v>
      </c>
      <c r="F930" t="s">
        <v>43</v>
      </c>
      <c r="G930" t="s">
        <v>862</v>
      </c>
      <c r="H930" s="2">
        <v>40490</v>
      </c>
      <c r="I930" s="2">
        <v>40494</v>
      </c>
      <c r="J930" t="s">
        <v>56</v>
      </c>
      <c r="K930" s="2">
        <v>40529.13545119213</v>
      </c>
      <c r="L930" t="s">
        <v>858</v>
      </c>
      <c r="M930">
        <v>362140</v>
      </c>
      <c r="N930">
        <v>2</v>
      </c>
      <c r="O930">
        <v>2</v>
      </c>
      <c r="P930">
        <v>2</v>
      </c>
      <c r="Q930">
        <v>2</v>
      </c>
      <c r="R930">
        <v>2820</v>
      </c>
      <c r="S930" t="s">
        <v>3732</v>
      </c>
      <c r="V930" t="s">
        <v>3049</v>
      </c>
      <c r="W930" t="s">
        <v>91</v>
      </c>
      <c r="X930" t="s">
        <v>1867</v>
      </c>
    </row>
    <row r="931" spans="1:24" ht="12.75">
      <c r="A931" s="1" t="str">
        <f>HYPERLINK("http://www.ofsted.gov.uk/inspection-reports/find-inspection-report/provider/ELS/130793","Ofsted FES Webpage")</f>
        <v>Ofsted FES Webpage</v>
      </c>
      <c r="B931" t="s">
        <v>1149</v>
      </c>
      <c r="C931">
        <v>130793</v>
      </c>
      <c r="D931">
        <v>112314</v>
      </c>
      <c r="E931" t="s">
        <v>91</v>
      </c>
      <c r="F931" t="s">
        <v>43</v>
      </c>
      <c r="G931" t="s">
        <v>849</v>
      </c>
      <c r="H931" s="2">
        <v>41666</v>
      </c>
      <c r="I931" s="2">
        <v>41670</v>
      </c>
      <c r="J931" t="s">
        <v>27</v>
      </c>
      <c r="K931" s="2">
        <v>41705.135505590275</v>
      </c>
      <c r="L931" t="s">
        <v>850</v>
      </c>
      <c r="M931">
        <v>429152</v>
      </c>
      <c r="N931">
        <v>2</v>
      </c>
      <c r="O931">
        <v>1</v>
      </c>
      <c r="P931">
        <v>3</v>
      </c>
      <c r="Q931">
        <v>2</v>
      </c>
      <c r="R931">
        <v>6016</v>
      </c>
      <c r="S931" t="s">
        <v>4297</v>
      </c>
      <c r="V931" t="s">
        <v>3435</v>
      </c>
      <c r="W931" t="s">
        <v>91</v>
      </c>
      <c r="X931" t="s">
        <v>2259</v>
      </c>
    </row>
    <row r="932" spans="1:24" ht="12.75">
      <c r="A932" s="1" t="str">
        <f>HYPERLINK("http://www.ofsted.gov.uk/inspection-reports/find-inspection-report/provider/ELS/130794","Ofsted FES Webpage")</f>
        <v>Ofsted FES Webpage</v>
      </c>
      <c r="B932" t="s">
        <v>1150</v>
      </c>
      <c r="C932">
        <v>130794</v>
      </c>
      <c r="D932">
        <v>108348</v>
      </c>
      <c r="E932" t="s">
        <v>91</v>
      </c>
      <c r="F932" t="s">
        <v>43</v>
      </c>
      <c r="G932" t="s">
        <v>40</v>
      </c>
      <c r="H932" s="2">
        <v>41233</v>
      </c>
      <c r="I932" s="2">
        <v>41236</v>
      </c>
      <c r="J932" t="s">
        <v>32</v>
      </c>
      <c r="K932" s="2">
        <v>41275.135458020835</v>
      </c>
      <c r="L932" t="s">
        <v>45</v>
      </c>
      <c r="M932">
        <v>399150</v>
      </c>
      <c r="N932">
        <v>2</v>
      </c>
      <c r="O932">
        <v>2</v>
      </c>
      <c r="P932">
        <v>2</v>
      </c>
      <c r="Q932">
        <v>2</v>
      </c>
      <c r="R932">
        <v>1090</v>
      </c>
      <c r="S932" t="s">
        <v>4298</v>
      </c>
      <c r="T932" t="s">
        <v>4299</v>
      </c>
      <c r="V932" t="s">
        <v>2515</v>
      </c>
      <c r="W932" t="s">
        <v>91</v>
      </c>
      <c r="X932" t="s">
        <v>2260</v>
      </c>
    </row>
    <row r="933" spans="1:24" ht="12.75">
      <c r="A933" s="1" t="str">
        <f>HYPERLINK("http://www.ofsted.gov.uk/inspection-reports/find-inspection-report/provider/ELS/130796","Ofsted FES Webpage")</f>
        <v>Ofsted FES Webpage</v>
      </c>
      <c r="B933" t="s">
        <v>1151</v>
      </c>
      <c r="C933">
        <v>130796</v>
      </c>
      <c r="D933">
        <v>107010</v>
      </c>
      <c r="E933" t="s">
        <v>48</v>
      </c>
      <c r="F933" t="s">
        <v>49</v>
      </c>
      <c r="G933" t="s">
        <v>849</v>
      </c>
      <c r="H933" s="2">
        <v>40322</v>
      </c>
      <c r="I933" s="2">
        <v>40326</v>
      </c>
      <c r="J933" t="s">
        <v>18</v>
      </c>
      <c r="K933" s="2">
        <v>40364.13552708333</v>
      </c>
      <c r="L933" t="s">
        <v>858</v>
      </c>
      <c r="M933">
        <v>346483</v>
      </c>
      <c r="N933">
        <v>2</v>
      </c>
      <c r="O933">
        <v>2</v>
      </c>
      <c r="P933">
        <v>1</v>
      </c>
      <c r="Q933">
        <v>1</v>
      </c>
      <c r="R933">
        <v>24218</v>
      </c>
      <c r="S933" t="s">
        <v>4300</v>
      </c>
      <c r="T933" t="s">
        <v>3303</v>
      </c>
      <c r="V933" t="s">
        <v>2434</v>
      </c>
      <c r="W933" t="s">
        <v>572</v>
      </c>
      <c r="X933" t="s">
        <v>2261</v>
      </c>
    </row>
    <row r="934" spans="1:24" ht="12.75">
      <c r="A934" s="1" t="str">
        <f>HYPERLINK("http://www.ofsted.gov.uk/inspection-reports/find-inspection-report/provider/ELS/130797","Ofsted FES Webpage")</f>
        <v>Ofsted FES Webpage</v>
      </c>
      <c r="B934" t="s">
        <v>1152</v>
      </c>
      <c r="C934">
        <v>130797</v>
      </c>
      <c r="D934">
        <v>108452</v>
      </c>
      <c r="E934" t="s">
        <v>572</v>
      </c>
      <c r="F934" t="s">
        <v>49</v>
      </c>
      <c r="G934" t="s">
        <v>849</v>
      </c>
      <c r="H934" s="2">
        <v>41394</v>
      </c>
      <c r="I934" s="2">
        <v>41397</v>
      </c>
      <c r="J934" t="s">
        <v>32</v>
      </c>
      <c r="K934" s="2">
        <v>41436.13552164352</v>
      </c>
      <c r="L934" t="s">
        <v>850</v>
      </c>
      <c r="M934">
        <v>410621</v>
      </c>
      <c r="N934">
        <v>3</v>
      </c>
      <c r="O934">
        <v>3</v>
      </c>
      <c r="P934">
        <v>3</v>
      </c>
      <c r="Q934">
        <v>3</v>
      </c>
      <c r="R934">
        <v>5542</v>
      </c>
      <c r="S934" t="s">
        <v>4301</v>
      </c>
      <c r="V934" t="s">
        <v>4302</v>
      </c>
      <c r="W934" t="s">
        <v>572</v>
      </c>
      <c r="X934" t="s">
        <v>2262</v>
      </c>
    </row>
    <row r="935" spans="1:24" ht="12.75">
      <c r="A935" s="1" t="str">
        <f>HYPERLINK("http://www.ofsted.gov.uk/inspection-reports/find-inspection-report/provider/ELS/130798","Ofsted FES Webpage")</f>
        <v>Ofsted FES Webpage</v>
      </c>
      <c r="B935" t="s">
        <v>1153</v>
      </c>
      <c r="C935">
        <v>130798</v>
      </c>
      <c r="D935">
        <v>107008</v>
      </c>
      <c r="E935" t="s">
        <v>572</v>
      </c>
      <c r="F935" t="s">
        <v>49</v>
      </c>
      <c r="G935" t="s">
        <v>849</v>
      </c>
      <c r="H935" s="2">
        <v>41792</v>
      </c>
      <c r="I935" s="2">
        <v>41796</v>
      </c>
      <c r="J935" t="s">
        <v>27</v>
      </c>
      <c r="K935" s="2">
        <v>41829.13556354167</v>
      </c>
      <c r="L935" t="s">
        <v>850</v>
      </c>
      <c r="M935">
        <v>434084</v>
      </c>
      <c r="N935">
        <v>2</v>
      </c>
      <c r="O935">
        <v>2</v>
      </c>
      <c r="P935">
        <v>3</v>
      </c>
      <c r="Q935">
        <v>3</v>
      </c>
      <c r="R935">
        <v>9239</v>
      </c>
      <c r="S935" t="s">
        <v>2841</v>
      </c>
      <c r="V935" t="s">
        <v>2523</v>
      </c>
      <c r="W935" t="s">
        <v>572</v>
      </c>
      <c r="X935" t="s">
        <v>2263</v>
      </c>
    </row>
    <row r="936" spans="1:24" ht="12.75">
      <c r="A936" s="1" t="str">
        <f>HYPERLINK("http://www.ofsted.gov.uk/inspection-reports/find-inspection-report/provider/ELS/130800","Ofsted FES Webpage")</f>
        <v>Ofsted FES Webpage</v>
      </c>
      <c r="B936" t="s">
        <v>1154</v>
      </c>
      <c r="C936">
        <v>130800</v>
      </c>
      <c r="D936">
        <v>108391</v>
      </c>
      <c r="E936" t="s">
        <v>572</v>
      </c>
      <c r="F936" t="s">
        <v>49</v>
      </c>
      <c r="G936" t="s">
        <v>862</v>
      </c>
      <c r="H936" s="2">
        <v>41562</v>
      </c>
      <c r="I936" s="2">
        <v>41565</v>
      </c>
      <c r="J936" t="s">
        <v>27</v>
      </c>
      <c r="K936" s="2">
        <v>41590.135441666665</v>
      </c>
      <c r="L936" t="s">
        <v>875</v>
      </c>
      <c r="M936">
        <v>423388</v>
      </c>
      <c r="N936">
        <v>2</v>
      </c>
      <c r="O936">
        <v>2</v>
      </c>
      <c r="P936">
        <v>2</v>
      </c>
      <c r="Q936">
        <v>2</v>
      </c>
      <c r="R936">
        <v>1504</v>
      </c>
      <c r="S936" t="s">
        <v>2553</v>
      </c>
      <c r="V936" t="s">
        <v>2523</v>
      </c>
      <c r="W936" t="s">
        <v>572</v>
      </c>
      <c r="X936" t="s">
        <v>2264</v>
      </c>
    </row>
    <row r="937" spans="1:24" ht="12.75">
      <c r="A937" s="1" t="str">
        <f>HYPERLINK("http://www.ofsted.gov.uk/inspection-reports/find-inspection-report/provider/ELS/130801","Ofsted FES Webpage")</f>
        <v>Ofsted FES Webpage</v>
      </c>
      <c r="B937" t="s">
        <v>1155</v>
      </c>
      <c r="C937">
        <v>130801</v>
      </c>
      <c r="D937">
        <v>108408</v>
      </c>
      <c r="E937" t="s">
        <v>48</v>
      </c>
      <c r="F937" t="s">
        <v>49</v>
      </c>
      <c r="G937" t="s">
        <v>862</v>
      </c>
      <c r="H937" s="2">
        <v>41352</v>
      </c>
      <c r="I937" s="2">
        <v>41355</v>
      </c>
      <c r="J937" t="s">
        <v>32</v>
      </c>
      <c r="K937" s="2">
        <v>41394.135557905094</v>
      </c>
      <c r="L937" t="s">
        <v>875</v>
      </c>
      <c r="M937">
        <v>408451</v>
      </c>
      <c r="N937">
        <v>2</v>
      </c>
      <c r="O937">
        <v>2</v>
      </c>
      <c r="P937">
        <v>3</v>
      </c>
      <c r="Q937">
        <v>3</v>
      </c>
      <c r="R937">
        <v>1359</v>
      </c>
      <c r="S937" t="s">
        <v>3302</v>
      </c>
      <c r="T937" t="s">
        <v>3303</v>
      </c>
      <c r="V937" t="s">
        <v>2434</v>
      </c>
      <c r="W937" t="s">
        <v>572</v>
      </c>
      <c r="X937" t="s">
        <v>1653</v>
      </c>
    </row>
    <row r="938" spans="1:24" ht="12.75">
      <c r="A938" s="1" t="str">
        <f>HYPERLINK("http://www.ofsted.gov.uk/inspection-reports/find-inspection-report/provider/ELS/130803","Ofsted FES Webpage")</f>
        <v>Ofsted FES Webpage</v>
      </c>
      <c r="B938" t="s">
        <v>1156</v>
      </c>
      <c r="C938">
        <v>130803</v>
      </c>
      <c r="D938">
        <v>107531</v>
      </c>
      <c r="E938" t="s">
        <v>254</v>
      </c>
      <c r="F938" t="s">
        <v>63</v>
      </c>
      <c r="G938" t="s">
        <v>849</v>
      </c>
      <c r="H938" s="2">
        <v>39038</v>
      </c>
      <c r="I938" s="2">
        <v>39038</v>
      </c>
      <c r="J938" t="s">
        <v>100</v>
      </c>
      <c r="K938" s="2">
        <v>39094.13549710648</v>
      </c>
      <c r="L938" t="s">
        <v>876</v>
      </c>
      <c r="M938">
        <v>295068</v>
      </c>
      <c r="N938">
        <v>1</v>
      </c>
      <c r="O938">
        <v>1</v>
      </c>
      <c r="P938" t="s">
        <v>20</v>
      </c>
      <c r="Q938" t="s">
        <v>20</v>
      </c>
      <c r="R938">
        <v>12242</v>
      </c>
      <c r="S938" t="s">
        <v>3515</v>
      </c>
      <c r="V938" t="s">
        <v>2524</v>
      </c>
      <c r="W938" t="s">
        <v>254</v>
      </c>
      <c r="X938" t="s">
        <v>2265</v>
      </c>
    </row>
    <row r="939" spans="1:24" ht="12.75">
      <c r="A939" s="1" t="str">
        <f>HYPERLINK("http://www.ofsted.gov.uk/inspection-reports/find-inspection-report/provider/ELS/130804","Ofsted FES Webpage")</f>
        <v>Ofsted FES Webpage</v>
      </c>
      <c r="B939" t="s">
        <v>1157</v>
      </c>
      <c r="C939">
        <v>130804</v>
      </c>
      <c r="D939">
        <v>107538</v>
      </c>
      <c r="E939" t="s">
        <v>254</v>
      </c>
      <c r="F939" t="s">
        <v>63</v>
      </c>
      <c r="G939" t="s">
        <v>849</v>
      </c>
      <c r="H939" s="2">
        <v>40588</v>
      </c>
      <c r="I939" s="2">
        <v>40592</v>
      </c>
      <c r="J939" t="s">
        <v>56</v>
      </c>
      <c r="K939" s="2">
        <v>40619.135500729164</v>
      </c>
      <c r="L939" t="s">
        <v>858</v>
      </c>
      <c r="M939">
        <v>363306</v>
      </c>
      <c r="N939">
        <v>2</v>
      </c>
      <c r="O939">
        <v>2</v>
      </c>
      <c r="P939">
        <v>2</v>
      </c>
      <c r="Q939">
        <v>2</v>
      </c>
      <c r="R939">
        <v>6411</v>
      </c>
      <c r="S939" t="s">
        <v>2535</v>
      </c>
      <c r="V939" t="s">
        <v>2909</v>
      </c>
      <c r="W939" t="s">
        <v>254</v>
      </c>
      <c r="X939" t="s">
        <v>2266</v>
      </c>
    </row>
    <row r="940" spans="1:24" ht="12.75">
      <c r="A940" s="1" t="str">
        <f>HYPERLINK("http://www.ofsted.gov.uk/inspection-reports/find-inspection-report/provider/ELS/130805","Ofsted FES Webpage")</f>
        <v>Ofsted FES Webpage</v>
      </c>
      <c r="B940" t="s">
        <v>1158</v>
      </c>
      <c r="C940">
        <v>130805</v>
      </c>
      <c r="D940">
        <v>107546</v>
      </c>
      <c r="E940" t="s">
        <v>254</v>
      </c>
      <c r="F940" t="s">
        <v>63</v>
      </c>
      <c r="G940" t="s">
        <v>849</v>
      </c>
      <c r="H940" s="2">
        <v>41015</v>
      </c>
      <c r="I940" s="2">
        <v>41019</v>
      </c>
      <c r="J940" t="s">
        <v>23</v>
      </c>
      <c r="K940" s="2">
        <v>41057.13553313658</v>
      </c>
      <c r="L940" t="s">
        <v>851</v>
      </c>
      <c r="M940">
        <v>386116</v>
      </c>
      <c r="N940">
        <v>2</v>
      </c>
      <c r="O940">
        <v>2</v>
      </c>
      <c r="P940">
        <v>3</v>
      </c>
      <c r="Q940">
        <v>3</v>
      </c>
      <c r="R940">
        <v>4709</v>
      </c>
      <c r="S940" t="s">
        <v>4303</v>
      </c>
      <c r="V940" t="s">
        <v>2699</v>
      </c>
      <c r="W940" t="s">
        <v>254</v>
      </c>
      <c r="X940" t="s">
        <v>2267</v>
      </c>
    </row>
    <row r="941" spans="1:24" ht="12.75">
      <c r="A941" s="1" t="str">
        <f>HYPERLINK("http://www.ofsted.gov.uk/inspection-reports/find-inspection-report/provider/ELS/130806","Ofsted FES Webpage")</f>
        <v>Ofsted FES Webpage</v>
      </c>
      <c r="B941" t="s">
        <v>1159</v>
      </c>
      <c r="C941">
        <v>130806</v>
      </c>
      <c r="D941">
        <v>107542</v>
      </c>
      <c r="E941" t="s">
        <v>254</v>
      </c>
      <c r="F941" t="s">
        <v>63</v>
      </c>
      <c r="G941" t="s">
        <v>849</v>
      </c>
      <c r="H941" s="2">
        <v>39722</v>
      </c>
      <c r="I941" s="2">
        <v>39723</v>
      </c>
      <c r="J941" t="s">
        <v>44</v>
      </c>
      <c r="K941" s="2">
        <v>39774.135573113424</v>
      </c>
      <c r="L941" t="s">
        <v>876</v>
      </c>
      <c r="M941">
        <v>330974</v>
      </c>
      <c r="N941">
        <v>2</v>
      </c>
      <c r="O941">
        <v>2</v>
      </c>
      <c r="P941" t="s">
        <v>20</v>
      </c>
      <c r="Q941" t="s">
        <v>20</v>
      </c>
      <c r="R941">
        <v>3298</v>
      </c>
      <c r="S941" t="s">
        <v>2483</v>
      </c>
      <c r="V941" t="s">
        <v>3518</v>
      </c>
      <c r="W941" t="s">
        <v>254</v>
      </c>
      <c r="X941" t="s">
        <v>2268</v>
      </c>
    </row>
    <row r="942" spans="1:24" ht="12.75">
      <c r="A942" s="1" t="str">
        <f>HYPERLINK("http://www.ofsted.gov.uk/inspection-reports/find-inspection-report/provider/ELS/130808","Ofsted FES Webpage")</f>
        <v>Ofsted FES Webpage</v>
      </c>
      <c r="B942" t="s">
        <v>1160</v>
      </c>
      <c r="C942">
        <v>130808</v>
      </c>
      <c r="D942">
        <v>107537</v>
      </c>
      <c r="E942" t="s">
        <v>254</v>
      </c>
      <c r="F942" t="s">
        <v>63</v>
      </c>
      <c r="G942" t="s">
        <v>862</v>
      </c>
      <c r="H942" s="2">
        <v>39357</v>
      </c>
      <c r="I942" s="2">
        <v>39358</v>
      </c>
      <c r="J942" t="s">
        <v>154</v>
      </c>
      <c r="K942" s="2">
        <v>39409.135528819446</v>
      </c>
      <c r="L942" t="s">
        <v>863</v>
      </c>
      <c r="M942">
        <v>316619</v>
      </c>
      <c r="N942">
        <v>1</v>
      </c>
      <c r="O942">
        <v>1</v>
      </c>
      <c r="P942" t="s">
        <v>20</v>
      </c>
      <c r="Q942" t="s">
        <v>20</v>
      </c>
      <c r="R942">
        <v>2413</v>
      </c>
      <c r="S942" t="s">
        <v>3386</v>
      </c>
      <c r="V942" t="s">
        <v>2909</v>
      </c>
      <c r="W942" t="s">
        <v>254</v>
      </c>
      <c r="X942" t="s">
        <v>2269</v>
      </c>
    </row>
    <row r="943" spans="1:24" ht="12.75">
      <c r="A943" s="1" t="str">
        <f>HYPERLINK("http://www.ofsted.gov.uk/inspection-reports/find-inspection-report/provider/ELS/130809","Ofsted FES Webpage")</f>
        <v>Ofsted FES Webpage</v>
      </c>
      <c r="B943" t="s">
        <v>1161</v>
      </c>
      <c r="C943">
        <v>130809</v>
      </c>
      <c r="D943">
        <v>105347</v>
      </c>
      <c r="E943" t="s">
        <v>213</v>
      </c>
      <c r="F943" t="s">
        <v>49</v>
      </c>
      <c r="G943" t="s">
        <v>849</v>
      </c>
      <c r="H943" s="2">
        <v>40882</v>
      </c>
      <c r="I943" s="2">
        <v>40886</v>
      </c>
      <c r="J943" t="s">
        <v>23</v>
      </c>
      <c r="K943" s="2">
        <v>40926.135460185185</v>
      </c>
      <c r="L943" t="s">
        <v>858</v>
      </c>
      <c r="M943">
        <v>376143</v>
      </c>
      <c r="N943">
        <v>2</v>
      </c>
      <c r="O943">
        <v>2</v>
      </c>
      <c r="P943">
        <v>2</v>
      </c>
      <c r="Q943">
        <v>2</v>
      </c>
      <c r="R943">
        <v>7638</v>
      </c>
      <c r="S943" t="s">
        <v>3719</v>
      </c>
      <c r="V943" t="s">
        <v>3358</v>
      </c>
      <c r="W943" t="s">
        <v>213</v>
      </c>
      <c r="X943" t="s">
        <v>1862</v>
      </c>
    </row>
    <row r="944" spans="1:24" ht="12.75">
      <c r="A944" s="1" t="str">
        <f>HYPERLINK("http://www.ofsted.gov.uk/inspection-reports/find-inspection-report/provider/ELS/130812","Ofsted FES Webpage")</f>
        <v>Ofsted FES Webpage</v>
      </c>
      <c r="B944" t="s">
        <v>1162</v>
      </c>
      <c r="C944">
        <v>130812</v>
      </c>
      <c r="D944">
        <v>106068</v>
      </c>
      <c r="E944" t="s">
        <v>213</v>
      </c>
      <c r="F944" t="s">
        <v>49</v>
      </c>
      <c r="G944" t="s">
        <v>849</v>
      </c>
      <c r="H944" s="2">
        <v>41603</v>
      </c>
      <c r="I944" s="2">
        <v>41607</v>
      </c>
      <c r="J944" t="s">
        <v>27</v>
      </c>
      <c r="K944" s="2">
        <v>41647.13553043982</v>
      </c>
      <c r="L944" t="s">
        <v>850</v>
      </c>
      <c r="M944">
        <v>423364</v>
      </c>
      <c r="N944">
        <v>2</v>
      </c>
      <c r="O944">
        <v>2</v>
      </c>
      <c r="P944">
        <v>2</v>
      </c>
      <c r="Q944">
        <v>2</v>
      </c>
      <c r="R944">
        <v>8632</v>
      </c>
      <c r="S944" t="s">
        <v>4304</v>
      </c>
      <c r="V944" t="s">
        <v>4305</v>
      </c>
      <c r="W944" t="s">
        <v>213</v>
      </c>
      <c r="X944" t="s">
        <v>2271</v>
      </c>
    </row>
    <row r="945" spans="1:24" ht="12.75">
      <c r="A945" s="1" t="str">
        <f>HYPERLINK("http://www.ofsted.gov.uk/inspection-reports/find-inspection-report/provider/ELS/130813","Ofsted FES Webpage")</f>
        <v>Ofsted FES Webpage</v>
      </c>
      <c r="B945" t="s">
        <v>1163</v>
      </c>
      <c r="C945">
        <v>130813</v>
      </c>
      <c r="D945">
        <v>105114</v>
      </c>
      <c r="E945" t="s">
        <v>213</v>
      </c>
      <c r="F945" t="s">
        <v>49</v>
      </c>
      <c r="G945" t="s">
        <v>849</v>
      </c>
      <c r="H945" s="2">
        <v>41379</v>
      </c>
      <c r="I945" s="2">
        <v>41383</v>
      </c>
      <c r="J945" t="s">
        <v>32</v>
      </c>
      <c r="K945" s="2">
        <v>41422.13550123842</v>
      </c>
      <c r="L945" t="s">
        <v>866</v>
      </c>
      <c r="M945">
        <v>410716</v>
      </c>
      <c r="N945">
        <v>3</v>
      </c>
      <c r="O945">
        <v>3</v>
      </c>
      <c r="P945">
        <v>4</v>
      </c>
      <c r="Q945">
        <v>4</v>
      </c>
      <c r="R945">
        <v>5504</v>
      </c>
      <c r="S945" t="s">
        <v>4306</v>
      </c>
      <c r="V945" t="s">
        <v>2814</v>
      </c>
      <c r="W945" t="s">
        <v>213</v>
      </c>
      <c r="X945" t="s">
        <v>2272</v>
      </c>
    </row>
    <row r="946" spans="1:24" ht="12.75">
      <c r="A946" s="1" t="str">
        <f>HYPERLINK("http://www.ofsted.gov.uk/inspection-reports/find-inspection-report/provider/ELS/130815","Ofsted FES Webpage")</f>
        <v>Ofsted FES Webpage</v>
      </c>
      <c r="B946" t="s">
        <v>1164</v>
      </c>
      <c r="C946">
        <v>130815</v>
      </c>
      <c r="D946">
        <v>107044</v>
      </c>
      <c r="E946" t="s">
        <v>140</v>
      </c>
      <c r="F946" t="s">
        <v>49</v>
      </c>
      <c r="G946" t="s">
        <v>849</v>
      </c>
      <c r="H946" s="2">
        <v>41610</v>
      </c>
      <c r="I946" s="2">
        <v>41614</v>
      </c>
      <c r="J946" t="s">
        <v>27</v>
      </c>
      <c r="K946" s="2">
        <v>41648.135497800926</v>
      </c>
      <c r="L946" t="s">
        <v>850</v>
      </c>
      <c r="M946">
        <v>423365</v>
      </c>
      <c r="N946">
        <v>2</v>
      </c>
      <c r="O946">
        <v>2</v>
      </c>
      <c r="P946">
        <v>3</v>
      </c>
      <c r="Q946">
        <v>3</v>
      </c>
      <c r="R946">
        <v>15104</v>
      </c>
      <c r="S946" t="s">
        <v>4307</v>
      </c>
      <c r="T946" t="s">
        <v>2990</v>
      </c>
      <c r="U946" t="s">
        <v>3444</v>
      </c>
      <c r="V946" t="s">
        <v>2593</v>
      </c>
      <c r="W946" t="s">
        <v>213</v>
      </c>
      <c r="X946" t="s">
        <v>2273</v>
      </c>
    </row>
    <row r="947" spans="1:24" ht="12.75">
      <c r="A947" s="1" t="str">
        <f>HYPERLINK("http://www.ofsted.gov.uk/inspection-reports/find-inspection-report/provider/ELS/130817","Ofsted FES Webpage")</f>
        <v>Ofsted FES Webpage</v>
      </c>
      <c r="B947" t="s">
        <v>1165</v>
      </c>
      <c r="C947">
        <v>130817</v>
      </c>
      <c r="D947">
        <v>108338</v>
      </c>
      <c r="E947" t="s">
        <v>140</v>
      </c>
      <c r="F947" t="s">
        <v>49</v>
      </c>
      <c r="G947" t="s">
        <v>862</v>
      </c>
      <c r="H947" s="2">
        <v>41653</v>
      </c>
      <c r="I947" s="2">
        <v>41656</v>
      </c>
      <c r="J947" t="s">
        <v>27</v>
      </c>
      <c r="K947" s="2">
        <v>41689.13547013889</v>
      </c>
      <c r="L947" t="s">
        <v>897</v>
      </c>
      <c r="M947">
        <v>429257</v>
      </c>
      <c r="N947">
        <v>3</v>
      </c>
      <c r="O947">
        <v>3</v>
      </c>
      <c r="P947">
        <v>3</v>
      </c>
      <c r="Q947">
        <v>3</v>
      </c>
      <c r="R947">
        <v>1575</v>
      </c>
      <c r="S947" t="s">
        <v>4308</v>
      </c>
      <c r="V947" t="s">
        <v>2593</v>
      </c>
      <c r="W947" t="s">
        <v>213</v>
      </c>
      <c r="X947" t="s">
        <v>2274</v>
      </c>
    </row>
    <row r="948" spans="1:24" ht="12.75">
      <c r="A948" s="1" t="str">
        <f>HYPERLINK("http://www.ofsted.gov.uk/inspection-reports/find-inspection-report/provider/ELS/130818","Ofsted FES Webpage")</f>
        <v>Ofsted FES Webpage</v>
      </c>
      <c r="B948" t="s">
        <v>1166</v>
      </c>
      <c r="C948">
        <v>130818</v>
      </c>
      <c r="D948">
        <v>105936</v>
      </c>
      <c r="E948" t="s">
        <v>365</v>
      </c>
      <c r="F948" t="s">
        <v>39</v>
      </c>
      <c r="G948" t="s">
        <v>849</v>
      </c>
      <c r="H948" s="2">
        <v>40322</v>
      </c>
      <c r="I948" s="2">
        <v>40326</v>
      </c>
      <c r="J948" t="s">
        <v>18</v>
      </c>
      <c r="K948" s="2">
        <v>40364.13552708333</v>
      </c>
      <c r="L948" t="s">
        <v>858</v>
      </c>
      <c r="M948">
        <v>345803</v>
      </c>
      <c r="N948">
        <v>2</v>
      </c>
      <c r="O948">
        <v>2</v>
      </c>
      <c r="P948">
        <v>1</v>
      </c>
      <c r="Q948">
        <v>1</v>
      </c>
      <c r="R948">
        <v>11184</v>
      </c>
      <c r="S948" t="s">
        <v>3558</v>
      </c>
      <c r="V948" t="s">
        <v>3107</v>
      </c>
      <c r="W948" t="s">
        <v>365</v>
      </c>
      <c r="X948" t="s">
        <v>2275</v>
      </c>
    </row>
    <row r="949" spans="1:24" ht="12.75">
      <c r="A949" s="1" t="str">
        <f>HYPERLINK("http://www.ofsted.gov.uk/inspection-reports/find-inspection-report/provider/ELS/130819","Ofsted FES Webpage")</f>
        <v>Ofsted FES Webpage</v>
      </c>
      <c r="B949" t="s">
        <v>1167</v>
      </c>
      <c r="C949">
        <v>130819</v>
      </c>
      <c r="D949">
        <v>107462</v>
      </c>
      <c r="E949" t="s">
        <v>365</v>
      </c>
      <c r="F949" t="s">
        <v>39</v>
      </c>
      <c r="G949" t="s">
        <v>849</v>
      </c>
      <c r="H949" s="2">
        <v>41435</v>
      </c>
      <c r="I949" s="2">
        <v>41439</v>
      </c>
      <c r="J949" t="s">
        <v>32</v>
      </c>
      <c r="K949" s="2">
        <v>41474.13558206018</v>
      </c>
      <c r="L949" t="s">
        <v>850</v>
      </c>
      <c r="M949">
        <v>409321</v>
      </c>
      <c r="N949">
        <v>3</v>
      </c>
      <c r="O949">
        <v>3</v>
      </c>
      <c r="P949">
        <v>3</v>
      </c>
      <c r="Q949">
        <v>3</v>
      </c>
      <c r="R949">
        <v>3198</v>
      </c>
      <c r="S949" t="s">
        <v>3633</v>
      </c>
      <c r="V949" t="s">
        <v>3036</v>
      </c>
      <c r="W949" t="s">
        <v>365</v>
      </c>
      <c r="X949" t="s">
        <v>2276</v>
      </c>
    </row>
    <row r="950" spans="1:24" ht="12.75">
      <c r="A950" s="1" t="str">
        <f>HYPERLINK("http://www.ofsted.gov.uk/inspection-reports/find-inspection-report/provider/ELS/130820","Ofsted FES Webpage")</f>
        <v>Ofsted FES Webpage</v>
      </c>
      <c r="B950" t="s">
        <v>1168</v>
      </c>
      <c r="C950">
        <v>130820</v>
      </c>
      <c r="D950">
        <v>107059</v>
      </c>
      <c r="E950" t="s">
        <v>365</v>
      </c>
      <c r="F950" t="s">
        <v>39</v>
      </c>
      <c r="G950" t="s">
        <v>849</v>
      </c>
      <c r="H950" s="2">
        <v>41778</v>
      </c>
      <c r="I950" s="2">
        <v>41782</v>
      </c>
      <c r="J950" t="s">
        <v>27</v>
      </c>
      <c r="K950" s="2">
        <v>41820.13549212963</v>
      </c>
      <c r="L950" t="s">
        <v>850</v>
      </c>
      <c r="M950">
        <v>434085</v>
      </c>
      <c r="N950">
        <v>3</v>
      </c>
      <c r="O950">
        <v>3</v>
      </c>
      <c r="P950">
        <v>2</v>
      </c>
      <c r="Q950">
        <v>2</v>
      </c>
      <c r="R950">
        <v>4939</v>
      </c>
      <c r="S950" t="s">
        <v>4309</v>
      </c>
      <c r="V950" t="s">
        <v>2570</v>
      </c>
      <c r="W950" t="s">
        <v>365</v>
      </c>
      <c r="X950" t="s">
        <v>2277</v>
      </c>
    </row>
    <row r="951" spans="1:24" ht="12.75">
      <c r="A951" s="1" t="str">
        <f>HYPERLINK("http://www.ofsted.gov.uk/inspection-reports/find-inspection-report/provider/ELS/130822","Ofsted FES Webpage")</f>
        <v>Ofsted FES Webpage</v>
      </c>
      <c r="B951" t="s">
        <v>1169</v>
      </c>
      <c r="C951">
        <v>130822</v>
      </c>
      <c r="D951">
        <v>108505</v>
      </c>
      <c r="E951" t="s">
        <v>350</v>
      </c>
      <c r="F951" t="s">
        <v>43</v>
      </c>
      <c r="G951" t="s">
        <v>849</v>
      </c>
      <c r="H951" s="2">
        <v>40448</v>
      </c>
      <c r="I951" s="2">
        <v>40452</v>
      </c>
      <c r="J951" t="s">
        <v>56</v>
      </c>
      <c r="K951" s="2">
        <v>40486.13545046296</v>
      </c>
      <c r="L951" t="s">
        <v>851</v>
      </c>
      <c r="M951">
        <v>354456</v>
      </c>
      <c r="N951">
        <v>2</v>
      </c>
      <c r="O951">
        <v>1</v>
      </c>
      <c r="P951">
        <v>3</v>
      </c>
      <c r="Q951">
        <v>2</v>
      </c>
      <c r="R951">
        <v>7313</v>
      </c>
      <c r="S951" t="s">
        <v>2630</v>
      </c>
      <c r="T951" t="s">
        <v>4310</v>
      </c>
      <c r="V951" t="s">
        <v>2364</v>
      </c>
      <c r="W951" t="s">
        <v>350</v>
      </c>
      <c r="X951" t="s">
        <v>1861</v>
      </c>
    </row>
    <row r="952" spans="1:24" ht="12.75">
      <c r="A952" s="1" t="str">
        <f>HYPERLINK("http://www.ofsted.gov.uk/inspection-reports/find-inspection-report/provider/ELS/130823","Ofsted FES Webpage")</f>
        <v>Ofsted FES Webpage</v>
      </c>
      <c r="B952" t="s">
        <v>1170</v>
      </c>
      <c r="C952">
        <v>130823</v>
      </c>
      <c r="D952">
        <v>107909</v>
      </c>
      <c r="E952" t="s">
        <v>350</v>
      </c>
      <c r="F952" t="s">
        <v>43</v>
      </c>
      <c r="G952" t="s">
        <v>849</v>
      </c>
      <c r="H952" s="2">
        <v>39944</v>
      </c>
      <c r="I952" s="2">
        <v>39948</v>
      </c>
      <c r="J952" t="s">
        <v>44</v>
      </c>
      <c r="K952" s="2">
        <v>39997.13547418982</v>
      </c>
      <c r="L952" t="s">
        <v>851</v>
      </c>
      <c r="M952">
        <v>332981</v>
      </c>
      <c r="N952">
        <v>2</v>
      </c>
      <c r="O952">
        <v>2</v>
      </c>
      <c r="P952" t="s">
        <v>20</v>
      </c>
      <c r="Q952" t="s">
        <v>20</v>
      </c>
      <c r="R952">
        <v>7830</v>
      </c>
      <c r="S952" t="s">
        <v>4311</v>
      </c>
      <c r="V952" t="s">
        <v>2381</v>
      </c>
      <c r="W952" t="s">
        <v>350</v>
      </c>
      <c r="X952" t="s">
        <v>1517</v>
      </c>
    </row>
    <row r="953" spans="1:24" ht="12.75">
      <c r="A953" s="1" t="str">
        <f>HYPERLINK("http://www.ofsted.gov.uk/inspection-reports/find-inspection-report/provider/ELS/130824","Ofsted FES Webpage")</f>
        <v>Ofsted FES Webpage</v>
      </c>
      <c r="B953" t="s">
        <v>1171</v>
      </c>
      <c r="C953">
        <v>130824</v>
      </c>
      <c r="D953">
        <v>110214</v>
      </c>
      <c r="E953" t="s">
        <v>350</v>
      </c>
      <c r="F953" t="s">
        <v>43</v>
      </c>
      <c r="G953" t="s">
        <v>849</v>
      </c>
      <c r="H953" s="2">
        <v>39825</v>
      </c>
      <c r="I953" s="2">
        <v>39829</v>
      </c>
      <c r="J953" t="s">
        <v>44</v>
      </c>
      <c r="K953" s="2">
        <v>39871.13559302083</v>
      </c>
      <c r="L953" t="s">
        <v>851</v>
      </c>
      <c r="M953">
        <v>329158</v>
      </c>
      <c r="N953">
        <v>2</v>
      </c>
      <c r="O953">
        <v>2</v>
      </c>
      <c r="P953" t="s">
        <v>20</v>
      </c>
      <c r="Q953" t="s">
        <v>20</v>
      </c>
      <c r="R953">
        <v>7394</v>
      </c>
      <c r="S953" t="s">
        <v>4312</v>
      </c>
      <c r="T953" t="s">
        <v>2841</v>
      </c>
      <c r="V953" t="s">
        <v>2386</v>
      </c>
      <c r="W953" t="s">
        <v>350</v>
      </c>
      <c r="X953" t="s">
        <v>2278</v>
      </c>
    </row>
    <row r="954" spans="1:24" ht="12.75">
      <c r="A954" s="1" t="str">
        <f>HYPERLINK("http://www.ofsted.gov.uk/inspection-reports/find-inspection-report/provider/ELS/130825","Ofsted FES Webpage")</f>
        <v>Ofsted FES Webpage</v>
      </c>
      <c r="B954" t="s">
        <v>1172</v>
      </c>
      <c r="C954">
        <v>130825</v>
      </c>
      <c r="D954">
        <v>107906</v>
      </c>
      <c r="E954" t="s">
        <v>350</v>
      </c>
      <c r="F954" t="s">
        <v>43</v>
      </c>
      <c r="G954" t="s">
        <v>849</v>
      </c>
      <c r="H954" s="2">
        <v>41610</v>
      </c>
      <c r="I954" s="2">
        <v>41614</v>
      </c>
      <c r="J954" t="s">
        <v>27</v>
      </c>
      <c r="K954" s="2">
        <v>41654.13546755787</v>
      </c>
      <c r="L954" t="s">
        <v>850</v>
      </c>
      <c r="M954">
        <v>423366</v>
      </c>
      <c r="N954">
        <v>2</v>
      </c>
      <c r="O954">
        <v>2</v>
      </c>
      <c r="P954">
        <v>3</v>
      </c>
      <c r="Q954">
        <v>3</v>
      </c>
      <c r="R954">
        <v>6127</v>
      </c>
      <c r="S954" t="s">
        <v>3507</v>
      </c>
      <c r="V954" t="s">
        <v>4313</v>
      </c>
      <c r="W954" t="s">
        <v>350</v>
      </c>
      <c r="X954" t="s">
        <v>2279</v>
      </c>
    </row>
    <row r="955" spans="1:24" ht="12.75">
      <c r="A955" s="1" t="str">
        <f>HYPERLINK("http://www.ofsted.gov.uk/inspection-reports/find-inspection-report/provider/ELS/130828","Ofsted FES Webpage")</f>
        <v>Ofsted FES Webpage</v>
      </c>
      <c r="B955" t="s">
        <v>1173</v>
      </c>
      <c r="C955">
        <v>130828</v>
      </c>
      <c r="D955">
        <v>107910</v>
      </c>
      <c r="E955" t="s">
        <v>350</v>
      </c>
      <c r="F955" t="s">
        <v>43</v>
      </c>
      <c r="G955" t="s">
        <v>862</v>
      </c>
      <c r="H955" s="2">
        <v>39589</v>
      </c>
      <c r="I955" s="2">
        <v>39590</v>
      </c>
      <c r="J955" t="s">
        <v>154</v>
      </c>
      <c r="K955" s="2">
        <v>39640.13602465278</v>
      </c>
      <c r="L955" t="s">
        <v>858</v>
      </c>
      <c r="M955">
        <v>322405</v>
      </c>
      <c r="N955">
        <v>1</v>
      </c>
      <c r="O955">
        <v>1</v>
      </c>
      <c r="P955" t="s">
        <v>20</v>
      </c>
      <c r="Q955" t="s">
        <v>20</v>
      </c>
      <c r="R955">
        <v>1843</v>
      </c>
      <c r="S955" t="s">
        <v>4314</v>
      </c>
      <c r="V955" t="s">
        <v>2757</v>
      </c>
      <c r="W955" t="s">
        <v>350</v>
      </c>
      <c r="X955" t="s">
        <v>2280</v>
      </c>
    </row>
    <row r="956" spans="1:24" ht="12.75">
      <c r="A956" s="1" t="str">
        <f>HYPERLINK("http://www.ofsted.gov.uk/inspection-reports/find-inspection-report/provider/ELS/130829","Ofsted FES Webpage")</f>
        <v>Ofsted FES Webpage</v>
      </c>
      <c r="B956" t="s">
        <v>1174</v>
      </c>
      <c r="C956">
        <v>130829</v>
      </c>
      <c r="D956">
        <v>108398</v>
      </c>
      <c r="E956" t="s">
        <v>350</v>
      </c>
      <c r="F956" t="s">
        <v>43</v>
      </c>
      <c r="G956" t="s">
        <v>862</v>
      </c>
      <c r="H956" s="2">
        <v>39742</v>
      </c>
      <c r="I956" s="2">
        <v>39743</v>
      </c>
      <c r="J956" t="s">
        <v>44</v>
      </c>
      <c r="K956" s="2">
        <v>39794.13561605324</v>
      </c>
      <c r="L956" t="s">
        <v>863</v>
      </c>
      <c r="M956">
        <v>329232</v>
      </c>
      <c r="N956">
        <v>1</v>
      </c>
      <c r="O956">
        <v>1</v>
      </c>
      <c r="P956" t="s">
        <v>20</v>
      </c>
      <c r="Q956" t="s">
        <v>20</v>
      </c>
      <c r="R956">
        <v>2056</v>
      </c>
      <c r="S956" t="s">
        <v>4315</v>
      </c>
      <c r="V956" t="s">
        <v>4316</v>
      </c>
      <c r="W956" t="s">
        <v>350</v>
      </c>
      <c r="X956" t="s">
        <v>2281</v>
      </c>
    </row>
    <row r="957" spans="1:24" ht="12.75">
      <c r="A957" s="1" t="str">
        <f>HYPERLINK("http://www.ofsted.gov.uk/inspection-reports/find-inspection-report/provider/ELS/130830","Ofsted FES Webpage")</f>
        <v>Ofsted FES Webpage</v>
      </c>
      <c r="B957" t="s">
        <v>1175</v>
      </c>
      <c r="C957">
        <v>130830</v>
      </c>
      <c r="D957">
        <v>108427</v>
      </c>
      <c r="E957" t="s">
        <v>350</v>
      </c>
      <c r="F957" t="s">
        <v>43</v>
      </c>
      <c r="G957" t="s">
        <v>862</v>
      </c>
      <c r="H957" s="2">
        <v>39575</v>
      </c>
      <c r="I957" s="2">
        <v>39576</v>
      </c>
      <c r="J957" t="s">
        <v>154</v>
      </c>
      <c r="K957" s="2">
        <v>39626.13589537037</v>
      </c>
      <c r="L957" t="s">
        <v>858</v>
      </c>
      <c r="M957">
        <v>322404</v>
      </c>
      <c r="N957">
        <v>1</v>
      </c>
      <c r="O957">
        <v>1</v>
      </c>
      <c r="P957" t="s">
        <v>20</v>
      </c>
      <c r="Q957" t="s">
        <v>20</v>
      </c>
      <c r="R957">
        <v>1768</v>
      </c>
      <c r="S957" t="s">
        <v>4317</v>
      </c>
      <c r="V957" t="s">
        <v>2532</v>
      </c>
      <c r="W957" t="s">
        <v>350</v>
      </c>
      <c r="X957" t="s">
        <v>2282</v>
      </c>
    </row>
    <row r="958" spans="1:24" ht="12.75">
      <c r="A958" s="1" t="str">
        <f>HYPERLINK("http://www.ofsted.gov.uk/inspection-reports/find-inspection-report/provider/ELS/130831","Ofsted FES Webpage")</f>
        <v>Ofsted FES Webpage</v>
      </c>
      <c r="B958" t="s">
        <v>1176</v>
      </c>
      <c r="C958">
        <v>130831</v>
      </c>
      <c r="D958">
        <v>107921</v>
      </c>
      <c r="E958" t="s">
        <v>350</v>
      </c>
      <c r="F958" t="s">
        <v>43</v>
      </c>
      <c r="G958" t="s">
        <v>862</v>
      </c>
      <c r="H958" s="2">
        <v>40504</v>
      </c>
      <c r="I958" s="2">
        <v>40507</v>
      </c>
      <c r="J958" t="s">
        <v>56</v>
      </c>
      <c r="K958" s="2">
        <v>40546.13545181713</v>
      </c>
      <c r="L958" t="s">
        <v>908</v>
      </c>
      <c r="M958">
        <v>362661</v>
      </c>
      <c r="N958">
        <v>2</v>
      </c>
      <c r="O958">
        <v>2</v>
      </c>
      <c r="P958">
        <v>3</v>
      </c>
      <c r="Q958">
        <v>2</v>
      </c>
      <c r="R958">
        <v>1330</v>
      </c>
      <c r="S958" t="s">
        <v>4318</v>
      </c>
      <c r="V958" t="s">
        <v>2685</v>
      </c>
      <c r="W958" t="s">
        <v>350</v>
      </c>
      <c r="X958" t="s">
        <v>2283</v>
      </c>
    </row>
    <row r="959" spans="1:24" ht="12.75">
      <c r="A959" s="1" t="str">
        <f>HYPERLINK("http://www.ofsted.gov.uk/inspection-reports/find-inspection-report/provider/ELS/130833","Ofsted FES Webpage")</f>
        <v>Ofsted FES Webpage</v>
      </c>
      <c r="B959" t="s">
        <v>1177</v>
      </c>
      <c r="C959">
        <v>130833</v>
      </c>
      <c r="D959">
        <v>108385</v>
      </c>
      <c r="E959" t="s">
        <v>350</v>
      </c>
      <c r="F959" t="s">
        <v>43</v>
      </c>
      <c r="G959" t="s">
        <v>862</v>
      </c>
      <c r="H959" s="2">
        <v>39944</v>
      </c>
      <c r="I959" s="2">
        <v>39948</v>
      </c>
      <c r="J959" t="s">
        <v>44</v>
      </c>
      <c r="K959" s="2">
        <v>39997.13547403935</v>
      </c>
      <c r="L959" t="s">
        <v>908</v>
      </c>
      <c r="M959">
        <v>332979</v>
      </c>
      <c r="N959">
        <v>2</v>
      </c>
      <c r="O959">
        <v>2</v>
      </c>
      <c r="P959" t="s">
        <v>20</v>
      </c>
      <c r="Q959" t="s">
        <v>20</v>
      </c>
      <c r="R959">
        <v>2171</v>
      </c>
      <c r="S959" t="s">
        <v>2531</v>
      </c>
      <c r="V959" t="s">
        <v>2892</v>
      </c>
      <c r="W959" t="s">
        <v>350</v>
      </c>
      <c r="X959" t="s">
        <v>2284</v>
      </c>
    </row>
    <row r="960" spans="1:24" ht="12.75">
      <c r="A960" s="1" t="str">
        <f>HYPERLINK("http://www.ofsted.gov.uk/inspection-reports/find-inspection-report/provider/ELS/130835","Ofsted FES Webpage")</f>
        <v>Ofsted FES Webpage</v>
      </c>
      <c r="B960" t="s">
        <v>1178</v>
      </c>
      <c r="C960">
        <v>130835</v>
      </c>
      <c r="D960">
        <v>106448</v>
      </c>
      <c r="E960" t="s">
        <v>335</v>
      </c>
      <c r="F960" t="s">
        <v>49</v>
      </c>
      <c r="G960" t="s">
        <v>849</v>
      </c>
      <c r="H960" s="2">
        <v>39468</v>
      </c>
      <c r="I960" s="2">
        <v>39472</v>
      </c>
      <c r="J960" t="s">
        <v>154</v>
      </c>
      <c r="K960" s="2">
        <v>39521.13554806713</v>
      </c>
      <c r="L960" t="s">
        <v>858</v>
      </c>
      <c r="M960">
        <v>318900</v>
      </c>
      <c r="N960">
        <v>1</v>
      </c>
      <c r="O960">
        <v>1</v>
      </c>
      <c r="P960" t="s">
        <v>20</v>
      </c>
      <c r="Q960" t="s">
        <v>20</v>
      </c>
      <c r="R960">
        <v>8871</v>
      </c>
      <c r="S960" t="s">
        <v>3738</v>
      </c>
      <c r="V960" t="s">
        <v>3661</v>
      </c>
      <c r="W960" t="s">
        <v>335</v>
      </c>
      <c r="X960" t="s">
        <v>1869</v>
      </c>
    </row>
    <row r="961" spans="1:24" ht="12.75">
      <c r="A961" s="1" t="str">
        <f>HYPERLINK("http://www.ofsted.gov.uk/inspection-reports/find-inspection-report/provider/ELS/130836","Ofsted FES Webpage")</f>
        <v>Ofsted FES Webpage</v>
      </c>
      <c r="B961" t="s">
        <v>1179</v>
      </c>
      <c r="C961">
        <v>130836</v>
      </c>
      <c r="D961">
        <v>106442</v>
      </c>
      <c r="E961" t="s">
        <v>335</v>
      </c>
      <c r="F961" t="s">
        <v>49</v>
      </c>
      <c r="G961" t="s">
        <v>849</v>
      </c>
      <c r="H961" s="2">
        <v>40980</v>
      </c>
      <c r="I961" s="2">
        <v>40984</v>
      </c>
      <c r="J961" t="s">
        <v>23</v>
      </c>
      <c r="K961" s="2">
        <v>41023.13564695602</v>
      </c>
      <c r="L961" t="s">
        <v>858</v>
      </c>
      <c r="M961">
        <v>385329</v>
      </c>
      <c r="N961">
        <v>2</v>
      </c>
      <c r="O961">
        <v>2</v>
      </c>
      <c r="P961">
        <v>1</v>
      </c>
      <c r="Q961">
        <v>1</v>
      </c>
      <c r="R961">
        <v>12264</v>
      </c>
      <c r="S961" t="s">
        <v>4319</v>
      </c>
      <c r="V961" t="s">
        <v>3357</v>
      </c>
      <c r="W961" t="s">
        <v>335</v>
      </c>
      <c r="X961" t="s">
        <v>2285</v>
      </c>
    </row>
    <row r="962" spans="1:24" ht="12.75">
      <c r="A962" s="1" t="str">
        <f>HYPERLINK("http://www.ofsted.gov.uk/inspection-reports/find-inspection-report/provider/ELS/130837","Ofsted FES Webpage")</f>
        <v>Ofsted FES Webpage</v>
      </c>
      <c r="B962" t="s">
        <v>1180</v>
      </c>
      <c r="C962">
        <v>130837</v>
      </c>
      <c r="D962">
        <v>106445</v>
      </c>
      <c r="E962" t="s">
        <v>335</v>
      </c>
      <c r="F962" t="s">
        <v>49</v>
      </c>
      <c r="G962" t="s">
        <v>849</v>
      </c>
      <c r="H962" s="2">
        <v>41548</v>
      </c>
      <c r="I962" s="2">
        <v>41551</v>
      </c>
      <c r="J962" t="s">
        <v>27</v>
      </c>
      <c r="K962" s="2">
        <v>41586.13548225694</v>
      </c>
      <c r="L962" t="s">
        <v>850</v>
      </c>
      <c r="M962">
        <v>423367</v>
      </c>
      <c r="N962">
        <v>3</v>
      </c>
      <c r="O962">
        <v>3</v>
      </c>
      <c r="P962">
        <v>3</v>
      </c>
      <c r="Q962">
        <v>3</v>
      </c>
      <c r="R962">
        <v>4925</v>
      </c>
      <c r="S962" t="s">
        <v>4320</v>
      </c>
      <c r="T962" t="s">
        <v>3664</v>
      </c>
      <c r="V962" t="s">
        <v>3665</v>
      </c>
      <c r="W962" t="s">
        <v>335</v>
      </c>
      <c r="X962" t="s">
        <v>2286</v>
      </c>
    </row>
    <row r="963" spans="1:24" ht="12.75">
      <c r="A963" s="1" t="str">
        <f>HYPERLINK("http://www.ofsted.gov.uk/inspection-reports/find-inspection-report/provider/ELS/130840","Ofsted FES Webpage")</f>
        <v>Ofsted FES Webpage</v>
      </c>
      <c r="B963" t="s">
        <v>1181</v>
      </c>
      <c r="C963">
        <v>130840</v>
      </c>
      <c r="D963">
        <v>108366</v>
      </c>
      <c r="E963" t="s">
        <v>335</v>
      </c>
      <c r="F963" t="s">
        <v>49</v>
      </c>
      <c r="G963" t="s">
        <v>862</v>
      </c>
      <c r="H963" s="2">
        <v>41618</v>
      </c>
      <c r="I963" s="2">
        <v>41621</v>
      </c>
      <c r="J963" t="s">
        <v>27</v>
      </c>
      <c r="K963" s="2">
        <v>41661.13548017361</v>
      </c>
      <c r="L963" t="s">
        <v>875</v>
      </c>
      <c r="M963">
        <v>423390</v>
      </c>
      <c r="N963">
        <v>3</v>
      </c>
      <c r="O963">
        <v>3</v>
      </c>
      <c r="P963">
        <v>3</v>
      </c>
      <c r="Q963">
        <v>3</v>
      </c>
      <c r="R963">
        <v>1090</v>
      </c>
      <c r="S963" t="s">
        <v>4321</v>
      </c>
      <c r="V963" t="s">
        <v>3357</v>
      </c>
      <c r="W963" t="s">
        <v>335</v>
      </c>
      <c r="X963" t="s">
        <v>2287</v>
      </c>
    </row>
    <row r="964" spans="1:24" ht="12.75">
      <c r="A964" s="1" t="str">
        <f>HYPERLINK("http://www.ofsted.gov.uk/inspection-reports/find-inspection-report/provider/ELS/130842","Ofsted FES Webpage")</f>
        <v>Ofsted FES Webpage</v>
      </c>
      <c r="B964" t="s">
        <v>1182</v>
      </c>
      <c r="C964">
        <v>130842</v>
      </c>
      <c r="D964">
        <v>108501</v>
      </c>
      <c r="E964" t="s">
        <v>104</v>
      </c>
      <c r="F964" t="s">
        <v>43</v>
      </c>
      <c r="G964" t="s">
        <v>849</v>
      </c>
      <c r="H964" s="2">
        <v>41561</v>
      </c>
      <c r="I964" s="2">
        <v>41565</v>
      </c>
      <c r="J964" t="s">
        <v>27</v>
      </c>
      <c r="K964" s="2">
        <v>41600.135461377315</v>
      </c>
      <c r="L964" t="s">
        <v>850</v>
      </c>
      <c r="M964">
        <v>423368</v>
      </c>
      <c r="N964">
        <v>2</v>
      </c>
      <c r="O964">
        <v>1</v>
      </c>
      <c r="P964">
        <v>3</v>
      </c>
      <c r="Q964">
        <v>2</v>
      </c>
      <c r="R964">
        <v>10263</v>
      </c>
      <c r="S964" t="s">
        <v>4322</v>
      </c>
      <c r="V964" t="s">
        <v>3679</v>
      </c>
      <c r="W964" t="s">
        <v>104</v>
      </c>
      <c r="X964" t="s">
        <v>2288</v>
      </c>
    </row>
    <row r="965" spans="1:24" ht="12.75">
      <c r="A965" s="1" t="str">
        <f>HYPERLINK("http://www.ofsted.gov.uk/inspection-reports/find-inspection-report/provider/ELS/130843","Ofsted FES Webpage")</f>
        <v>Ofsted FES Webpage</v>
      </c>
      <c r="B965" t="s">
        <v>1183</v>
      </c>
      <c r="C965">
        <v>130843</v>
      </c>
      <c r="D965">
        <v>107513</v>
      </c>
      <c r="E965" t="s">
        <v>104</v>
      </c>
      <c r="F965" t="s">
        <v>43</v>
      </c>
      <c r="G965" t="s">
        <v>849</v>
      </c>
      <c r="H965" s="2">
        <v>41701</v>
      </c>
      <c r="I965" s="2">
        <v>41705</v>
      </c>
      <c r="J965" t="s">
        <v>27</v>
      </c>
      <c r="K965" s="2">
        <v>41731.135498842596</v>
      </c>
      <c r="L965" t="s">
        <v>850</v>
      </c>
      <c r="M965">
        <v>429157</v>
      </c>
      <c r="N965">
        <v>1</v>
      </c>
      <c r="O965">
        <v>1</v>
      </c>
      <c r="P965">
        <v>2</v>
      </c>
      <c r="Q965">
        <v>2</v>
      </c>
      <c r="R965">
        <v>14629</v>
      </c>
      <c r="S965" t="s">
        <v>4323</v>
      </c>
      <c r="V965" t="s">
        <v>2540</v>
      </c>
      <c r="W965" t="s">
        <v>104</v>
      </c>
      <c r="X965" t="s">
        <v>2289</v>
      </c>
    </row>
    <row r="966" spans="1:24" ht="12.75">
      <c r="A966" s="1" t="str">
        <f>HYPERLINK("http://www.ofsted.gov.uk/inspection-reports/find-inspection-report/provider/ELS/130845","Ofsted FES Webpage")</f>
        <v>Ofsted FES Webpage</v>
      </c>
      <c r="B966" t="s">
        <v>1184</v>
      </c>
      <c r="C966">
        <v>130845</v>
      </c>
      <c r="D966">
        <v>108375</v>
      </c>
      <c r="E966" t="s">
        <v>104</v>
      </c>
      <c r="F966" t="s">
        <v>43</v>
      </c>
      <c r="G966" t="s">
        <v>849</v>
      </c>
      <c r="H966" s="2">
        <v>41387</v>
      </c>
      <c r="I966" s="2">
        <v>41390</v>
      </c>
      <c r="J966" t="s">
        <v>32</v>
      </c>
      <c r="K966" s="2">
        <v>41429.135493981485</v>
      </c>
      <c r="L966" t="s">
        <v>850</v>
      </c>
      <c r="M966">
        <v>409328</v>
      </c>
      <c r="N966">
        <v>3</v>
      </c>
      <c r="O966">
        <v>3</v>
      </c>
      <c r="P966">
        <v>3</v>
      </c>
      <c r="Q966">
        <v>3</v>
      </c>
      <c r="R966">
        <v>1617</v>
      </c>
      <c r="S966" t="s">
        <v>4324</v>
      </c>
      <c r="V966" t="s">
        <v>3679</v>
      </c>
      <c r="W966" t="s">
        <v>104</v>
      </c>
      <c r="X966" t="s">
        <v>2290</v>
      </c>
    </row>
    <row r="967" spans="1:24" ht="12.75">
      <c r="A967" s="1" t="str">
        <f>HYPERLINK("http://www.ofsted.gov.uk/inspection-reports/find-inspection-report/provider/ELS/130847","Ofsted FES Webpage")</f>
        <v>Ofsted FES Webpage</v>
      </c>
      <c r="B967" t="s">
        <v>1185</v>
      </c>
      <c r="C967">
        <v>130847</v>
      </c>
      <c r="D967">
        <v>108368</v>
      </c>
      <c r="E967" t="s">
        <v>104</v>
      </c>
      <c r="F967" t="s">
        <v>43</v>
      </c>
      <c r="G967" t="s">
        <v>862</v>
      </c>
      <c r="H967" s="2">
        <v>39533</v>
      </c>
      <c r="I967" s="2">
        <v>39534</v>
      </c>
      <c r="J967" t="s">
        <v>154</v>
      </c>
      <c r="K967" s="2">
        <v>39584.13558587963</v>
      </c>
      <c r="L967" t="s">
        <v>863</v>
      </c>
      <c r="M967">
        <v>318874</v>
      </c>
      <c r="N967">
        <v>1</v>
      </c>
      <c r="O967">
        <v>1</v>
      </c>
      <c r="P967" t="s">
        <v>20</v>
      </c>
      <c r="Q967" t="s">
        <v>20</v>
      </c>
      <c r="R967">
        <v>1912</v>
      </c>
      <c r="S967" t="s">
        <v>4325</v>
      </c>
      <c r="V967" t="s">
        <v>3595</v>
      </c>
      <c r="W967" t="s">
        <v>104</v>
      </c>
      <c r="X967" t="s">
        <v>2291</v>
      </c>
    </row>
    <row r="968" spans="1:24" ht="12.75">
      <c r="A968" s="1" t="str">
        <f>HYPERLINK("http://www.ofsted.gov.uk/inspection-reports/find-inspection-report/provider/ELS/130849","Ofsted FES Webpage")</f>
        <v>Ofsted FES Webpage</v>
      </c>
      <c r="B968" t="s">
        <v>1186</v>
      </c>
      <c r="C968">
        <v>130849</v>
      </c>
      <c r="D968">
        <v>109044</v>
      </c>
      <c r="E968" t="s">
        <v>615</v>
      </c>
      <c r="F968" t="s">
        <v>63</v>
      </c>
      <c r="G968" t="s">
        <v>849</v>
      </c>
      <c r="H968" s="2">
        <v>41330</v>
      </c>
      <c r="I968" s="2">
        <v>41334</v>
      </c>
      <c r="J968" t="s">
        <v>32</v>
      </c>
      <c r="K968" s="2">
        <v>41373.1354940625</v>
      </c>
      <c r="L968" t="s">
        <v>850</v>
      </c>
      <c r="M968">
        <v>408443</v>
      </c>
      <c r="N968">
        <v>1</v>
      </c>
      <c r="O968">
        <v>1</v>
      </c>
      <c r="P968">
        <v>3</v>
      </c>
      <c r="Q968">
        <v>3</v>
      </c>
      <c r="R968">
        <v>9312</v>
      </c>
      <c r="S968" t="s">
        <v>4326</v>
      </c>
      <c r="V968" t="s">
        <v>615</v>
      </c>
      <c r="W968" t="s">
        <v>131</v>
      </c>
      <c r="X968" t="s">
        <v>2293</v>
      </c>
    </row>
    <row r="969" spans="1:24" ht="12.75">
      <c r="A969" s="1" t="str">
        <f>HYPERLINK("http://www.ofsted.gov.uk/inspection-reports/find-inspection-report/provider/ELS/130851","Ofsted FES Webpage")</f>
        <v>Ofsted FES Webpage</v>
      </c>
      <c r="B969" t="s">
        <v>1187</v>
      </c>
      <c r="C969">
        <v>130851</v>
      </c>
      <c r="D969">
        <v>107178</v>
      </c>
      <c r="E969" t="s">
        <v>615</v>
      </c>
      <c r="F969" t="s">
        <v>63</v>
      </c>
      <c r="G969" t="s">
        <v>849</v>
      </c>
      <c r="H969" s="2">
        <v>39832</v>
      </c>
      <c r="I969" s="2">
        <v>39836</v>
      </c>
      <c r="J969" t="s">
        <v>44</v>
      </c>
      <c r="K969" s="2">
        <v>39885.4319471412</v>
      </c>
      <c r="L969" t="s">
        <v>876</v>
      </c>
      <c r="M969">
        <v>332873</v>
      </c>
      <c r="N969">
        <v>2</v>
      </c>
      <c r="O969">
        <v>2</v>
      </c>
      <c r="P969" t="s">
        <v>20</v>
      </c>
      <c r="Q969" t="s">
        <v>20</v>
      </c>
      <c r="R969">
        <v>10272</v>
      </c>
      <c r="S969" t="s">
        <v>3301</v>
      </c>
      <c r="V969" t="s">
        <v>615</v>
      </c>
      <c r="W969" t="s">
        <v>131</v>
      </c>
      <c r="X969" t="s">
        <v>1652</v>
      </c>
    </row>
    <row r="970" spans="1:24" ht="12.75">
      <c r="A970" s="1" t="str">
        <f>HYPERLINK("http://www.ofsted.gov.uk/inspection-reports/find-inspection-report/provider/ELS/131094","Ofsted FES Webpage")</f>
        <v>Ofsted FES Webpage</v>
      </c>
      <c r="B970" t="s">
        <v>1188</v>
      </c>
      <c r="C970">
        <v>131094</v>
      </c>
      <c r="D970">
        <v>105156</v>
      </c>
      <c r="E970" t="s">
        <v>199</v>
      </c>
      <c r="F970" t="s">
        <v>63</v>
      </c>
      <c r="G970" t="s">
        <v>849</v>
      </c>
      <c r="H970" s="2">
        <v>41771</v>
      </c>
      <c r="I970" s="2">
        <v>41775</v>
      </c>
      <c r="J970" t="s">
        <v>27</v>
      </c>
      <c r="K970" s="2">
        <v>41809.13544302083</v>
      </c>
      <c r="L970" t="s">
        <v>866</v>
      </c>
      <c r="M970">
        <v>423149</v>
      </c>
      <c r="N970">
        <v>3</v>
      </c>
      <c r="O970">
        <v>2</v>
      </c>
      <c r="P970">
        <v>4</v>
      </c>
      <c r="Q970">
        <v>3</v>
      </c>
      <c r="R970">
        <v>20042</v>
      </c>
      <c r="S970" t="s">
        <v>2417</v>
      </c>
      <c r="T970" t="s">
        <v>4327</v>
      </c>
      <c r="V970" t="s">
        <v>2484</v>
      </c>
      <c r="X970" t="s">
        <v>2294</v>
      </c>
    </row>
    <row r="971" spans="1:24" ht="12.75">
      <c r="A971" s="1" t="str">
        <f>HYPERLINK("http://www.ofsted.gov.uk/inspection-reports/find-inspection-report/provider/ELS/131095","Ofsted FES Webpage")</f>
        <v>Ofsted FES Webpage</v>
      </c>
      <c r="B971" t="s">
        <v>1189</v>
      </c>
      <c r="C971">
        <v>131095</v>
      </c>
      <c r="D971">
        <v>108330</v>
      </c>
      <c r="E971" t="s">
        <v>328</v>
      </c>
      <c r="F971" t="s">
        <v>35</v>
      </c>
      <c r="G971" t="s">
        <v>849</v>
      </c>
      <c r="H971" s="2">
        <v>41695</v>
      </c>
      <c r="I971" s="2">
        <v>41698</v>
      </c>
      <c r="J971" t="s">
        <v>27</v>
      </c>
      <c r="K971" s="2">
        <v>41733.13549814815</v>
      </c>
      <c r="L971" t="s">
        <v>850</v>
      </c>
      <c r="M971">
        <v>429168</v>
      </c>
      <c r="N971">
        <v>3</v>
      </c>
      <c r="O971">
        <v>3</v>
      </c>
      <c r="P971">
        <v>1</v>
      </c>
      <c r="Q971">
        <v>1</v>
      </c>
      <c r="R971">
        <v>8556</v>
      </c>
      <c r="S971" t="s">
        <v>4328</v>
      </c>
      <c r="V971" t="s">
        <v>3042</v>
      </c>
      <c r="W971" t="s">
        <v>350</v>
      </c>
      <c r="X971" t="s">
        <v>2295</v>
      </c>
    </row>
    <row r="972" spans="1:24" ht="12.75">
      <c r="A972" s="1" t="str">
        <f>HYPERLINK("http://www.ofsted.gov.uk/inspection-reports/find-inspection-report/provider/ELS/131347","Ofsted FES Webpage")</f>
        <v>Ofsted FES Webpage</v>
      </c>
      <c r="B972" t="s">
        <v>1190</v>
      </c>
      <c r="C972">
        <v>131347</v>
      </c>
      <c r="D972">
        <v>107096</v>
      </c>
      <c r="E972" t="s">
        <v>97</v>
      </c>
      <c r="F972" t="s">
        <v>26</v>
      </c>
      <c r="G972" t="s">
        <v>849</v>
      </c>
      <c r="H972" s="2">
        <v>40203</v>
      </c>
      <c r="I972" s="2">
        <v>40207</v>
      </c>
      <c r="J972" t="s">
        <v>18</v>
      </c>
      <c r="K972" s="2">
        <v>40243.13554019676</v>
      </c>
      <c r="L972" t="s">
        <v>858</v>
      </c>
      <c r="M972">
        <v>343826</v>
      </c>
      <c r="N972">
        <v>2</v>
      </c>
      <c r="O972">
        <v>1</v>
      </c>
      <c r="P972">
        <v>2</v>
      </c>
      <c r="Q972">
        <v>2</v>
      </c>
      <c r="R972">
        <v>17373</v>
      </c>
      <c r="S972" t="s">
        <v>4329</v>
      </c>
      <c r="T972" t="s">
        <v>4330</v>
      </c>
      <c r="V972" t="s">
        <v>97</v>
      </c>
      <c r="W972" t="s">
        <v>2354</v>
      </c>
      <c r="X972" t="s">
        <v>2296</v>
      </c>
    </row>
    <row r="973" spans="1:24" ht="12.75">
      <c r="A973" s="1" t="str">
        <f>HYPERLINK("http://www.ofsted.gov.uk/inspection-reports/find-inspection-report/provider/ELS/131840","Ofsted FES Webpage")</f>
        <v>Ofsted FES Webpage</v>
      </c>
      <c r="B973" t="s">
        <v>1191</v>
      </c>
      <c r="C973">
        <v>131840</v>
      </c>
      <c r="D973">
        <v>114843</v>
      </c>
      <c r="E973" t="s">
        <v>170</v>
      </c>
      <c r="F973" t="s">
        <v>68</v>
      </c>
      <c r="G973" t="s">
        <v>473</v>
      </c>
      <c r="H973" s="2">
        <v>40154</v>
      </c>
      <c r="I973" s="2">
        <v>40157</v>
      </c>
      <c r="J973" t="s">
        <v>18</v>
      </c>
      <c r="K973" s="2">
        <v>40198.13552858796</v>
      </c>
      <c r="L973" t="s">
        <v>475</v>
      </c>
      <c r="M973">
        <v>342594</v>
      </c>
      <c r="N973">
        <v>1</v>
      </c>
      <c r="O973">
        <v>1</v>
      </c>
      <c r="P973">
        <v>3</v>
      </c>
      <c r="Q973">
        <v>4</v>
      </c>
      <c r="R973">
        <v>89</v>
      </c>
      <c r="S973" t="s">
        <v>2352</v>
      </c>
      <c r="V973" t="s">
        <v>2353</v>
      </c>
      <c r="X973" t="s">
        <v>1295</v>
      </c>
    </row>
    <row r="974" spans="1:24" ht="12.75">
      <c r="A974" s="1" t="str">
        <f>HYPERLINK("http://www.ofsted.gov.uk/inspection-reports/find-inspection-report/provider/ELS/131857","Ofsted FES Webpage")</f>
        <v>Ofsted FES Webpage</v>
      </c>
      <c r="B974" t="s">
        <v>1192</v>
      </c>
      <c r="C974">
        <v>131857</v>
      </c>
      <c r="D974">
        <v>117294</v>
      </c>
      <c r="E974" t="s">
        <v>572</v>
      </c>
      <c r="F974" t="s">
        <v>49</v>
      </c>
      <c r="G974" t="s">
        <v>473</v>
      </c>
      <c r="H974" s="2">
        <v>41717</v>
      </c>
      <c r="I974" s="2">
        <v>41719</v>
      </c>
      <c r="J974" t="s">
        <v>27</v>
      </c>
      <c r="K974" s="2">
        <v>41759.13550069444</v>
      </c>
      <c r="L974" t="s">
        <v>1193</v>
      </c>
      <c r="M974">
        <v>429252</v>
      </c>
      <c r="N974">
        <v>2</v>
      </c>
      <c r="O974">
        <v>2</v>
      </c>
      <c r="P974">
        <v>3</v>
      </c>
      <c r="Q974">
        <v>3</v>
      </c>
      <c r="R974">
        <v>22</v>
      </c>
      <c r="S974" t="s">
        <v>4331</v>
      </c>
      <c r="T974" t="s">
        <v>3492</v>
      </c>
      <c r="V974" t="s">
        <v>2523</v>
      </c>
      <c r="W974" t="s">
        <v>572</v>
      </c>
      <c r="X974" t="s">
        <v>2297</v>
      </c>
    </row>
    <row r="975" spans="1:24" ht="12.75">
      <c r="A975" s="1" t="str">
        <f>HYPERLINK("http://www.ofsted.gov.uk/inspection-reports/find-inspection-report/provider/ELS/131859","Ofsted FES Webpage")</f>
        <v>Ofsted FES Webpage</v>
      </c>
      <c r="B975" t="s">
        <v>1194</v>
      </c>
      <c r="C975">
        <v>131859</v>
      </c>
      <c r="D975">
        <v>108659</v>
      </c>
      <c r="E975" t="s">
        <v>114</v>
      </c>
      <c r="F975" t="s">
        <v>26</v>
      </c>
      <c r="G975" t="s">
        <v>849</v>
      </c>
      <c r="H975" s="2">
        <v>41694</v>
      </c>
      <c r="I975" s="2">
        <v>41698</v>
      </c>
      <c r="J975" t="s">
        <v>27</v>
      </c>
      <c r="K975" s="2">
        <v>41731.13550494213</v>
      </c>
      <c r="L975" t="s">
        <v>850</v>
      </c>
      <c r="M975">
        <v>429161</v>
      </c>
      <c r="N975">
        <v>2</v>
      </c>
      <c r="O975">
        <v>2</v>
      </c>
      <c r="P975">
        <v>2</v>
      </c>
      <c r="Q975">
        <v>2</v>
      </c>
      <c r="R975">
        <v>6703</v>
      </c>
      <c r="S975" t="s">
        <v>4332</v>
      </c>
      <c r="V975" t="s">
        <v>3339</v>
      </c>
      <c r="W975" t="s">
        <v>3048</v>
      </c>
      <c r="X975" t="s">
        <v>2298</v>
      </c>
    </row>
    <row r="976" spans="1:24" ht="12.75">
      <c r="A976" s="1" t="str">
        <f>HYPERLINK("http://www.ofsted.gov.uk/inspection-reports/find-inspection-report/provider/ELS/131860","Ofsted FES Webpage")</f>
        <v>Ofsted FES Webpage</v>
      </c>
      <c r="B976" t="s">
        <v>1195</v>
      </c>
      <c r="C976">
        <v>131860</v>
      </c>
      <c r="D976">
        <v>111827</v>
      </c>
      <c r="E976" t="s">
        <v>644</v>
      </c>
      <c r="F976" t="s">
        <v>68</v>
      </c>
      <c r="G976" t="s">
        <v>473</v>
      </c>
      <c r="H976" s="2">
        <v>41353</v>
      </c>
      <c r="I976" s="2">
        <v>41355</v>
      </c>
      <c r="J976" t="s">
        <v>32</v>
      </c>
      <c r="K976" s="2">
        <v>41388.13545366898</v>
      </c>
      <c r="L976" t="s">
        <v>474</v>
      </c>
      <c r="M976">
        <v>399011</v>
      </c>
      <c r="N976">
        <v>1</v>
      </c>
      <c r="O976">
        <v>1</v>
      </c>
      <c r="P976">
        <v>2</v>
      </c>
      <c r="Q976">
        <v>2</v>
      </c>
      <c r="R976">
        <v>72</v>
      </c>
      <c r="S976" t="s">
        <v>3034</v>
      </c>
      <c r="T976" t="s">
        <v>4333</v>
      </c>
      <c r="V976" t="s">
        <v>4334</v>
      </c>
      <c r="W976" t="s">
        <v>2773</v>
      </c>
      <c r="X976" t="s">
        <v>2299</v>
      </c>
    </row>
    <row r="977" spans="1:24" ht="12.75">
      <c r="A977" s="1" t="str">
        <f>HYPERLINK("http://www.ofsted.gov.uk/inspection-reports/find-inspection-report/provider/ELS/131863","Ofsted FES Webpage")</f>
        <v>Ofsted FES Webpage</v>
      </c>
      <c r="B977" t="s">
        <v>1196</v>
      </c>
      <c r="C977">
        <v>131863</v>
      </c>
      <c r="D977">
        <v>105623</v>
      </c>
      <c r="E977" t="s">
        <v>397</v>
      </c>
      <c r="F977" t="s">
        <v>16</v>
      </c>
      <c r="G977" t="s">
        <v>849</v>
      </c>
      <c r="H977" s="2">
        <v>40567</v>
      </c>
      <c r="I977" s="2">
        <v>40571</v>
      </c>
      <c r="J977" t="s">
        <v>56</v>
      </c>
      <c r="K977" s="2">
        <v>40606.135453125</v>
      </c>
      <c r="L977" t="s">
        <v>858</v>
      </c>
      <c r="M977">
        <v>363285</v>
      </c>
      <c r="N977">
        <v>2</v>
      </c>
      <c r="O977">
        <v>1</v>
      </c>
      <c r="P977">
        <v>2</v>
      </c>
      <c r="Q977">
        <v>2</v>
      </c>
      <c r="R977">
        <v>26533</v>
      </c>
      <c r="S977" t="s">
        <v>4277</v>
      </c>
      <c r="V977" t="s">
        <v>397</v>
      </c>
      <c r="W977" t="s">
        <v>399</v>
      </c>
      <c r="X977" t="s">
        <v>2236</v>
      </c>
    </row>
    <row r="978" spans="1:24" ht="12.75">
      <c r="A978" s="1" t="str">
        <f>HYPERLINK("http://www.ofsted.gov.uk/inspection-reports/find-inspection-report/provider/ELS/131864","Ofsted FES Webpage")</f>
        <v>Ofsted FES Webpage</v>
      </c>
      <c r="B978" t="s">
        <v>1197</v>
      </c>
      <c r="C978">
        <v>131864</v>
      </c>
      <c r="D978">
        <v>108767</v>
      </c>
      <c r="E978" t="s">
        <v>118</v>
      </c>
      <c r="F978" t="s">
        <v>35</v>
      </c>
      <c r="G978" t="s">
        <v>849</v>
      </c>
      <c r="H978" s="2">
        <v>41386</v>
      </c>
      <c r="I978" s="2">
        <v>41390</v>
      </c>
      <c r="J978" t="s">
        <v>32</v>
      </c>
      <c r="K978" s="2">
        <v>41429.135505439815</v>
      </c>
      <c r="L978" t="s">
        <v>850</v>
      </c>
      <c r="M978">
        <v>410613</v>
      </c>
      <c r="N978">
        <v>2</v>
      </c>
      <c r="O978">
        <v>2</v>
      </c>
      <c r="P978">
        <v>3</v>
      </c>
      <c r="Q978">
        <v>2</v>
      </c>
      <c r="R978">
        <v>6457</v>
      </c>
      <c r="S978" t="s">
        <v>4045</v>
      </c>
      <c r="T978" t="s">
        <v>4046</v>
      </c>
      <c r="V978" t="s">
        <v>118</v>
      </c>
      <c r="W978" t="s">
        <v>2491</v>
      </c>
      <c r="X978" t="s">
        <v>2033</v>
      </c>
    </row>
    <row r="979" spans="1:24" ht="12.75">
      <c r="A979" s="1" t="str">
        <f>HYPERLINK("http://www.ofsted.gov.uk/inspection-reports/find-inspection-report/provider/ELS/131867","Ofsted FES Webpage")</f>
        <v>Ofsted FES Webpage</v>
      </c>
      <c r="B979" t="s">
        <v>1198</v>
      </c>
      <c r="C979">
        <v>131867</v>
      </c>
      <c r="D979">
        <v>108320</v>
      </c>
      <c r="E979" t="s">
        <v>128</v>
      </c>
      <c r="F979" t="s">
        <v>68</v>
      </c>
      <c r="G979" t="s">
        <v>862</v>
      </c>
      <c r="H979" s="2">
        <v>41653</v>
      </c>
      <c r="I979" s="2">
        <v>41656</v>
      </c>
      <c r="J979" t="s">
        <v>27</v>
      </c>
      <c r="K979" s="2">
        <v>41688.13544938657</v>
      </c>
      <c r="L979" t="s">
        <v>875</v>
      </c>
      <c r="M979">
        <v>423391</v>
      </c>
      <c r="N979">
        <v>2</v>
      </c>
      <c r="O979">
        <v>2</v>
      </c>
      <c r="P979">
        <v>3</v>
      </c>
      <c r="Q979">
        <v>3</v>
      </c>
      <c r="R979">
        <v>1735</v>
      </c>
      <c r="S979" t="s">
        <v>4118</v>
      </c>
      <c r="T979" t="s">
        <v>4096</v>
      </c>
      <c r="V979" t="s">
        <v>128</v>
      </c>
      <c r="W979" t="s">
        <v>170</v>
      </c>
      <c r="X979" t="s">
        <v>2300</v>
      </c>
    </row>
    <row r="980" spans="1:24" ht="12.75">
      <c r="A980" s="1" t="str">
        <f>HYPERLINK("http://www.ofsted.gov.uk/inspection-reports/find-inspection-report/provider/ELS/131868","Ofsted FES Webpage")</f>
        <v>Ofsted FES Webpage</v>
      </c>
      <c r="B980" t="s">
        <v>1199</v>
      </c>
      <c r="C980">
        <v>131868</v>
      </c>
      <c r="D980">
        <v>114848</v>
      </c>
      <c r="E980" t="s">
        <v>164</v>
      </c>
      <c r="F980" t="s">
        <v>26</v>
      </c>
      <c r="G980" t="s">
        <v>473</v>
      </c>
      <c r="H980" s="2">
        <v>41290</v>
      </c>
      <c r="I980" s="2">
        <v>41292</v>
      </c>
      <c r="J980" t="s">
        <v>32</v>
      </c>
      <c r="K980" s="2">
        <v>41325.13557230324</v>
      </c>
      <c r="L980" t="s">
        <v>474</v>
      </c>
      <c r="M980">
        <v>408447</v>
      </c>
      <c r="N980">
        <v>2</v>
      </c>
      <c r="O980">
        <v>2</v>
      </c>
      <c r="P980">
        <v>2</v>
      </c>
      <c r="Q980">
        <v>2</v>
      </c>
      <c r="R980">
        <v>53</v>
      </c>
      <c r="S980" t="s">
        <v>2359</v>
      </c>
      <c r="V980" t="s">
        <v>4335</v>
      </c>
      <c r="X980" t="s">
        <v>1299</v>
      </c>
    </row>
    <row r="981" spans="1:24" ht="12.75">
      <c r="A981" s="1" t="str">
        <f>HYPERLINK("http://www.ofsted.gov.uk/inspection-reports/find-inspection-report/provider/ELS/131869","Ofsted FES Webpage")</f>
        <v>Ofsted FES Webpage</v>
      </c>
      <c r="B981" t="s">
        <v>1200</v>
      </c>
      <c r="C981">
        <v>131869</v>
      </c>
      <c r="D981">
        <v>114849</v>
      </c>
      <c r="E981" t="s">
        <v>274</v>
      </c>
      <c r="F981" t="s">
        <v>26</v>
      </c>
      <c r="G981" t="s">
        <v>473</v>
      </c>
      <c r="H981" s="2">
        <v>39357</v>
      </c>
      <c r="I981" s="2">
        <v>39360</v>
      </c>
      <c r="J981" t="s">
        <v>154</v>
      </c>
      <c r="K981" s="2">
        <v>39409.13552974537</v>
      </c>
      <c r="L981" t="s">
        <v>847</v>
      </c>
      <c r="M981">
        <v>316974</v>
      </c>
      <c r="N981">
        <v>2</v>
      </c>
      <c r="O981">
        <v>2</v>
      </c>
      <c r="P981" t="s">
        <v>20</v>
      </c>
      <c r="Q981" t="s">
        <v>20</v>
      </c>
      <c r="R981">
        <v>62</v>
      </c>
      <c r="S981" t="s">
        <v>2879</v>
      </c>
      <c r="V981" t="s">
        <v>274</v>
      </c>
      <c r="X981" t="s">
        <v>1474</v>
      </c>
    </row>
    <row r="982" spans="1:24" ht="12.75">
      <c r="A982" s="1" t="str">
        <f>HYPERLINK("http://www.ofsted.gov.uk/inspection-reports/find-inspection-report/provider/ELS/131872","Ofsted FES Webpage")</f>
        <v>Ofsted FES Webpage</v>
      </c>
      <c r="B982" t="s">
        <v>1201</v>
      </c>
      <c r="C982">
        <v>131872</v>
      </c>
      <c r="D982">
        <v>117042</v>
      </c>
      <c r="E982" t="s">
        <v>97</v>
      </c>
      <c r="F982" t="s">
        <v>26</v>
      </c>
      <c r="G982" t="s">
        <v>473</v>
      </c>
      <c r="H982" s="2">
        <v>40197</v>
      </c>
      <c r="I982" s="2">
        <v>40200</v>
      </c>
      <c r="J982" t="s">
        <v>18</v>
      </c>
      <c r="K982" s="2">
        <v>40235.1355565162</v>
      </c>
      <c r="L982" t="s">
        <v>475</v>
      </c>
      <c r="M982">
        <v>344000</v>
      </c>
      <c r="N982">
        <v>2</v>
      </c>
      <c r="O982">
        <v>2</v>
      </c>
      <c r="P982">
        <v>3</v>
      </c>
      <c r="Q982">
        <v>4</v>
      </c>
      <c r="R982">
        <v>77</v>
      </c>
      <c r="S982" t="s">
        <v>4336</v>
      </c>
      <c r="T982" t="s">
        <v>4337</v>
      </c>
      <c r="V982" t="s">
        <v>97</v>
      </c>
      <c r="X982" t="s">
        <v>1296</v>
      </c>
    </row>
    <row r="983" spans="1:24" ht="12.75">
      <c r="A983" s="1" t="str">
        <f>HYPERLINK("http://www.ofsted.gov.uk/inspection-reports/find-inspection-report/provider/ELS/131875","Ofsted FES Webpage")</f>
        <v>Ofsted FES Webpage</v>
      </c>
      <c r="B983" t="s">
        <v>1202</v>
      </c>
      <c r="C983">
        <v>131875</v>
      </c>
      <c r="D983">
        <v>114853</v>
      </c>
      <c r="E983" t="s">
        <v>131</v>
      </c>
      <c r="F983" t="s">
        <v>63</v>
      </c>
      <c r="G983" t="s">
        <v>473</v>
      </c>
      <c r="H983" s="2">
        <v>40512</v>
      </c>
      <c r="I983" s="2">
        <v>40514</v>
      </c>
      <c r="J983" t="s">
        <v>56</v>
      </c>
      <c r="K983" s="2">
        <v>40554.135442708335</v>
      </c>
      <c r="L983" t="s">
        <v>475</v>
      </c>
      <c r="M983">
        <v>360956</v>
      </c>
      <c r="N983">
        <v>2</v>
      </c>
      <c r="O983">
        <v>2</v>
      </c>
      <c r="P983">
        <v>3</v>
      </c>
      <c r="Q983">
        <v>3</v>
      </c>
      <c r="R983">
        <v>33</v>
      </c>
      <c r="S983" t="s">
        <v>2531</v>
      </c>
      <c r="T983" t="s">
        <v>2932</v>
      </c>
      <c r="V983" t="s">
        <v>4338</v>
      </c>
      <c r="W983" t="s">
        <v>131</v>
      </c>
      <c r="X983" t="s">
        <v>1494</v>
      </c>
    </row>
    <row r="984" spans="1:24" ht="12.75">
      <c r="A984" s="1" t="str">
        <f>HYPERLINK("http://www.ofsted.gov.uk/inspection-reports/find-inspection-report/provider/ELS/131878","Ofsted FES Webpage")</f>
        <v>Ofsted FES Webpage</v>
      </c>
      <c r="B984" t="s">
        <v>1203</v>
      </c>
      <c r="C984">
        <v>131878</v>
      </c>
      <c r="D984">
        <v>114892</v>
      </c>
      <c r="E984" t="s">
        <v>254</v>
      </c>
      <c r="F984" t="s">
        <v>63</v>
      </c>
      <c r="G984" t="s">
        <v>473</v>
      </c>
      <c r="H984" s="2">
        <v>41345</v>
      </c>
      <c r="I984" s="2">
        <v>41347</v>
      </c>
      <c r="J984" t="s">
        <v>32</v>
      </c>
      <c r="K984" s="2">
        <v>41383.135742673614</v>
      </c>
      <c r="L984" t="s">
        <v>474</v>
      </c>
      <c r="M984">
        <v>408449</v>
      </c>
      <c r="N984">
        <v>2</v>
      </c>
      <c r="O984">
        <v>3</v>
      </c>
      <c r="P984">
        <v>2</v>
      </c>
      <c r="Q984">
        <v>2</v>
      </c>
      <c r="R984">
        <v>76</v>
      </c>
      <c r="S984" t="s">
        <v>4339</v>
      </c>
      <c r="V984" t="s">
        <v>2936</v>
      </c>
      <c r="X984" t="s">
        <v>2301</v>
      </c>
    </row>
    <row r="985" spans="1:24" ht="12.75">
      <c r="A985" s="1" t="str">
        <f>HYPERLINK("http://www.ofsted.gov.uk/inspection-reports/find-inspection-report/provider/ELS/131888","Ofsted FES Webpage")</f>
        <v>Ofsted FES Webpage</v>
      </c>
      <c r="B985" t="s">
        <v>4407</v>
      </c>
      <c r="C985">
        <v>131888</v>
      </c>
      <c r="D985">
        <v>117235</v>
      </c>
      <c r="E985" t="s">
        <v>615</v>
      </c>
      <c r="F985" t="s">
        <v>63</v>
      </c>
      <c r="G985" t="s">
        <v>473</v>
      </c>
      <c r="H985" s="2">
        <v>41759</v>
      </c>
      <c r="I985" s="2">
        <v>41761</v>
      </c>
      <c r="J985" t="s">
        <v>27</v>
      </c>
      <c r="K985" s="2">
        <v>41800.13546010417</v>
      </c>
      <c r="L985" t="s">
        <v>474</v>
      </c>
      <c r="M985">
        <v>429191</v>
      </c>
      <c r="N985">
        <v>2</v>
      </c>
      <c r="O985">
        <v>2</v>
      </c>
      <c r="P985">
        <v>2</v>
      </c>
      <c r="Q985">
        <v>2</v>
      </c>
      <c r="R985">
        <v>42</v>
      </c>
      <c r="S985" t="s">
        <v>4340</v>
      </c>
      <c r="T985" t="s">
        <v>4341</v>
      </c>
      <c r="U985" t="s">
        <v>2372</v>
      </c>
      <c r="V985" t="s">
        <v>615</v>
      </c>
      <c r="W985" t="s">
        <v>131</v>
      </c>
      <c r="X985" t="s">
        <v>2302</v>
      </c>
    </row>
    <row r="986" spans="1:24" ht="12.75">
      <c r="A986" s="1" t="str">
        <f>HYPERLINK("http://www.ofsted.gov.uk/inspection-reports/find-inspection-report/provider/ELS/131891","Ofsted FES Webpage")</f>
        <v>Ofsted FES Webpage</v>
      </c>
      <c r="B986" t="s">
        <v>1204</v>
      </c>
      <c r="C986">
        <v>131891</v>
      </c>
      <c r="D986">
        <v>114854</v>
      </c>
      <c r="E986" t="s">
        <v>1050</v>
      </c>
      <c r="F986" t="s">
        <v>63</v>
      </c>
      <c r="G986" t="s">
        <v>473</v>
      </c>
      <c r="H986" s="2">
        <v>41057</v>
      </c>
      <c r="I986" s="2">
        <v>41059</v>
      </c>
      <c r="J986" t="s">
        <v>23</v>
      </c>
      <c r="K986" s="2">
        <v>41096.13562079861</v>
      </c>
      <c r="L986" t="s">
        <v>475</v>
      </c>
      <c r="M986">
        <v>388037</v>
      </c>
      <c r="N986">
        <v>2</v>
      </c>
      <c r="O986">
        <v>2</v>
      </c>
      <c r="P986">
        <v>3</v>
      </c>
      <c r="Q986">
        <v>3</v>
      </c>
      <c r="R986">
        <v>34</v>
      </c>
      <c r="T986" t="s">
        <v>4342</v>
      </c>
      <c r="U986" t="s">
        <v>2370</v>
      </c>
      <c r="V986" t="s">
        <v>2371</v>
      </c>
      <c r="W986" t="s">
        <v>1050</v>
      </c>
      <c r="X986" t="s">
        <v>1304</v>
      </c>
    </row>
    <row r="987" spans="1:24" ht="12.75">
      <c r="A987" s="1" t="str">
        <f>HYPERLINK("http://www.ofsted.gov.uk/inspection-reports/find-inspection-report/provider/ELS/131892","Ofsted FES Webpage")</f>
        <v>Ofsted FES Webpage</v>
      </c>
      <c r="B987" t="s">
        <v>1205</v>
      </c>
      <c r="C987">
        <v>131892</v>
      </c>
      <c r="D987">
        <v>114855</v>
      </c>
      <c r="E987" t="s">
        <v>254</v>
      </c>
      <c r="F987" t="s">
        <v>63</v>
      </c>
      <c r="G987" t="s">
        <v>473</v>
      </c>
      <c r="H987" s="2">
        <v>41408</v>
      </c>
      <c r="I987" s="2">
        <v>41410</v>
      </c>
      <c r="J987" t="s">
        <v>32</v>
      </c>
      <c r="K987" s="2">
        <v>41446.13550200232</v>
      </c>
      <c r="L987" t="s">
        <v>474</v>
      </c>
      <c r="M987">
        <v>410623</v>
      </c>
      <c r="N987">
        <v>1</v>
      </c>
      <c r="O987">
        <v>1</v>
      </c>
      <c r="P987">
        <v>1</v>
      </c>
      <c r="Q987">
        <v>1</v>
      </c>
      <c r="R987">
        <v>75</v>
      </c>
      <c r="S987" t="s">
        <v>2373</v>
      </c>
      <c r="V987" t="s">
        <v>2374</v>
      </c>
      <c r="X987" t="s">
        <v>1305</v>
      </c>
    </row>
    <row r="988" spans="1:24" ht="12.75">
      <c r="A988" s="1" t="str">
        <f>HYPERLINK("http://www.ofsted.gov.uk/inspection-reports/find-inspection-report/provider/ELS/131893","Ofsted FES Webpage")</f>
        <v>Ofsted FES Webpage</v>
      </c>
      <c r="B988" t="s">
        <v>1206</v>
      </c>
      <c r="C988">
        <v>131893</v>
      </c>
      <c r="D988">
        <v>114859</v>
      </c>
      <c r="E988" t="s">
        <v>399</v>
      </c>
      <c r="F988" t="s">
        <v>16</v>
      </c>
      <c r="G988" t="s">
        <v>473</v>
      </c>
      <c r="H988" s="2">
        <v>41604</v>
      </c>
      <c r="I988" s="2">
        <v>41606</v>
      </c>
      <c r="J988" t="s">
        <v>27</v>
      </c>
      <c r="K988" s="2">
        <v>41646.13547295139</v>
      </c>
      <c r="L988" t="s">
        <v>474</v>
      </c>
      <c r="M988">
        <v>423398</v>
      </c>
      <c r="N988">
        <v>2</v>
      </c>
      <c r="O988">
        <v>2</v>
      </c>
      <c r="P988">
        <v>2</v>
      </c>
      <c r="Q988">
        <v>2</v>
      </c>
      <c r="R988">
        <v>49</v>
      </c>
      <c r="S988" t="s">
        <v>2377</v>
      </c>
      <c r="V988" t="s">
        <v>2378</v>
      </c>
      <c r="W988" t="s">
        <v>399</v>
      </c>
      <c r="X988" t="s">
        <v>1307</v>
      </c>
    </row>
    <row r="989" spans="1:24" ht="12.75">
      <c r="A989" s="1" t="str">
        <f>HYPERLINK("http://www.ofsted.gov.uk/inspection-reports/find-inspection-report/provider/ELS/131900","Ofsted FES Webpage")</f>
        <v>Ofsted FES Webpage</v>
      </c>
      <c r="B989" t="s">
        <v>1207</v>
      </c>
      <c r="C989">
        <v>131900</v>
      </c>
      <c r="D989">
        <v>114861</v>
      </c>
      <c r="E989" t="s">
        <v>22</v>
      </c>
      <c r="F989" t="s">
        <v>16</v>
      </c>
      <c r="G989" t="s">
        <v>473</v>
      </c>
      <c r="H989" s="2">
        <v>41780</v>
      </c>
      <c r="I989" s="2">
        <v>41782</v>
      </c>
      <c r="J989" t="s">
        <v>27</v>
      </c>
      <c r="K989" s="2">
        <v>41807.13545405093</v>
      </c>
      <c r="L989" t="s">
        <v>1193</v>
      </c>
      <c r="M989">
        <v>429279</v>
      </c>
      <c r="N989">
        <v>2</v>
      </c>
      <c r="O989">
        <v>2</v>
      </c>
      <c r="P989">
        <v>3</v>
      </c>
      <c r="Q989">
        <v>3</v>
      </c>
      <c r="R989">
        <v>26</v>
      </c>
      <c r="S989" t="s">
        <v>2393</v>
      </c>
      <c r="T989" t="s">
        <v>2394</v>
      </c>
      <c r="V989" t="s">
        <v>2966</v>
      </c>
      <c r="W989" t="s">
        <v>51</v>
      </c>
      <c r="X989" t="s">
        <v>1313</v>
      </c>
    </row>
    <row r="990" spans="1:24" ht="12.75">
      <c r="A990" s="1" t="str">
        <f>HYPERLINK("http://www.ofsted.gov.uk/inspection-reports/find-inspection-report/provider/ELS/131910","Ofsted FES Webpage")</f>
        <v>Ofsted FES Webpage</v>
      </c>
      <c r="B990" t="s">
        <v>1208</v>
      </c>
      <c r="C990">
        <v>131910</v>
      </c>
      <c r="D990">
        <v>114889</v>
      </c>
      <c r="E990" t="s">
        <v>725</v>
      </c>
      <c r="F990" t="s">
        <v>68</v>
      </c>
      <c r="G990" t="s">
        <v>473</v>
      </c>
      <c r="H990" s="2">
        <v>41436</v>
      </c>
      <c r="I990" s="2">
        <v>41438</v>
      </c>
      <c r="J990" t="s">
        <v>32</v>
      </c>
      <c r="K990" s="2">
        <v>41471.135473877315</v>
      </c>
      <c r="L990" t="s">
        <v>474</v>
      </c>
      <c r="M990">
        <v>410624</v>
      </c>
      <c r="N990">
        <v>2</v>
      </c>
      <c r="O990">
        <v>2</v>
      </c>
      <c r="P990">
        <v>2</v>
      </c>
      <c r="Q990">
        <v>2</v>
      </c>
      <c r="R990">
        <v>13</v>
      </c>
      <c r="S990" t="s">
        <v>4343</v>
      </c>
      <c r="T990" t="s">
        <v>725</v>
      </c>
      <c r="V990" t="s">
        <v>446</v>
      </c>
      <c r="X990" t="s">
        <v>2303</v>
      </c>
    </row>
    <row r="991" spans="1:24" ht="12.75">
      <c r="A991" s="1" t="str">
        <f>HYPERLINK("http://www.ofsted.gov.uk/inspection-reports/find-inspection-report/provider/ELS/131912","Ofsted FES Webpage")</f>
        <v>Ofsted FES Webpage</v>
      </c>
      <c r="B991" t="s">
        <v>1209</v>
      </c>
      <c r="C991">
        <v>131912</v>
      </c>
      <c r="D991">
        <v>114862</v>
      </c>
      <c r="E991" t="s">
        <v>257</v>
      </c>
      <c r="F991" t="s">
        <v>68</v>
      </c>
      <c r="G991" t="s">
        <v>473</v>
      </c>
      <c r="H991" s="2">
        <v>41443</v>
      </c>
      <c r="I991" s="2">
        <v>41445</v>
      </c>
      <c r="J991" t="s">
        <v>32</v>
      </c>
      <c r="K991" s="2">
        <v>41479.135599155095</v>
      </c>
      <c r="L991" t="s">
        <v>474</v>
      </c>
      <c r="M991">
        <v>410625</v>
      </c>
      <c r="N991">
        <v>3</v>
      </c>
      <c r="O991">
        <v>3</v>
      </c>
      <c r="P991">
        <v>3</v>
      </c>
      <c r="Q991">
        <v>3</v>
      </c>
      <c r="R991">
        <v>12</v>
      </c>
      <c r="S991" t="s">
        <v>2360</v>
      </c>
      <c r="T991" t="s">
        <v>2361</v>
      </c>
      <c r="V991" t="s">
        <v>4344</v>
      </c>
      <c r="W991" t="s">
        <v>257</v>
      </c>
      <c r="X991" t="s">
        <v>1300</v>
      </c>
    </row>
    <row r="992" spans="1:24" ht="12.75">
      <c r="A992" s="1" t="str">
        <f>HYPERLINK("http://www.ofsted.gov.uk/inspection-reports/find-inspection-report/provider/ELS/131913","Ofsted FES Webpage")</f>
        <v>Ofsted FES Webpage</v>
      </c>
      <c r="B992" t="s">
        <v>1210</v>
      </c>
      <c r="C992">
        <v>131913</v>
      </c>
      <c r="D992">
        <v>116139</v>
      </c>
      <c r="E992" t="s">
        <v>489</v>
      </c>
      <c r="F992" t="s">
        <v>26</v>
      </c>
      <c r="G992" t="s">
        <v>473</v>
      </c>
      <c r="H992" s="2">
        <v>41311</v>
      </c>
      <c r="I992" s="2">
        <v>41313</v>
      </c>
      <c r="J992" t="s">
        <v>32</v>
      </c>
      <c r="K992" s="2">
        <v>41346.13579305555</v>
      </c>
      <c r="L992" t="s">
        <v>474</v>
      </c>
      <c r="M992">
        <v>408446</v>
      </c>
      <c r="N992">
        <v>2</v>
      </c>
      <c r="O992">
        <v>2</v>
      </c>
      <c r="P992">
        <v>1</v>
      </c>
      <c r="Q992">
        <v>2</v>
      </c>
      <c r="R992">
        <v>106</v>
      </c>
      <c r="S992" t="s">
        <v>2400</v>
      </c>
      <c r="T992" t="s">
        <v>2401</v>
      </c>
      <c r="U992" t="s">
        <v>4345</v>
      </c>
      <c r="V992" t="s">
        <v>2467</v>
      </c>
      <c r="W992" t="s">
        <v>234</v>
      </c>
      <c r="X992" t="s">
        <v>1316</v>
      </c>
    </row>
    <row r="993" spans="1:24" ht="12.75">
      <c r="A993" s="1" t="str">
        <f>HYPERLINK("http://www.ofsted.gov.uk/inspection-reports/find-inspection-report/provider/ELS/131921","Ofsted FES Webpage")</f>
        <v>Ofsted FES Webpage</v>
      </c>
      <c r="B993" t="s">
        <v>1211</v>
      </c>
      <c r="C993">
        <v>131921</v>
      </c>
      <c r="D993">
        <v>114865</v>
      </c>
      <c r="E993" t="s">
        <v>254</v>
      </c>
      <c r="F993" t="s">
        <v>63</v>
      </c>
      <c r="G993" t="s">
        <v>473</v>
      </c>
      <c r="H993" s="2">
        <v>41533</v>
      </c>
      <c r="I993" s="2">
        <v>41535</v>
      </c>
      <c r="J993" t="s">
        <v>27</v>
      </c>
      <c r="K993" s="2">
        <v>41570.135484108796</v>
      </c>
      <c r="L993" t="s">
        <v>474</v>
      </c>
      <c r="M993">
        <v>410626</v>
      </c>
      <c r="N993">
        <v>2</v>
      </c>
      <c r="O993">
        <v>2</v>
      </c>
      <c r="P993">
        <v>3</v>
      </c>
      <c r="Q993">
        <v>3</v>
      </c>
      <c r="R993">
        <v>113</v>
      </c>
      <c r="S993" t="s">
        <v>2365</v>
      </c>
      <c r="V993" t="s">
        <v>2699</v>
      </c>
      <c r="X993" t="s">
        <v>1301</v>
      </c>
    </row>
    <row r="994" spans="1:24" ht="12.75">
      <c r="A994" s="1" t="str">
        <f>HYPERLINK("http://www.ofsted.gov.uk/inspection-reports/find-inspection-report/provider/ELS/131923","Ofsted FES Webpage")</f>
        <v>Ofsted FES Webpage</v>
      </c>
      <c r="B994" t="s">
        <v>1212</v>
      </c>
      <c r="C994">
        <v>131923</v>
      </c>
      <c r="D994">
        <v>114890</v>
      </c>
      <c r="E994" t="s">
        <v>53</v>
      </c>
      <c r="F994" t="s">
        <v>43</v>
      </c>
      <c r="G994" t="s">
        <v>473</v>
      </c>
      <c r="H994" s="2">
        <v>41829</v>
      </c>
      <c r="I994" s="2">
        <v>41831</v>
      </c>
      <c r="J994" t="s">
        <v>27</v>
      </c>
      <c r="K994" s="2">
        <v>41866.13546068287</v>
      </c>
      <c r="L994" t="s">
        <v>474</v>
      </c>
      <c r="M994">
        <v>429193</v>
      </c>
      <c r="N994">
        <v>2</v>
      </c>
      <c r="O994">
        <v>2</v>
      </c>
      <c r="P994">
        <v>3</v>
      </c>
      <c r="Q994">
        <v>3</v>
      </c>
      <c r="R994">
        <v>30</v>
      </c>
      <c r="S994" t="s">
        <v>2380</v>
      </c>
      <c r="V994" t="s">
        <v>3714</v>
      </c>
      <c r="X994" t="s">
        <v>1309</v>
      </c>
    </row>
    <row r="995" spans="1:24" ht="12.75">
      <c r="A995" s="1" t="str">
        <f>HYPERLINK("http://www.ofsted.gov.uk/inspection-reports/find-inspection-report/provider/ELS/131924","Ofsted FES Webpage")</f>
        <v>Ofsted FES Webpage</v>
      </c>
      <c r="B995" t="s">
        <v>1213</v>
      </c>
      <c r="C995">
        <v>131924</v>
      </c>
      <c r="D995">
        <v>114867</v>
      </c>
      <c r="E995" t="s">
        <v>294</v>
      </c>
      <c r="F995" t="s">
        <v>35</v>
      </c>
      <c r="G995" t="s">
        <v>473</v>
      </c>
      <c r="H995" s="2">
        <v>41338</v>
      </c>
      <c r="I995" s="2">
        <v>41340</v>
      </c>
      <c r="J995" t="s">
        <v>32</v>
      </c>
      <c r="K995" s="2">
        <v>41379.135642361114</v>
      </c>
      <c r="L995" t="s">
        <v>474</v>
      </c>
      <c r="M995">
        <v>404165</v>
      </c>
      <c r="N995">
        <v>2</v>
      </c>
      <c r="O995">
        <v>2</v>
      </c>
      <c r="P995">
        <v>3</v>
      </c>
      <c r="Q995">
        <v>3</v>
      </c>
      <c r="R995">
        <v>80</v>
      </c>
      <c r="S995" t="s">
        <v>2366</v>
      </c>
      <c r="T995" t="s">
        <v>2367</v>
      </c>
      <c r="V995" t="s">
        <v>294</v>
      </c>
      <c r="X995" t="s">
        <v>1302</v>
      </c>
    </row>
    <row r="996" spans="1:24" ht="12.75">
      <c r="A996" s="1" t="str">
        <f>HYPERLINK("http://www.ofsted.gov.uk/inspection-reports/find-inspection-report/provider/ELS/131935","Ofsted FES Webpage")</f>
        <v>Ofsted FES Webpage</v>
      </c>
      <c r="B996" t="s">
        <v>1214</v>
      </c>
      <c r="C996">
        <v>131935</v>
      </c>
      <c r="D996">
        <v>114840</v>
      </c>
      <c r="E996" t="s">
        <v>157</v>
      </c>
      <c r="F996" t="s">
        <v>68</v>
      </c>
      <c r="G996" t="s">
        <v>473</v>
      </c>
      <c r="H996" s="2">
        <v>41793</v>
      </c>
      <c r="I996" s="2">
        <v>41795</v>
      </c>
      <c r="J996" t="s">
        <v>27</v>
      </c>
      <c r="K996" s="2">
        <v>41828.13546936343</v>
      </c>
      <c r="L996" t="s">
        <v>1193</v>
      </c>
      <c r="M996">
        <v>430266</v>
      </c>
      <c r="N996">
        <v>2</v>
      </c>
      <c r="O996">
        <v>2</v>
      </c>
      <c r="P996">
        <v>3</v>
      </c>
      <c r="Q996">
        <v>3</v>
      </c>
      <c r="R996">
        <v>41</v>
      </c>
      <c r="S996" t="s">
        <v>3991</v>
      </c>
      <c r="V996" t="s">
        <v>2629</v>
      </c>
      <c r="W996" t="s">
        <v>2481</v>
      </c>
      <c r="X996" t="s">
        <v>1998</v>
      </c>
    </row>
    <row r="997" spans="1:24" ht="12.75">
      <c r="A997" s="1" t="str">
        <f>HYPERLINK("http://www.ofsted.gov.uk/inspection-reports/find-inspection-report/provider/ELS/131944","Ofsted FES Webpage")</f>
        <v>Ofsted FES Webpage</v>
      </c>
      <c r="B997" t="s">
        <v>1215</v>
      </c>
      <c r="C997">
        <v>131944</v>
      </c>
      <c r="D997">
        <v>114868</v>
      </c>
      <c r="E997" t="s">
        <v>65</v>
      </c>
      <c r="F997" t="s">
        <v>63</v>
      </c>
      <c r="G997" t="s">
        <v>473</v>
      </c>
      <c r="H997" s="2">
        <v>41072</v>
      </c>
      <c r="I997" s="2">
        <v>41075</v>
      </c>
      <c r="J997" t="s">
        <v>23</v>
      </c>
      <c r="K997" s="2">
        <v>41110.13560983796</v>
      </c>
      <c r="L997" t="s">
        <v>846</v>
      </c>
      <c r="M997">
        <v>388039</v>
      </c>
      <c r="N997">
        <v>1</v>
      </c>
      <c r="O997">
        <v>1</v>
      </c>
      <c r="P997">
        <v>2</v>
      </c>
      <c r="Q997">
        <v>2</v>
      </c>
      <c r="R997">
        <v>170</v>
      </c>
      <c r="S997" t="s">
        <v>3606</v>
      </c>
      <c r="V997" t="s">
        <v>2358</v>
      </c>
      <c r="X997" t="s">
        <v>1298</v>
      </c>
    </row>
    <row r="998" spans="1:24" ht="12.75">
      <c r="A998" s="1" t="str">
        <f>HYPERLINK("http://www.ofsted.gov.uk/inspection-reports/find-inspection-report/provider/ELS/131946","Ofsted FES Webpage")</f>
        <v>Ofsted FES Webpage</v>
      </c>
      <c r="B998" t="s">
        <v>1216</v>
      </c>
      <c r="C998">
        <v>131946</v>
      </c>
      <c r="D998">
        <v>117630</v>
      </c>
      <c r="E998" t="s">
        <v>166</v>
      </c>
      <c r="F998" t="s">
        <v>26</v>
      </c>
      <c r="G998" t="s">
        <v>473</v>
      </c>
      <c r="H998" s="2">
        <v>40813</v>
      </c>
      <c r="I998" s="2">
        <v>40815</v>
      </c>
      <c r="J998" t="s">
        <v>23</v>
      </c>
      <c r="K998" s="2">
        <v>40850.13547021991</v>
      </c>
      <c r="L998" t="s">
        <v>475</v>
      </c>
      <c r="M998">
        <v>376165</v>
      </c>
      <c r="N998">
        <v>2</v>
      </c>
      <c r="O998">
        <v>2</v>
      </c>
      <c r="P998">
        <v>3</v>
      </c>
      <c r="Q998">
        <v>3</v>
      </c>
      <c r="R998">
        <v>42</v>
      </c>
      <c r="S998" t="s">
        <v>4346</v>
      </c>
      <c r="T998" t="s">
        <v>3767</v>
      </c>
      <c r="V998" t="s">
        <v>2894</v>
      </c>
      <c r="X998" t="s">
        <v>2304</v>
      </c>
    </row>
    <row r="999" spans="1:24" ht="12.75">
      <c r="A999" s="1" t="str">
        <f>HYPERLINK("http://www.ofsted.gov.uk/inspection-reports/find-inspection-report/provider/ELS/131947","Ofsted FES Webpage")</f>
        <v>Ofsted FES Webpage</v>
      </c>
      <c r="B999" t="s">
        <v>1217</v>
      </c>
      <c r="C999">
        <v>131947</v>
      </c>
      <c r="D999">
        <v>114869</v>
      </c>
      <c r="E999" t="s">
        <v>268</v>
      </c>
      <c r="F999" t="s">
        <v>63</v>
      </c>
      <c r="G999" t="s">
        <v>473</v>
      </c>
      <c r="H999" s="2">
        <v>41227</v>
      </c>
      <c r="I999" s="2">
        <v>41229</v>
      </c>
      <c r="J999" t="s">
        <v>32</v>
      </c>
      <c r="K999" s="2">
        <v>41264.13548587963</v>
      </c>
      <c r="L999" t="s">
        <v>474</v>
      </c>
      <c r="M999">
        <v>399012</v>
      </c>
      <c r="N999">
        <v>2</v>
      </c>
      <c r="O999">
        <v>2</v>
      </c>
      <c r="P999">
        <v>3</v>
      </c>
      <c r="Q999">
        <v>4</v>
      </c>
      <c r="R999">
        <v>46</v>
      </c>
      <c r="S999" t="s">
        <v>4347</v>
      </c>
      <c r="V999" t="s">
        <v>2392</v>
      </c>
      <c r="W999" t="s">
        <v>268</v>
      </c>
      <c r="X999" t="s">
        <v>1312</v>
      </c>
    </row>
    <row r="1000" spans="1:24" ht="12.75">
      <c r="A1000" s="1" t="str">
        <f>HYPERLINK("http://www.ofsted.gov.uk/inspection-reports/find-inspection-report/provider/ELS/131948","Ofsted FES Webpage")</f>
        <v>Ofsted FES Webpage</v>
      </c>
      <c r="B1000" t="s">
        <v>1218</v>
      </c>
      <c r="C1000">
        <v>131948</v>
      </c>
      <c r="D1000">
        <v>116087</v>
      </c>
      <c r="E1000" t="s">
        <v>372</v>
      </c>
      <c r="F1000" t="s">
        <v>35</v>
      </c>
      <c r="G1000" t="s">
        <v>473</v>
      </c>
      <c r="H1000" s="2">
        <v>41598</v>
      </c>
      <c r="I1000" s="2">
        <v>41600</v>
      </c>
      <c r="J1000" t="s">
        <v>27</v>
      </c>
      <c r="K1000" s="2">
        <v>41632.13548379629</v>
      </c>
      <c r="L1000" t="s">
        <v>474</v>
      </c>
      <c r="M1000">
        <v>423399</v>
      </c>
      <c r="N1000">
        <v>1</v>
      </c>
      <c r="O1000">
        <v>1</v>
      </c>
      <c r="P1000">
        <v>2</v>
      </c>
      <c r="Q1000">
        <v>2</v>
      </c>
      <c r="R1000">
        <v>344</v>
      </c>
      <c r="S1000" t="s">
        <v>4348</v>
      </c>
      <c r="T1000" t="s">
        <v>4349</v>
      </c>
      <c r="V1000" t="s">
        <v>3118</v>
      </c>
      <c r="W1000" t="s">
        <v>350</v>
      </c>
      <c r="X1000" t="s">
        <v>2305</v>
      </c>
    </row>
    <row r="1001" spans="1:24" ht="12.75">
      <c r="A1001" s="1" t="str">
        <f>HYPERLINK("http://www.ofsted.gov.uk/inspection-reports/find-inspection-report/provider/ELS/131950","Ofsted FES Webpage")</f>
        <v>Ofsted FES Webpage</v>
      </c>
      <c r="B1001" t="s">
        <v>1219</v>
      </c>
      <c r="C1001">
        <v>131950</v>
      </c>
      <c r="D1001">
        <v>116088</v>
      </c>
      <c r="E1001" t="s">
        <v>350</v>
      </c>
      <c r="F1001" t="s">
        <v>43</v>
      </c>
      <c r="G1001" t="s">
        <v>473</v>
      </c>
      <c r="H1001" s="2">
        <v>39238</v>
      </c>
      <c r="I1001" s="2">
        <v>39241</v>
      </c>
      <c r="J1001" t="s">
        <v>100</v>
      </c>
      <c r="K1001" s="2">
        <v>39283.13554077546</v>
      </c>
      <c r="L1001" t="s">
        <v>1220</v>
      </c>
      <c r="M1001">
        <v>317375</v>
      </c>
      <c r="N1001">
        <v>4</v>
      </c>
      <c r="O1001">
        <v>4</v>
      </c>
      <c r="P1001" t="s">
        <v>20</v>
      </c>
      <c r="Q1001" t="s">
        <v>20</v>
      </c>
      <c r="R1001" t="s">
        <v>20</v>
      </c>
      <c r="S1001" t="s">
        <v>2390</v>
      </c>
      <c r="V1001" t="s">
        <v>2391</v>
      </c>
      <c r="W1001" t="s">
        <v>350</v>
      </c>
      <c r="X1001" t="s">
        <v>1311</v>
      </c>
    </row>
    <row r="1002" spans="1:24" ht="12.75">
      <c r="A1002" s="1" t="str">
        <f>HYPERLINK("http://www.ofsted.gov.uk/inspection-reports/find-inspection-report/provider/ELS/131958","Ofsted FES Webpage")</f>
        <v>Ofsted FES Webpage</v>
      </c>
      <c r="B1002" t="s">
        <v>1221</v>
      </c>
      <c r="C1002">
        <v>131958</v>
      </c>
      <c r="D1002">
        <v>114870</v>
      </c>
      <c r="E1002" t="s">
        <v>521</v>
      </c>
      <c r="F1002" t="s">
        <v>26</v>
      </c>
      <c r="G1002" t="s">
        <v>473</v>
      </c>
      <c r="H1002" s="2">
        <v>41779</v>
      </c>
      <c r="I1002" s="2">
        <v>41781</v>
      </c>
      <c r="J1002" t="s">
        <v>27</v>
      </c>
      <c r="K1002" s="2">
        <v>41814.135479861114</v>
      </c>
      <c r="L1002" t="s">
        <v>474</v>
      </c>
      <c r="M1002">
        <v>434076</v>
      </c>
      <c r="N1002">
        <v>2</v>
      </c>
      <c r="O1002">
        <v>2</v>
      </c>
      <c r="P1002">
        <v>3</v>
      </c>
      <c r="Q1002">
        <v>3</v>
      </c>
      <c r="R1002">
        <v>35</v>
      </c>
      <c r="S1002" t="s">
        <v>4350</v>
      </c>
      <c r="T1002" t="s">
        <v>2388</v>
      </c>
      <c r="V1002" t="s">
        <v>521</v>
      </c>
      <c r="W1002" t="s">
        <v>2389</v>
      </c>
      <c r="X1002" t="s">
        <v>2306</v>
      </c>
    </row>
    <row r="1003" spans="1:24" ht="12.75">
      <c r="A1003" s="1" t="str">
        <f>HYPERLINK("http://www.ofsted.gov.uk/inspection-reports/find-inspection-report/provider/ELS/131959","Ofsted FES Webpage")</f>
        <v>Ofsted FES Webpage</v>
      </c>
      <c r="B1003" t="s">
        <v>1222</v>
      </c>
      <c r="C1003">
        <v>131959</v>
      </c>
      <c r="D1003">
        <v>114871</v>
      </c>
      <c r="E1003" t="s">
        <v>51</v>
      </c>
      <c r="F1003" t="s">
        <v>16</v>
      </c>
      <c r="G1003" t="s">
        <v>473</v>
      </c>
      <c r="H1003" s="2">
        <v>41717</v>
      </c>
      <c r="I1003" s="2">
        <v>41719</v>
      </c>
      <c r="J1003" t="s">
        <v>27</v>
      </c>
      <c r="K1003" s="2">
        <v>41754.13548680556</v>
      </c>
      <c r="L1003" t="s">
        <v>1193</v>
      </c>
      <c r="M1003">
        <v>429097</v>
      </c>
      <c r="N1003">
        <v>2</v>
      </c>
      <c r="O1003">
        <v>2</v>
      </c>
      <c r="P1003">
        <v>3</v>
      </c>
      <c r="Q1003">
        <v>3</v>
      </c>
      <c r="R1003">
        <v>130</v>
      </c>
      <c r="S1003" t="s">
        <v>2397</v>
      </c>
      <c r="V1003" t="s">
        <v>2398</v>
      </c>
      <c r="W1003" t="s">
        <v>51</v>
      </c>
      <c r="X1003" t="s">
        <v>1315</v>
      </c>
    </row>
    <row r="1004" spans="1:24" ht="12.75">
      <c r="A1004" s="1" t="str">
        <f>HYPERLINK("http://www.ofsted.gov.uk/inspection-reports/find-inspection-report/provider/ELS/131963","Ofsted FES Webpage")</f>
        <v>Ofsted FES Webpage</v>
      </c>
      <c r="B1004" t="s">
        <v>1223</v>
      </c>
      <c r="C1004">
        <v>131963</v>
      </c>
      <c r="D1004">
        <v>114872</v>
      </c>
      <c r="E1004" t="s">
        <v>106</v>
      </c>
      <c r="F1004" t="s">
        <v>49</v>
      </c>
      <c r="G1004" t="s">
        <v>473</v>
      </c>
      <c r="H1004" s="2">
        <v>40708</v>
      </c>
      <c r="I1004" s="2">
        <v>40711</v>
      </c>
      <c r="J1004" t="s">
        <v>56</v>
      </c>
      <c r="K1004" s="2">
        <v>40746.13546655093</v>
      </c>
      <c r="L1004" t="s">
        <v>475</v>
      </c>
      <c r="M1004">
        <v>365906</v>
      </c>
      <c r="N1004">
        <v>2</v>
      </c>
      <c r="O1004">
        <v>2</v>
      </c>
      <c r="P1004">
        <v>3</v>
      </c>
      <c r="Q1004">
        <v>3</v>
      </c>
      <c r="R1004">
        <v>132</v>
      </c>
      <c r="S1004" t="s">
        <v>2375</v>
      </c>
      <c r="T1004" t="s">
        <v>2376</v>
      </c>
      <c r="V1004" t="s">
        <v>106</v>
      </c>
      <c r="X1004" t="s">
        <v>1306</v>
      </c>
    </row>
    <row r="1005" spans="1:24" ht="12.75">
      <c r="A1005" s="1" t="str">
        <f>HYPERLINK("http://www.ofsted.gov.uk/inspection-reports/find-inspection-report/provider/ELS/131967","Ofsted FES Webpage")</f>
        <v>Ofsted FES Webpage</v>
      </c>
      <c r="B1005" t="s">
        <v>1224</v>
      </c>
      <c r="C1005">
        <v>131967</v>
      </c>
      <c r="D1005">
        <v>114842</v>
      </c>
      <c r="E1005" t="s">
        <v>350</v>
      </c>
      <c r="F1005" t="s">
        <v>43</v>
      </c>
      <c r="G1005" t="s">
        <v>473</v>
      </c>
      <c r="H1005" s="2">
        <v>39603</v>
      </c>
      <c r="I1005" s="2">
        <v>39604</v>
      </c>
      <c r="J1005" t="s">
        <v>154</v>
      </c>
      <c r="K1005" s="2">
        <v>39648.13558194444</v>
      </c>
      <c r="L1005" t="s">
        <v>846</v>
      </c>
      <c r="M1005">
        <v>319820</v>
      </c>
      <c r="N1005">
        <v>2</v>
      </c>
      <c r="O1005">
        <v>2</v>
      </c>
      <c r="P1005" t="s">
        <v>20</v>
      </c>
      <c r="Q1005" t="s">
        <v>20</v>
      </c>
      <c r="R1005">
        <v>5</v>
      </c>
      <c r="S1005" t="s">
        <v>2403</v>
      </c>
      <c r="T1005" t="s">
        <v>2404</v>
      </c>
      <c r="V1005" t="s">
        <v>2405</v>
      </c>
      <c r="W1005" t="s">
        <v>350</v>
      </c>
      <c r="X1005" t="s">
        <v>1317</v>
      </c>
    </row>
    <row r="1006" spans="1:24" ht="12.75">
      <c r="A1006" s="1" t="str">
        <f>HYPERLINK("http://www.ofsted.gov.uk/inspection-reports/find-inspection-report/provider/ELS/131968","Ofsted FES Webpage")</f>
        <v>Ofsted FES Webpage</v>
      </c>
      <c r="B1006" t="s">
        <v>1129</v>
      </c>
      <c r="C1006">
        <v>131968</v>
      </c>
      <c r="D1006">
        <v>117594</v>
      </c>
      <c r="E1006" t="s">
        <v>140</v>
      </c>
      <c r="F1006" t="s">
        <v>49</v>
      </c>
      <c r="G1006" t="s">
        <v>473</v>
      </c>
      <c r="H1006" s="2">
        <v>41675</v>
      </c>
      <c r="I1006" s="2">
        <v>41677</v>
      </c>
      <c r="J1006" t="s">
        <v>27</v>
      </c>
      <c r="K1006" s="2">
        <v>41710.13549702546</v>
      </c>
      <c r="L1006" t="s">
        <v>474</v>
      </c>
      <c r="M1006">
        <v>429194</v>
      </c>
      <c r="N1006">
        <v>2</v>
      </c>
      <c r="O1006">
        <v>2</v>
      </c>
      <c r="P1006">
        <v>3</v>
      </c>
      <c r="Q1006">
        <v>3</v>
      </c>
      <c r="R1006">
        <v>27</v>
      </c>
      <c r="S1006" t="s">
        <v>3443</v>
      </c>
      <c r="V1006" t="s">
        <v>2593</v>
      </c>
      <c r="X1006" t="s">
        <v>1717</v>
      </c>
    </row>
    <row r="1007" spans="1:24" ht="12.75">
      <c r="A1007" s="1" t="str">
        <f>HYPERLINK("http://www.ofsted.gov.uk/inspection-reports/find-inspection-report/provider/ELS/131990","Ofsted FES Webpage")</f>
        <v>Ofsted FES Webpage</v>
      </c>
      <c r="B1007" t="s">
        <v>1225</v>
      </c>
      <c r="C1007">
        <v>131990</v>
      </c>
      <c r="D1007">
        <v>109725</v>
      </c>
      <c r="E1007" t="s">
        <v>399</v>
      </c>
      <c r="F1007" t="s">
        <v>16</v>
      </c>
      <c r="G1007" t="s">
        <v>473</v>
      </c>
      <c r="H1007" s="2">
        <v>41597</v>
      </c>
      <c r="I1007" s="2">
        <v>41599</v>
      </c>
      <c r="J1007" t="s">
        <v>27</v>
      </c>
      <c r="K1007" s="2">
        <v>41626.13547083333</v>
      </c>
      <c r="L1007" t="s">
        <v>474</v>
      </c>
      <c r="M1007">
        <v>423402</v>
      </c>
      <c r="N1007">
        <v>2</v>
      </c>
      <c r="O1007">
        <v>2</v>
      </c>
      <c r="P1007">
        <v>2</v>
      </c>
      <c r="Q1007">
        <v>2</v>
      </c>
      <c r="R1007">
        <v>47</v>
      </c>
      <c r="S1007" t="s">
        <v>2368</v>
      </c>
      <c r="V1007" t="s">
        <v>2369</v>
      </c>
      <c r="W1007" t="s">
        <v>399</v>
      </c>
      <c r="X1007" t="s">
        <v>1303</v>
      </c>
    </row>
    <row r="1008" spans="1:24" ht="12.75">
      <c r="A1008" s="1" t="str">
        <f>HYPERLINK("http://www.ofsted.gov.uk/inspection-reports/find-inspection-report/provider/ELS/132001","Ofsted FES Webpage")</f>
        <v>Ofsted FES Webpage</v>
      </c>
      <c r="B1008" t="s">
        <v>1226</v>
      </c>
      <c r="C1008">
        <v>132001</v>
      </c>
      <c r="D1008">
        <v>119225</v>
      </c>
      <c r="E1008" t="s">
        <v>268</v>
      </c>
      <c r="F1008" t="s">
        <v>63</v>
      </c>
      <c r="G1008" t="s">
        <v>473</v>
      </c>
      <c r="H1008" s="2">
        <v>41773</v>
      </c>
      <c r="I1008" s="2">
        <v>41775</v>
      </c>
      <c r="J1008" t="s">
        <v>27</v>
      </c>
      <c r="K1008" s="2">
        <v>41815.135498842596</v>
      </c>
      <c r="L1008" t="s">
        <v>474</v>
      </c>
      <c r="M1008">
        <v>434075</v>
      </c>
      <c r="N1008">
        <v>2</v>
      </c>
      <c r="O1008">
        <v>2</v>
      </c>
      <c r="P1008">
        <v>3</v>
      </c>
      <c r="Q1008">
        <v>3</v>
      </c>
      <c r="R1008">
        <v>37</v>
      </c>
      <c r="S1008" t="s">
        <v>4351</v>
      </c>
      <c r="V1008" t="s">
        <v>2595</v>
      </c>
      <c r="W1008" t="s">
        <v>268</v>
      </c>
      <c r="X1008" t="s">
        <v>2307</v>
      </c>
    </row>
    <row r="1009" spans="1:24" ht="12.75">
      <c r="A1009" s="1" t="str">
        <f>HYPERLINK("http://www.ofsted.gov.uk/inspection-reports/find-inspection-report/provider/ELS/132002","Ofsted FES Webpage")</f>
        <v>Ofsted FES Webpage</v>
      </c>
      <c r="B1009" t="s">
        <v>1227</v>
      </c>
      <c r="C1009">
        <v>132002</v>
      </c>
      <c r="D1009">
        <v>117680</v>
      </c>
      <c r="E1009" t="s">
        <v>25</v>
      </c>
      <c r="F1009" t="s">
        <v>26</v>
      </c>
      <c r="G1009" t="s">
        <v>473</v>
      </c>
      <c r="H1009" s="2">
        <v>40316</v>
      </c>
      <c r="I1009" s="2">
        <v>40318</v>
      </c>
      <c r="J1009" t="s">
        <v>18</v>
      </c>
      <c r="K1009" s="2">
        <v>40353.135523032404</v>
      </c>
      <c r="L1009" t="s">
        <v>475</v>
      </c>
      <c r="M1009">
        <v>345826</v>
      </c>
      <c r="N1009">
        <v>2</v>
      </c>
      <c r="O1009">
        <v>2</v>
      </c>
      <c r="P1009">
        <v>3</v>
      </c>
      <c r="Q1009">
        <v>3</v>
      </c>
      <c r="R1009">
        <v>75</v>
      </c>
      <c r="S1009" t="s">
        <v>4352</v>
      </c>
      <c r="T1009" t="s">
        <v>4353</v>
      </c>
      <c r="V1009" t="s">
        <v>25</v>
      </c>
      <c r="W1009" t="s">
        <v>2586</v>
      </c>
      <c r="X1009" t="s">
        <v>2308</v>
      </c>
    </row>
    <row r="1010" spans="1:24" ht="12.75">
      <c r="A1010" s="1" t="str">
        <f>HYPERLINK("http://www.ofsted.gov.uk/inspection-reports/find-inspection-report/provider/ELS/132004","Ofsted FES Webpage")</f>
        <v>Ofsted FES Webpage</v>
      </c>
      <c r="B1010" t="s">
        <v>1228</v>
      </c>
      <c r="C1010">
        <v>132004</v>
      </c>
      <c r="D1010">
        <v>114894</v>
      </c>
      <c r="E1010" t="s">
        <v>112</v>
      </c>
      <c r="F1010" t="s">
        <v>49</v>
      </c>
      <c r="G1010" t="s">
        <v>473</v>
      </c>
      <c r="H1010" s="2">
        <v>40141</v>
      </c>
      <c r="I1010" s="2">
        <v>40144</v>
      </c>
      <c r="J1010" t="s">
        <v>18</v>
      </c>
      <c r="K1010" s="2">
        <v>40187.13550069444</v>
      </c>
      <c r="L1010" t="s">
        <v>475</v>
      </c>
      <c r="M1010">
        <v>342385</v>
      </c>
      <c r="N1010">
        <v>2</v>
      </c>
      <c r="O1010">
        <v>2</v>
      </c>
      <c r="P1010">
        <v>3</v>
      </c>
      <c r="Q1010">
        <v>3</v>
      </c>
      <c r="R1010">
        <v>76</v>
      </c>
      <c r="S1010" t="s">
        <v>2355</v>
      </c>
      <c r="T1010" t="s">
        <v>2356</v>
      </c>
      <c r="V1010" t="s">
        <v>2357</v>
      </c>
      <c r="W1010" t="s">
        <v>49</v>
      </c>
      <c r="X1010" t="s">
        <v>1297</v>
      </c>
    </row>
    <row r="1011" spans="1:24" ht="12.75">
      <c r="A1011" s="1" t="str">
        <f>HYPERLINK("http://www.ofsted.gov.uk/inspection-reports/find-inspection-report/provider/ELS/132011","Ofsted FES Webpage")</f>
        <v>Ofsted FES Webpage</v>
      </c>
      <c r="B1011" t="s">
        <v>1229</v>
      </c>
      <c r="C1011">
        <v>132011</v>
      </c>
      <c r="D1011">
        <v>114876</v>
      </c>
      <c r="E1011" t="s">
        <v>518</v>
      </c>
      <c r="F1011" t="s">
        <v>39</v>
      </c>
      <c r="G1011" t="s">
        <v>473</v>
      </c>
      <c r="H1011" s="2">
        <v>41806</v>
      </c>
      <c r="I1011" s="2">
        <v>41808</v>
      </c>
      <c r="J1011" t="s">
        <v>27</v>
      </c>
      <c r="K1011" s="2">
        <v>41835.13546894676</v>
      </c>
      <c r="L1011" t="s">
        <v>474</v>
      </c>
      <c r="M1011">
        <v>427886</v>
      </c>
      <c r="N1011">
        <v>2</v>
      </c>
      <c r="O1011">
        <v>3</v>
      </c>
      <c r="P1011">
        <v>2</v>
      </c>
      <c r="Q1011">
        <v>2</v>
      </c>
      <c r="R1011">
        <v>18</v>
      </c>
      <c r="S1011" t="s">
        <v>4354</v>
      </c>
      <c r="T1011" t="s">
        <v>4355</v>
      </c>
      <c r="U1011" t="s">
        <v>3004</v>
      </c>
      <c r="V1011" t="s">
        <v>518</v>
      </c>
      <c r="X1011" t="s">
        <v>2309</v>
      </c>
    </row>
    <row r="1012" spans="1:24" ht="12.75">
      <c r="A1012" s="1" t="str">
        <f>HYPERLINK("http://www.ofsted.gov.uk/inspection-reports/find-inspection-report/provider/ELS/132015","Ofsted FES Webpage")</f>
        <v>Ofsted FES Webpage</v>
      </c>
      <c r="B1012" t="s">
        <v>1231</v>
      </c>
      <c r="C1012">
        <v>132015</v>
      </c>
      <c r="D1012">
        <v>115859</v>
      </c>
      <c r="E1012" t="s">
        <v>70</v>
      </c>
      <c r="F1012" t="s">
        <v>39</v>
      </c>
      <c r="G1012" t="s">
        <v>473</v>
      </c>
      <c r="H1012" s="2">
        <v>41794</v>
      </c>
      <c r="I1012" s="2">
        <v>41796</v>
      </c>
      <c r="J1012" t="s">
        <v>27</v>
      </c>
      <c r="K1012" s="2">
        <v>41829.13555737268</v>
      </c>
      <c r="L1012" t="s">
        <v>474</v>
      </c>
      <c r="M1012">
        <v>434077</v>
      </c>
      <c r="N1012">
        <v>3</v>
      </c>
      <c r="O1012">
        <v>3</v>
      </c>
      <c r="P1012">
        <v>3</v>
      </c>
      <c r="Q1012">
        <v>3</v>
      </c>
      <c r="R1012">
        <v>39</v>
      </c>
      <c r="S1012" t="s">
        <v>4356</v>
      </c>
      <c r="U1012" t="s">
        <v>2395</v>
      </c>
      <c r="W1012" t="s">
        <v>70</v>
      </c>
      <c r="X1012" t="s">
        <v>1314</v>
      </c>
    </row>
    <row r="1013" spans="1:24" ht="12.75">
      <c r="A1013" s="1" t="str">
        <f>HYPERLINK("http://www.ofsted.gov.uk/inspection-reports/find-inspection-report/provider/ELS/132016","Ofsted FES Webpage")</f>
        <v>Ofsted FES Webpage</v>
      </c>
      <c r="B1013" t="s">
        <v>1232</v>
      </c>
      <c r="C1013">
        <v>132016</v>
      </c>
      <c r="D1013">
        <v>116895</v>
      </c>
      <c r="E1013" t="s">
        <v>197</v>
      </c>
      <c r="F1013" t="s">
        <v>43</v>
      </c>
      <c r="G1013" t="s">
        <v>473</v>
      </c>
      <c r="H1013" s="2">
        <v>41206</v>
      </c>
      <c r="I1013" s="2">
        <v>41208</v>
      </c>
      <c r="J1013" t="s">
        <v>32</v>
      </c>
      <c r="K1013" s="2">
        <v>41243.135788113424</v>
      </c>
      <c r="L1013" t="s">
        <v>474</v>
      </c>
      <c r="M1013">
        <v>408450</v>
      </c>
      <c r="N1013">
        <v>2</v>
      </c>
      <c r="O1013">
        <v>2</v>
      </c>
      <c r="P1013">
        <v>3</v>
      </c>
      <c r="Q1013">
        <v>3</v>
      </c>
      <c r="R1013">
        <v>57</v>
      </c>
      <c r="S1013" t="s">
        <v>4357</v>
      </c>
      <c r="V1013" t="s">
        <v>2379</v>
      </c>
      <c r="W1013" t="s">
        <v>53</v>
      </c>
      <c r="X1013" t="s">
        <v>1308</v>
      </c>
    </row>
    <row r="1014" spans="1:24" ht="12.75">
      <c r="A1014" s="1" t="str">
        <f>HYPERLINK("http://www.ofsted.gov.uk/inspection-reports/find-inspection-report/provider/ELS/132021","Ofsted FES Webpage")</f>
        <v>Ofsted FES Webpage</v>
      </c>
      <c r="B1014" t="s">
        <v>1233</v>
      </c>
      <c r="C1014">
        <v>132021</v>
      </c>
      <c r="D1014">
        <v>114880</v>
      </c>
      <c r="E1014" t="s">
        <v>140</v>
      </c>
      <c r="F1014" t="s">
        <v>49</v>
      </c>
      <c r="G1014" t="s">
        <v>473</v>
      </c>
      <c r="H1014" s="2">
        <v>41695</v>
      </c>
      <c r="I1014" s="2">
        <v>41697</v>
      </c>
      <c r="J1014" t="s">
        <v>27</v>
      </c>
      <c r="K1014" s="2">
        <v>41730.13548642361</v>
      </c>
      <c r="L1014" t="s">
        <v>474</v>
      </c>
      <c r="M1014">
        <v>429195</v>
      </c>
      <c r="N1014">
        <v>3</v>
      </c>
      <c r="O1014">
        <v>3</v>
      </c>
      <c r="P1014">
        <v>3</v>
      </c>
      <c r="Q1014">
        <v>3</v>
      </c>
      <c r="R1014">
        <v>30</v>
      </c>
      <c r="S1014" t="s">
        <v>4358</v>
      </c>
      <c r="T1014" t="s">
        <v>4359</v>
      </c>
      <c r="U1014" t="s">
        <v>4360</v>
      </c>
      <c r="V1014" t="s">
        <v>2593</v>
      </c>
      <c r="X1014" t="s">
        <v>2310</v>
      </c>
    </row>
    <row r="1015" spans="1:24" ht="12.75">
      <c r="A1015" s="1" t="str">
        <f>HYPERLINK("http://www.ofsted.gov.uk/inspection-reports/find-inspection-report/provider/ELS/132030","Ofsted FES Webpage")</f>
        <v>Ofsted FES Webpage</v>
      </c>
      <c r="B1015" t="s">
        <v>1234</v>
      </c>
      <c r="C1015">
        <v>132030</v>
      </c>
      <c r="D1015">
        <v>114883</v>
      </c>
      <c r="E1015" t="s">
        <v>114</v>
      </c>
      <c r="F1015" t="s">
        <v>26</v>
      </c>
      <c r="G1015" t="s">
        <v>473</v>
      </c>
      <c r="H1015" s="2">
        <v>40078</v>
      </c>
      <c r="I1015" s="2">
        <v>40080</v>
      </c>
      <c r="J1015" t="s">
        <v>18</v>
      </c>
      <c r="K1015" s="2">
        <v>40134.375679780096</v>
      </c>
      <c r="L1015" t="s">
        <v>475</v>
      </c>
      <c r="M1015">
        <v>342595</v>
      </c>
      <c r="N1015">
        <v>1</v>
      </c>
      <c r="O1015">
        <v>1</v>
      </c>
      <c r="P1015">
        <v>3</v>
      </c>
      <c r="Q1015">
        <v>3</v>
      </c>
      <c r="R1015">
        <v>8</v>
      </c>
      <c r="S1015" t="s">
        <v>4361</v>
      </c>
      <c r="T1015" t="s">
        <v>4362</v>
      </c>
      <c r="U1015" t="s">
        <v>2866</v>
      </c>
      <c r="V1015" t="s">
        <v>114</v>
      </c>
      <c r="W1015" t="s">
        <v>3048</v>
      </c>
      <c r="X1015" t="s">
        <v>2311</v>
      </c>
    </row>
    <row r="1016" spans="1:24" ht="12.75">
      <c r="A1016" s="1" t="str">
        <f>HYPERLINK("http://www.ofsted.gov.uk/inspection-reports/find-inspection-report/provider/ELS/132042","Ofsted FES Webpage")</f>
        <v>Ofsted FES Webpage</v>
      </c>
      <c r="B1016" t="s">
        <v>1235</v>
      </c>
      <c r="C1016">
        <v>132042</v>
      </c>
      <c r="D1016">
        <v>114827</v>
      </c>
      <c r="E1016" t="s">
        <v>268</v>
      </c>
      <c r="F1016" t="s">
        <v>63</v>
      </c>
      <c r="G1016" t="s">
        <v>473</v>
      </c>
      <c r="H1016" s="2">
        <v>41779</v>
      </c>
      <c r="I1016" s="2">
        <v>41781</v>
      </c>
      <c r="J1016" t="s">
        <v>27</v>
      </c>
      <c r="K1016" s="2">
        <v>41817.135444293985</v>
      </c>
      <c r="L1016" t="s">
        <v>474</v>
      </c>
      <c r="M1016">
        <v>423403</v>
      </c>
      <c r="N1016">
        <v>3</v>
      </c>
      <c r="O1016">
        <v>3</v>
      </c>
      <c r="P1016">
        <v>2</v>
      </c>
      <c r="Q1016">
        <v>2</v>
      </c>
      <c r="R1016">
        <v>16</v>
      </c>
      <c r="S1016" t="s">
        <v>3678</v>
      </c>
      <c r="V1016" t="s">
        <v>2595</v>
      </c>
      <c r="W1016" t="s">
        <v>268</v>
      </c>
      <c r="X1016" t="s">
        <v>1838</v>
      </c>
    </row>
    <row r="1017" spans="1:24" ht="12.75">
      <c r="A1017" s="1" t="str">
        <f>HYPERLINK("http://www.ofsted.gov.uk/inspection-reports/find-inspection-report/provider/ELS/132053","Ofsted FES Webpage")</f>
        <v>Ofsted FES Webpage</v>
      </c>
      <c r="B1017" t="s">
        <v>1236</v>
      </c>
      <c r="C1017">
        <v>132053</v>
      </c>
      <c r="D1017">
        <v>114886</v>
      </c>
      <c r="E1017" t="s">
        <v>99</v>
      </c>
      <c r="F1017" t="s">
        <v>43</v>
      </c>
      <c r="G1017" t="s">
        <v>473</v>
      </c>
      <c r="H1017" s="2">
        <v>40337</v>
      </c>
      <c r="I1017" s="2">
        <v>40339</v>
      </c>
      <c r="J1017" t="s">
        <v>18</v>
      </c>
      <c r="K1017" s="2">
        <v>40374.135535416666</v>
      </c>
      <c r="L1017" t="s">
        <v>475</v>
      </c>
      <c r="M1017">
        <v>345828</v>
      </c>
      <c r="N1017">
        <v>2</v>
      </c>
      <c r="O1017">
        <v>2</v>
      </c>
      <c r="P1017">
        <v>3</v>
      </c>
      <c r="Q1017">
        <v>3</v>
      </c>
      <c r="R1017">
        <v>39</v>
      </c>
      <c r="S1017" t="s">
        <v>2899</v>
      </c>
      <c r="V1017" t="s">
        <v>2900</v>
      </c>
      <c r="W1017" t="s">
        <v>99</v>
      </c>
      <c r="X1017" t="s">
        <v>2312</v>
      </c>
    </row>
    <row r="1018" spans="1:24" ht="12.75">
      <c r="A1018" s="1" t="str">
        <f>HYPERLINK("http://www.ofsted.gov.uk/inspection-reports/find-inspection-report/provider/ELS/132067","Ofsted FES Webpage")</f>
        <v>Ofsted FES Webpage</v>
      </c>
      <c r="B1018" t="s">
        <v>1237</v>
      </c>
      <c r="C1018">
        <v>132067</v>
      </c>
      <c r="D1018">
        <v>114888</v>
      </c>
      <c r="E1018" t="s">
        <v>65</v>
      </c>
      <c r="F1018" t="s">
        <v>63</v>
      </c>
      <c r="G1018" t="s">
        <v>473</v>
      </c>
      <c r="H1018" s="2">
        <v>40981</v>
      </c>
      <c r="I1018" s="2">
        <v>40983</v>
      </c>
      <c r="J1018" t="s">
        <v>23</v>
      </c>
      <c r="K1018" s="2">
        <v>41022.136389155094</v>
      </c>
      <c r="L1018" t="s">
        <v>846</v>
      </c>
      <c r="M1018">
        <v>385364</v>
      </c>
      <c r="N1018">
        <v>2</v>
      </c>
      <c r="O1018">
        <v>2</v>
      </c>
      <c r="P1018">
        <v>2</v>
      </c>
      <c r="Q1018">
        <v>2</v>
      </c>
      <c r="R1018">
        <v>31</v>
      </c>
      <c r="S1018" t="s">
        <v>2383</v>
      </c>
      <c r="T1018" t="s">
        <v>2384</v>
      </c>
      <c r="V1018" t="s">
        <v>2385</v>
      </c>
      <c r="W1018" t="s">
        <v>65</v>
      </c>
      <c r="X1018" t="s">
        <v>1310</v>
      </c>
    </row>
    <row r="1019" spans="1:24" ht="12.75">
      <c r="A1019" s="1" t="str">
        <f>HYPERLINK("http://www.ofsted.gov.uk/inspection-reports/find-inspection-report/provider/ELS/132779","Ofsted FES Webpage")</f>
        <v>Ofsted FES Webpage</v>
      </c>
      <c r="B1019" t="s">
        <v>1238</v>
      </c>
      <c r="C1019">
        <v>132779</v>
      </c>
      <c r="D1019">
        <v>109912</v>
      </c>
      <c r="E1019" t="s">
        <v>131</v>
      </c>
      <c r="F1019" t="s">
        <v>63</v>
      </c>
      <c r="G1019" t="s">
        <v>849</v>
      </c>
      <c r="H1019" s="2">
        <v>41701</v>
      </c>
      <c r="I1019" s="2">
        <v>41705</v>
      </c>
      <c r="J1019" t="s">
        <v>27</v>
      </c>
      <c r="K1019" s="2">
        <v>41740.1354528125</v>
      </c>
      <c r="L1019" t="s">
        <v>850</v>
      </c>
      <c r="M1019">
        <v>423369</v>
      </c>
      <c r="N1019">
        <v>3</v>
      </c>
      <c r="O1019">
        <v>3</v>
      </c>
      <c r="P1019">
        <v>3</v>
      </c>
      <c r="Q1019">
        <v>3</v>
      </c>
      <c r="R1019">
        <v>11395</v>
      </c>
      <c r="S1019" t="s">
        <v>2634</v>
      </c>
      <c r="V1019" t="s">
        <v>2415</v>
      </c>
      <c r="W1019" t="s">
        <v>131</v>
      </c>
      <c r="X1019" t="s">
        <v>2292</v>
      </c>
    </row>
    <row r="1020" spans="1:24" ht="12.75">
      <c r="A1020" s="1" t="str">
        <f>HYPERLINK("http://www.ofsted.gov.uk/inspection-reports/find-inspection-report/provider/ELS/132980","Ofsted FES Webpage")</f>
        <v>Ofsted FES Webpage</v>
      </c>
      <c r="B1020" t="s">
        <v>1239</v>
      </c>
      <c r="C1020">
        <v>132980</v>
      </c>
      <c r="D1020">
        <v>114864</v>
      </c>
      <c r="E1020" t="s">
        <v>59</v>
      </c>
      <c r="F1020" t="s">
        <v>43</v>
      </c>
      <c r="G1020" t="s">
        <v>473</v>
      </c>
      <c r="H1020" s="2">
        <v>41318</v>
      </c>
      <c r="I1020" s="2">
        <v>41320</v>
      </c>
      <c r="J1020" t="s">
        <v>32</v>
      </c>
      <c r="K1020" s="2">
        <v>41355.13546365741</v>
      </c>
      <c r="L1020" t="s">
        <v>1240</v>
      </c>
      <c r="M1020">
        <v>388140</v>
      </c>
      <c r="N1020">
        <v>2</v>
      </c>
      <c r="O1020">
        <v>2</v>
      </c>
      <c r="P1020">
        <v>4</v>
      </c>
      <c r="Q1020">
        <v>4</v>
      </c>
      <c r="R1020">
        <v>81</v>
      </c>
      <c r="S1020" t="s">
        <v>2841</v>
      </c>
      <c r="T1020" t="s">
        <v>3637</v>
      </c>
      <c r="V1020" t="s">
        <v>2811</v>
      </c>
      <c r="W1020" t="s">
        <v>59</v>
      </c>
      <c r="X1020" t="s">
        <v>1817</v>
      </c>
    </row>
    <row r="1021" spans="1:24" ht="12.75">
      <c r="A1021" s="1" t="str">
        <f>HYPERLINK("http://www.ofsted.gov.uk/inspection-reports/find-inspection-report/provider/ELS/133001","Ofsted FES Webpage")</f>
        <v>Ofsted FES Webpage</v>
      </c>
      <c r="B1021" t="s">
        <v>1241</v>
      </c>
      <c r="C1021">
        <v>133001</v>
      </c>
      <c r="D1021">
        <v>114851</v>
      </c>
      <c r="E1021" t="s">
        <v>99</v>
      </c>
      <c r="F1021" t="s">
        <v>43</v>
      </c>
      <c r="G1021" t="s">
        <v>473</v>
      </c>
      <c r="H1021" s="2">
        <v>40925</v>
      </c>
      <c r="I1021" s="2">
        <v>40927</v>
      </c>
      <c r="J1021" t="s">
        <v>23</v>
      </c>
      <c r="K1021" s="2">
        <v>40949.13543711806</v>
      </c>
      <c r="L1021" t="s">
        <v>1230</v>
      </c>
      <c r="M1021">
        <v>366413</v>
      </c>
      <c r="N1021">
        <v>3</v>
      </c>
      <c r="O1021">
        <v>3</v>
      </c>
      <c r="P1021">
        <v>4</v>
      </c>
      <c r="Q1021">
        <v>4</v>
      </c>
      <c r="R1021">
        <v>15</v>
      </c>
      <c r="S1021" t="s">
        <v>2886</v>
      </c>
      <c r="T1021" t="s">
        <v>2887</v>
      </c>
      <c r="V1021" t="s">
        <v>4363</v>
      </c>
      <c r="W1021" t="s">
        <v>99</v>
      </c>
      <c r="X1021" t="s">
        <v>1477</v>
      </c>
    </row>
    <row r="1022" spans="1:24" ht="12.75">
      <c r="A1022" s="1" t="str">
        <f>HYPERLINK("http://www.ofsted.gov.uk/inspection-reports/find-inspection-report/provider/ELS/133036","Ofsted FES Webpage")</f>
        <v>Ofsted FES Webpage</v>
      </c>
      <c r="B1022" t="s">
        <v>1242</v>
      </c>
      <c r="C1022">
        <v>133036</v>
      </c>
      <c r="D1022">
        <v>114875</v>
      </c>
      <c r="E1022" t="s">
        <v>65</v>
      </c>
      <c r="F1022" t="s">
        <v>63</v>
      </c>
      <c r="G1022" t="s">
        <v>473</v>
      </c>
      <c r="H1022" s="2">
        <v>41717</v>
      </c>
      <c r="I1022" s="2">
        <v>41719</v>
      </c>
      <c r="J1022" t="s">
        <v>27</v>
      </c>
      <c r="K1022" s="2">
        <v>41758.13644525463</v>
      </c>
      <c r="L1022" t="s">
        <v>474</v>
      </c>
      <c r="M1022">
        <v>443549</v>
      </c>
      <c r="N1022">
        <v>4</v>
      </c>
      <c r="O1022">
        <v>4</v>
      </c>
      <c r="P1022">
        <v>1</v>
      </c>
      <c r="Q1022">
        <v>1</v>
      </c>
      <c r="R1022">
        <v>110</v>
      </c>
      <c r="S1022" t="s">
        <v>3472</v>
      </c>
      <c r="T1022" t="s">
        <v>2564</v>
      </c>
      <c r="V1022" t="s">
        <v>3473</v>
      </c>
      <c r="W1022" t="s">
        <v>65</v>
      </c>
      <c r="X1022" t="s">
        <v>1732</v>
      </c>
    </row>
    <row r="1023" spans="1:24" ht="12.75">
      <c r="A1023" s="1" t="str">
        <f>HYPERLINK("http://www.ofsted.gov.uk/inspection-reports/find-inspection-report/provider/ELS/133042","Ofsted FES Webpage")</f>
        <v>Ofsted FES Webpage</v>
      </c>
      <c r="B1023" t="s">
        <v>1243</v>
      </c>
      <c r="C1023">
        <v>133042</v>
      </c>
      <c r="D1023">
        <v>107987</v>
      </c>
      <c r="E1023" t="s">
        <v>372</v>
      </c>
      <c r="F1023" t="s">
        <v>35</v>
      </c>
      <c r="G1023" t="s">
        <v>40</v>
      </c>
      <c r="H1023" s="2">
        <v>40141</v>
      </c>
      <c r="I1023" s="2">
        <v>40144</v>
      </c>
      <c r="J1023" t="s">
        <v>18</v>
      </c>
      <c r="K1023" s="2">
        <v>40242.13552809028</v>
      </c>
      <c r="L1023" t="s">
        <v>45</v>
      </c>
      <c r="M1023">
        <v>343089</v>
      </c>
      <c r="N1023">
        <v>2</v>
      </c>
      <c r="O1023">
        <v>2</v>
      </c>
      <c r="P1023" t="s">
        <v>20</v>
      </c>
      <c r="Q1023" t="s">
        <v>20</v>
      </c>
      <c r="R1023">
        <v>2464</v>
      </c>
      <c r="S1023" t="s">
        <v>2911</v>
      </c>
      <c r="V1023" t="s">
        <v>372</v>
      </c>
      <c r="W1023" t="s">
        <v>350</v>
      </c>
      <c r="X1023" t="s">
        <v>1617</v>
      </c>
    </row>
    <row r="1024" spans="1:24" ht="12.75">
      <c r="A1024" s="1" t="str">
        <f>HYPERLINK("http://www.ofsted.gov.uk/inspection-reports/find-inspection-report/provider/ELS/133053","Ofsted FES Webpage")</f>
        <v>Ofsted FES Webpage</v>
      </c>
      <c r="B1024" t="s">
        <v>1244</v>
      </c>
      <c r="C1024">
        <v>133053</v>
      </c>
      <c r="D1024">
        <v>108353</v>
      </c>
      <c r="E1024" t="s">
        <v>333</v>
      </c>
      <c r="F1024" t="s">
        <v>35</v>
      </c>
      <c r="G1024" t="s">
        <v>40</v>
      </c>
      <c r="H1024" s="2">
        <v>41667</v>
      </c>
      <c r="I1024" s="2">
        <v>41670</v>
      </c>
      <c r="J1024" t="s">
        <v>27</v>
      </c>
      <c r="K1024" s="2">
        <v>41705.135450381946</v>
      </c>
      <c r="L1024" t="s">
        <v>275</v>
      </c>
      <c r="M1024">
        <v>420901</v>
      </c>
      <c r="N1024">
        <v>2</v>
      </c>
      <c r="O1024">
        <v>2</v>
      </c>
      <c r="P1024">
        <v>4</v>
      </c>
      <c r="Q1024">
        <v>3</v>
      </c>
      <c r="R1024">
        <v>358</v>
      </c>
      <c r="S1024" t="s">
        <v>3640</v>
      </c>
      <c r="V1024" t="s">
        <v>3728</v>
      </c>
      <c r="W1024" t="s">
        <v>350</v>
      </c>
      <c r="X1024" t="s">
        <v>1999</v>
      </c>
    </row>
    <row r="1025" spans="1:24" ht="12.75">
      <c r="A1025" s="1" t="str">
        <f>HYPERLINK("http://www.ofsted.gov.uk/inspection-reports/find-inspection-report/provider/ELS/133108","Ofsted FES Webpage")</f>
        <v>Ofsted FES Webpage</v>
      </c>
      <c r="B1025" t="s">
        <v>1245</v>
      </c>
      <c r="C1025">
        <v>133108</v>
      </c>
      <c r="D1025">
        <v>114874</v>
      </c>
      <c r="E1025" t="s">
        <v>116</v>
      </c>
      <c r="F1025" t="s">
        <v>49</v>
      </c>
      <c r="G1025" t="s">
        <v>473</v>
      </c>
      <c r="H1025" s="2">
        <v>41556</v>
      </c>
      <c r="I1025" s="2">
        <v>41558</v>
      </c>
      <c r="J1025" t="s">
        <v>27</v>
      </c>
      <c r="K1025" s="2">
        <v>41591.135479780096</v>
      </c>
      <c r="L1025" t="s">
        <v>474</v>
      </c>
      <c r="M1025">
        <v>423404</v>
      </c>
      <c r="N1025">
        <v>2</v>
      </c>
      <c r="O1025">
        <v>2</v>
      </c>
      <c r="P1025">
        <v>2</v>
      </c>
      <c r="Q1025">
        <v>2</v>
      </c>
      <c r="R1025">
        <v>100</v>
      </c>
      <c r="S1025" t="s">
        <v>2881</v>
      </c>
      <c r="V1025" t="s">
        <v>2480</v>
      </c>
      <c r="X1025" t="s">
        <v>2313</v>
      </c>
    </row>
    <row r="1026" spans="1:24" ht="12.75">
      <c r="A1026" s="1" t="str">
        <f>HYPERLINK("http://www.ofsted.gov.uk/inspection-reports/find-inspection-report/provider/ELS/133173","Ofsted FES Webpage")</f>
        <v>Ofsted FES Webpage</v>
      </c>
      <c r="B1026" t="s">
        <v>1246</v>
      </c>
      <c r="C1026">
        <v>133173</v>
      </c>
      <c r="D1026">
        <v>114847</v>
      </c>
      <c r="E1026" t="s">
        <v>572</v>
      </c>
      <c r="F1026" t="s">
        <v>49</v>
      </c>
      <c r="G1026" t="s">
        <v>473</v>
      </c>
      <c r="H1026" s="2">
        <v>40968</v>
      </c>
      <c r="I1026" s="2">
        <v>40970</v>
      </c>
      <c r="J1026" t="s">
        <v>23</v>
      </c>
      <c r="K1026" s="2">
        <v>41009.13545054398</v>
      </c>
      <c r="L1026" t="s">
        <v>846</v>
      </c>
      <c r="M1026">
        <v>385461</v>
      </c>
      <c r="N1026">
        <v>1</v>
      </c>
      <c r="O1026">
        <v>1</v>
      </c>
      <c r="P1026">
        <v>1</v>
      </c>
      <c r="Q1026">
        <v>1</v>
      </c>
      <c r="R1026">
        <v>176</v>
      </c>
      <c r="S1026" t="s">
        <v>4364</v>
      </c>
      <c r="T1026" t="s">
        <v>4365</v>
      </c>
      <c r="V1026" t="s">
        <v>4302</v>
      </c>
      <c r="W1026" t="s">
        <v>572</v>
      </c>
      <c r="X1026" t="s">
        <v>2314</v>
      </c>
    </row>
    <row r="1027" spans="1:24" ht="12.75">
      <c r="A1027" s="1" t="str">
        <f>HYPERLINK("http://www.ofsted.gov.uk/inspection-reports/find-inspection-report/provider/ELS/133250","Ofsted FES Webpage")</f>
        <v>Ofsted FES Webpage</v>
      </c>
      <c r="B1027" t="s">
        <v>1247</v>
      </c>
      <c r="C1027">
        <v>133250</v>
      </c>
      <c r="D1027">
        <v>108271</v>
      </c>
      <c r="E1027" t="s">
        <v>249</v>
      </c>
      <c r="F1027" t="s">
        <v>63</v>
      </c>
      <c r="G1027" t="s">
        <v>971</v>
      </c>
      <c r="H1027" s="2">
        <v>41331</v>
      </c>
      <c r="I1027" s="2">
        <v>41334</v>
      </c>
      <c r="J1027" t="s">
        <v>32</v>
      </c>
      <c r="K1027" s="2">
        <v>41373.13550065972</v>
      </c>
      <c r="L1027" t="s">
        <v>1248</v>
      </c>
      <c r="M1027">
        <v>408445</v>
      </c>
      <c r="N1027">
        <v>2</v>
      </c>
      <c r="O1027">
        <v>2</v>
      </c>
      <c r="P1027" t="s">
        <v>20</v>
      </c>
      <c r="Q1027" t="s">
        <v>20</v>
      </c>
      <c r="R1027" t="s">
        <v>20</v>
      </c>
      <c r="S1027" t="s">
        <v>4366</v>
      </c>
      <c r="V1027" t="s">
        <v>2582</v>
      </c>
      <c r="X1027" t="s">
        <v>2315</v>
      </c>
    </row>
    <row r="1028" spans="1:24" ht="12.75">
      <c r="A1028" s="1" t="str">
        <f>HYPERLINK("http://www.ofsted.gov.uk/inspection-reports/find-inspection-report/provider/ELS/133435","Ofsted FES Webpage")</f>
        <v>Ofsted FES Webpage</v>
      </c>
      <c r="B1028" t="s">
        <v>1249</v>
      </c>
      <c r="C1028">
        <v>133435</v>
      </c>
      <c r="D1028">
        <v>111809</v>
      </c>
      <c r="E1028" t="s">
        <v>53</v>
      </c>
      <c r="F1028" t="s">
        <v>43</v>
      </c>
      <c r="G1028" t="s">
        <v>849</v>
      </c>
      <c r="H1028" s="2">
        <v>41757</v>
      </c>
      <c r="I1028" s="2">
        <v>41761</v>
      </c>
      <c r="J1028" t="s">
        <v>27</v>
      </c>
      <c r="K1028" s="2">
        <v>41802.135464583334</v>
      </c>
      <c r="L1028" t="s">
        <v>882</v>
      </c>
      <c r="M1028">
        <v>429249</v>
      </c>
      <c r="N1028">
        <v>2</v>
      </c>
      <c r="O1028">
        <v>2</v>
      </c>
      <c r="P1028">
        <v>3</v>
      </c>
      <c r="Q1028">
        <v>3</v>
      </c>
      <c r="R1028">
        <v>13509</v>
      </c>
      <c r="S1028" t="s">
        <v>4209</v>
      </c>
      <c r="V1028" t="s">
        <v>2623</v>
      </c>
      <c r="W1028" t="s">
        <v>53</v>
      </c>
      <c r="X1028" t="s">
        <v>2176</v>
      </c>
    </row>
    <row r="1029" spans="1:24" ht="12.75">
      <c r="A1029" s="1" t="str">
        <f>HYPERLINK("http://www.ofsted.gov.uk/inspection-reports/find-inspection-report/provider/ELS/133585","Ofsted FES Webpage")</f>
        <v>Ofsted FES Webpage</v>
      </c>
      <c r="B1029" t="s">
        <v>1250</v>
      </c>
      <c r="C1029">
        <v>133585</v>
      </c>
      <c r="D1029">
        <v>112173</v>
      </c>
      <c r="E1029" t="s">
        <v>109</v>
      </c>
      <c r="F1029" t="s">
        <v>16</v>
      </c>
      <c r="G1029" t="s">
        <v>849</v>
      </c>
      <c r="H1029" s="2">
        <v>41771</v>
      </c>
      <c r="I1029" s="2">
        <v>41775</v>
      </c>
      <c r="J1029" t="s">
        <v>27</v>
      </c>
      <c r="K1029" s="2">
        <v>41809.13546246528</v>
      </c>
      <c r="L1029" t="s">
        <v>850</v>
      </c>
      <c r="M1029">
        <v>434080</v>
      </c>
      <c r="N1029">
        <v>3</v>
      </c>
      <c r="O1029">
        <v>3</v>
      </c>
      <c r="P1029">
        <v>3</v>
      </c>
      <c r="Q1029">
        <v>2</v>
      </c>
      <c r="R1029">
        <v>23358</v>
      </c>
      <c r="S1029" t="s">
        <v>4367</v>
      </c>
      <c r="T1029" t="s">
        <v>4368</v>
      </c>
      <c r="U1029" t="s">
        <v>2650</v>
      </c>
      <c r="V1029" t="s">
        <v>109</v>
      </c>
      <c r="W1029" t="s">
        <v>22</v>
      </c>
      <c r="X1029" t="s">
        <v>2316</v>
      </c>
    </row>
    <row r="1030" spans="1:24" ht="12.75">
      <c r="A1030" s="1" t="str">
        <f>HYPERLINK("http://www.ofsted.gov.uk/inspection-reports/find-inspection-report/provider/ELS/133608","Ofsted FES Webpage")</f>
        <v>Ofsted FES Webpage</v>
      </c>
      <c r="B1030" t="s">
        <v>1251</v>
      </c>
      <c r="C1030">
        <v>133608</v>
      </c>
      <c r="D1030">
        <v>112729</v>
      </c>
      <c r="E1030" t="s">
        <v>282</v>
      </c>
      <c r="F1030" t="s">
        <v>35</v>
      </c>
      <c r="G1030" t="s">
        <v>862</v>
      </c>
      <c r="H1030" s="2">
        <v>41352</v>
      </c>
      <c r="I1030" s="2">
        <v>41355</v>
      </c>
      <c r="J1030" t="s">
        <v>32</v>
      </c>
      <c r="K1030" s="2">
        <v>41394.135563738426</v>
      </c>
      <c r="L1030" t="s">
        <v>875</v>
      </c>
      <c r="M1030">
        <v>408459</v>
      </c>
      <c r="N1030">
        <v>2</v>
      </c>
      <c r="O1030">
        <v>2</v>
      </c>
      <c r="P1030">
        <v>3</v>
      </c>
      <c r="Q1030">
        <v>2</v>
      </c>
      <c r="R1030">
        <v>1519</v>
      </c>
      <c r="S1030" t="s">
        <v>4369</v>
      </c>
      <c r="T1030" t="s">
        <v>4370</v>
      </c>
      <c r="U1030" t="s">
        <v>282</v>
      </c>
      <c r="V1030" t="s">
        <v>35</v>
      </c>
      <c r="X1030" t="s">
        <v>2317</v>
      </c>
    </row>
    <row r="1031" spans="1:24" ht="12.75">
      <c r="A1031" s="1" t="str">
        <f>HYPERLINK("http://www.ofsted.gov.uk/inspection-reports/find-inspection-report/provider/ELS/133785","Ofsted FES Webpage")</f>
        <v>Ofsted FES Webpage</v>
      </c>
      <c r="B1031" t="s">
        <v>1252</v>
      </c>
      <c r="C1031">
        <v>133785</v>
      </c>
      <c r="D1031">
        <v>106349</v>
      </c>
      <c r="E1031" t="s">
        <v>106</v>
      </c>
      <c r="F1031" t="s">
        <v>49</v>
      </c>
      <c r="G1031" t="s">
        <v>971</v>
      </c>
      <c r="H1031" s="2">
        <v>40945</v>
      </c>
      <c r="I1031" s="2">
        <v>40949</v>
      </c>
      <c r="J1031" t="s">
        <v>23</v>
      </c>
      <c r="K1031" s="2">
        <v>40984.13586744213</v>
      </c>
      <c r="L1031" t="s">
        <v>1253</v>
      </c>
      <c r="M1031">
        <v>385352</v>
      </c>
      <c r="N1031">
        <v>1</v>
      </c>
      <c r="O1031">
        <v>1</v>
      </c>
      <c r="P1031" t="s">
        <v>20</v>
      </c>
      <c r="Q1031" t="s">
        <v>20</v>
      </c>
      <c r="R1031">
        <v>121</v>
      </c>
      <c r="S1031" t="s">
        <v>4066</v>
      </c>
      <c r="V1031" t="s">
        <v>106</v>
      </c>
      <c r="W1031" t="s">
        <v>49</v>
      </c>
      <c r="X1031" t="s">
        <v>2048</v>
      </c>
    </row>
    <row r="1032" spans="1:24" ht="12.75">
      <c r="A1032" s="1" t="str">
        <f>HYPERLINK("http://www.ofsted.gov.uk/inspection-reports/find-inspection-report/provider/ELS/133788","Ofsted FES Webpage")</f>
        <v>Ofsted FES Webpage</v>
      </c>
      <c r="B1032" t="s">
        <v>1254</v>
      </c>
      <c r="C1032">
        <v>133788</v>
      </c>
      <c r="D1032">
        <v>108248</v>
      </c>
      <c r="E1032" t="s">
        <v>106</v>
      </c>
      <c r="F1032" t="s">
        <v>49</v>
      </c>
      <c r="G1032" t="s">
        <v>971</v>
      </c>
      <c r="H1032" s="2">
        <v>41043</v>
      </c>
      <c r="I1032" s="2">
        <v>41047</v>
      </c>
      <c r="J1032" t="s">
        <v>23</v>
      </c>
      <c r="K1032" s="2">
        <v>41086.135668020834</v>
      </c>
      <c r="L1032" t="s">
        <v>1253</v>
      </c>
      <c r="M1032">
        <v>388028</v>
      </c>
      <c r="N1032">
        <v>2</v>
      </c>
      <c r="O1032">
        <v>3</v>
      </c>
      <c r="P1032" t="s">
        <v>20</v>
      </c>
      <c r="Q1032" t="s">
        <v>20</v>
      </c>
      <c r="R1032" t="s">
        <v>20</v>
      </c>
      <c r="S1032" t="s">
        <v>4371</v>
      </c>
      <c r="T1032" t="s">
        <v>4372</v>
      </c>
      <c r="V1032" t="s">
        <v>106</v>
      </c>
      <c r="W1032" t="s">
        <v>49</v>
      </c>
      <c r="X1032" t="s">
        <v>2318</v>
      </c>
    </row>
    <row r="1033" spans="1:24" ht="12.75">
      <c r="A1033" s="1" t="str">
        <f>HYPERLINK("http://www.ofsted.gov.uk/inspection-reports/find-inspection-report/provider/ELS/133793","Ofsted FES Webpage")</f>
        <v>Ofsted FES Webpage</v>
      </c>
      <c r="B1033" t="s">
        <v>1255</v>
      </c>
      <c r="C1033">
        <v>133793</v>
      </c>
      <c r="D1033">
        <v>108319</v>
      </c>
      <c r="E1033" t="s">
        <v>410</v>
      </c>
      <c r="F1033" t="s">
        <v>63</v>
      </c>
      <c r="G1033" t="s">
        <v>971</v>
      </c>
      <c r="H1033" s="2">
        <v>41022</v>
      </c>
      <c r="I1033" s="2">
        <v>41026</v>
      </c>
      <c r="J1033" t="s">
        <v>23</v>
      </c>
      <c r="K1033" s="2">
        <v>41064.135439467595</v>
      </c>
      <c r="L1033" t="s">
        <v>1253</v>
      </c>
      <c r="M1033">
        <v>385356</v>
      </c>
      <c r="N1033">
        <v>1</v>
      </c>
      <c r="O1033">
        <v>2</v>
      </c>
      <c r="P1033" t="s">
        <v>20</v>
      </c>
      <c r="Q1033" t="s">
        <v>20</v>
      </c>
      <c r="R1033">
        <v>460</v>
      </c>
      <c r="S1033" t="s">
        <v>4200</v>
      </c>
      <c r="V1033" t="s">
        <v>410</v>
      </c>
      <c r="W1033" t="s">
        <v>1050</v>
      </c>
      <c r="X1033" t="s">
        <v>2168</v>
      </c>
    </row>
    <row r="1034" spans="1:24" ht="12.75">
      <c r="A1034" s="1" t="str">
        <f>HYPERLINK("http://www.ofsted.gov.uk/inspection-reports/find-inspection-report/provider/ELS/133794","Ofsted FES Webpage")</f>
        <v>Ofsted FES Webpage</v>
      </c>
      <c r="B1034" t="s">
        <v>1256</v>
      </c>
      <c r="C1034">
        <v>133794</v>
      </c>
      <c r="D1034">
        <v>108273</v>
      </c>
      <c r="E1034" t="s">
        <v>128</v>
      </c>
      <c r="F1034" t="s">
        <v>68</v>
      </c>
      <c r="G1034" t="s">
        <v>971</v>
      </c>
      <c r="H1034" s="2">
        <v>41695</v>
      </c>
      <c r="I1034" s="2">
        <v>41698</v>
      </c>
      <c r="J1034" t="s">
        <v>27</v>
      </c>
      <c r="K1034" s="2">
        <v>41731.135510960645</v>
      </c>
      <c r="L1034" t="s">
        <v>1248</v>
      </c>
      <c r="M1034">
        <v>429185</v>
      </c>
      <c r="N1034">
        <v>2</v>
      </c>
      <c r="O1034">
        <v>2</v>
      </c>
      <c r="P1034" t="s">
        <v>20</v>
      </c>
      <c r="Q1034" t="s">
        <v>20</v>
      </c>
      <c r="R1034" t="s">
        <v>20</v>
      </c>
      <c r="S1034" t="s">
        <v>4096</v>
      </c>
      <c r="V1034" t="s">
        <v>128</v>
      </c>
      <c r="X1034" t="s">
        <v>2319</v>
      </c>
    </row>
    <row r="1035" spans="1:24" ht="12.75">
      <c r="A1035" s="1" t="str">
        <f>HYPERLINK("http://www.ofsted.gov.uk/inspection-reports/find-inspection-report/provider/ELS/133797","Ofsted FES Webpage")</f>
        <v>Ofsted FES Webpage</v>
      </c>
      <c r="B1035" t="s">
        <v>1257</v>
      </c>
      <c r="C1035">
        <v>133797</v>
      </c>
      <c r="D1035">
        <v>108270</v>
      </c>
      <c r="E1035" t="s">
        <v>420</v>
      </c>
      <c r="F1035" t="s">
        <v>35</v>
      </c>
      <c r="G1035" t="s">
        <v>971</v>
      </c>
      <c r="H1035" s="2">
        <v>41247</v>
      </c>
      <c r="I1035" s="2">
        <v>41250</v>
      </c>
      <c r="J1035" t="s">
        <v>32</v>
      </c>
      <c r="K1035" s="2">
        <v>41290.135458715275</v>
      </c>
      <c r="L1035" t="s">
        <v>1248</v>
      </c>
      <c r="M1035">
        <v>399006</v>
      </c>
      <c r="N1035">
        <v>2</v>
      </c>
      <c r="O1035">
        <v>2</v>
      </c>
      <c r="P1035" t="s">
        <v>20</v>
      </c>
      <c r="Q1035" t="s">
        <v>20</v>
      </c>
      <c r="R1035">
        <v>371</v>
      </c>
      <c r="S1035" t="s">
        <v>4373</v>
      </c>
      <c r="V1035" t="s">
        <v>35</v>
      </c>
      <c r="X1035" t="s">
        <v>2320</v>
      </c>
    </row>
    <row r="1036" spans="1:24" ht="12.75">
      <c r="A1036" s="1" t="str">
        <f>HYPERLINK("http://www.ofsted.gov.uk/inspection-reports/find-inspection-report/provider/ELS/133804","Ofsted FES Webpage")</f>
        <v>Ofsted FES Webpage</v>
      </c>
      <c r="B1036" t="s">
        <v>1258</v>
      </c>
      <c r="C1036">
        <v>133804</v>
      </c>
      <c r="D1036">
        <v>105500</v>
      </c>
      <c r="E1036" t="s">
        <v>95</v>
      </c>
      <c r="F1036" t="s">
        <v>39</v>
      </c>
      <c r="G1036" t="s">
        <v>971</v>
      </c>
      <c r="H1036" s="2">
        <v>41653</v>
      </c>
      <c r="I1036" s="2">
        <v>41656</v>
      </c>
      <c r="J1036" t="s">
        <v>27</v>
      </c>
      <c r="K1036" s="2">
        <v>41687.13545740741</v>
      </c>
      <c r="L1036" t="s">
        <v>1248</v>
      </c>
      <c r="M1036">
        <v>429189</v>
      </c>
      <c r="N1036">
        <v>2</v>
      </c>
      <c r="O1036">
        <v>2</v>
      </c>
      <c r="P1036">
        <v>3</v>
      </c>
      <c r="Q1036">
        <v>2</v>
      </c>
      <c r="R1036">
        <v>1091</v>
      </c>
      <c r="S1036" t="s">
        <v>4374</v>
      </c>
      <c r="V1036" t="s">
        <v>2778</v>
      </c>
      <c r="W1036" t="s">
        <v>95</v>
      </c>
      <c r="X1036" t="s">
        <v>2321</v>
      </c>
    </row>
    <row r="1037" spans="1:24" ht="12.75">
      <c r="A1037" s="1" t="str">
        <f>HYPERLINK("http://www.ofsted.gov.uk/inspection-reports/find-inspection-report/provider/ELS/133808","Ofsted FES Webpage")</f>
        <v>Ofsted FES Webpage</v>
      </c>
      <c r="B1037" t="s">
        <v>1259</v>
      </c>
      <c r="C1037">
        <v>133808</v>
      </c>
      <c r="D1037">
        <v>108253</v>
      </c>
      <c r="E1037" t="s">
        <v>335</v>
      </c>
      <c r="F1037" t="s">
        <v>49</v>
      </c>
      <c r="G1037" t="s">
        <v>971</v>
      </c>
      <c r="H1037" s="2">
        <v>41723</v>
      </c>
      <c r="I1037" s="2">
        <v>41726</v>
      </c>
      <c r="J1037" t="s">
        <v>27</v>
      </c>
      <c r="K1037" s="2">
        <v>41802.13545821759</v>
      </c>
      <c r="L1037" t="s">
        <v>1248</v>
      </c>
      <c r="M1037">
        <v>429183</v>
      </c>
      <c r="N1037">
        <v>2</v>
      </c>
      <c r="O1037">
        <v>2</v>
      </c>
      <c r="P1037" t="s">
        <v>20</v>
      </c>
      <c r="Q1037" t="s">
        <v>20</v>
      </c>
      <c r="R1037">
        <v>67</v>
      </c>
      <c r="S1037" t="s">
        <v>4375</v>
      </c>
      <c r="V1037" t="s">
        <v>203</v>
      </c>
      <c r="W1037" t="s">
        <v>335</v>
      </c>
      <c r="X1037" t="s">
        <v>2322</v>
      </c>
    </row>
    <row r="1038" spans="1:24" ht="12.75">
      <c r="A1038" s="1" t="str">
        <f>HYPERLINK("http://www.ofsted.gov.uk/inspection-reports/find-inspection-report/provider/ELS/133811","Ofsted FES Webpage")</f>
        <v>Ofsted FES Webpage</v>
      </c>
      <c r="B1038" t="s">
        <v>1260</v>
      </c>
      <c r="C1038">
        <v>133811</v>
      </c>
      <c r="D1038">
        <v>105452</v>
      </c>
      <c r="E1038" t="s">
        <v>109</v>
      </c>
      <c r="F1038" t="s">
        <v>16</v>
      </c>
      <c r="G1038" t="s">
        <v>971</v>
      </c>
      <c r="H1038" s="2">
        <v>41681</v>
      </c>
      <c r="I1038" s="2">
        <v>41684</v>
      </c>
      <c r="J1038" t="s">
        <v>27</v>
      </c>
      <c r="K1038" s="2">
        <v>41719.13550428241</v>
      </c>
      <c r="L1038" t="s">
        <v>1248</v>
      </c>
      <c r="M1038">
        <v>429186</v>
      </c>
      <c r="N1038">
        <v>2</v>
      </c>
      <c r="O1038">
        <v>2</v>
      </c>
      <c r="P1038">
        <v>3</v>
      </c>
      <c r="Q1038">
        <v>3</v>
      </c>
      <c r="R1038">
        <v>4280</v>
      </c>
      <c r="S1038" t="s">
        <v>4376</v>
      </c>
      <c r="V1038" t="s">
        <v>109</v>
      </c>
      <c r="W1038" t="s">
        <v>22</v>
      </c>
      <c r="X1038" t="s">
        <v>2323</v>
      </c>
    </row>
    <row r="1039" spans="1:24" ht="12.75">
      <c r="A1039" s="1" t="str">
        <f>HYPERLINK("http://www.ofsted.gov.uk/inspection-reports/find-inspection-report/provider/ELS/133821","Ofsted FES Webpage")</f>
        <v>Ofsted FES Webpage</v>
      </c>
      <c r="B1039" t="s">
        <v>1261</v>
      </c>
      <c r="C1039">
        <v>133821</v>
      </c>
      <c r="D1039">
        <v>108241</v>
      </c>
      <c r="E1039" t="s">
        <v>350</v>
      </c>
      <c r="F1039" t="s">
        <v>43</v>
      </c>
      <c r="G1039" t="s">
        <v>971</v>
      </c>
      <c r="H1039" s="2">
        <v>40861</v>
      </c>
      <c r="I1039" s="2">
        <v>40865</v>
      </c>
      <c r="J1039" t="s">
        <v>23</v>
      </c>
      <c r="K1039" s="2">
        <v>40900.135471180554</v>
      </c>
      <c r="L1039" t="s">
        <v>1262</v>
      </c>
      <c r="M1039">
        <v>376156</v>
      </c>
      <c r="N1039">
        <v>2</v>
      </c>
      <c r="O1039">
        <v>2</v>
      </c>
      <c r="P1039" t="s">
        <v>20</v>
      </c>
      <c r="Q1039" t="s">
        <v>20</v>
      </c>
      <c r="R1039">
        <v>1212</v>
      </c>
      <c r="S1039" t="s">
        <v>4377</v>
      </c>
      <c r="V1039" t="s">
        <v>3550</v>
      </c>
      <c r="W1039" t="s">
        <v>350</v>
      </c>
      <c r="X1039" t="s">
        <v>2324</v>
      </c>
    </row>
    <row r="1040" spans="1:24" ht="12.75">
      <c r="A1040" s="1" t="str">
        <f>HYPERLINK("http://www.ofsted.gov.uk/inspection-reports/find-inspection-report/provider/ELS/133823","Ofsted FES Webpage")</f>
        <v>Ofsted FES Webpage</v>
      </c>
      <c r="B1040" t="s">
        <v>1263</v>
      </c>
      <c r="C1040">
        <v>133823</v>
      </c>
      <c r="D1040">
        <v>108245</v>
      </c>
      <c r="E1040" t="s">
        <v>42</v>
      </c>
      <c r="F1040" t="s">
        <v>43</v>
      </c>
      <c r="G1040" t="s">
        <v>971</v>
      </c>
      <c r="H1040" s="2">
        <v>41205</v>
      </c>
      <c r="I1040" s="2">
        <v>41208</v>
      </c>
      <c r="J1040" t="s">
        <v>32</v>
      </c>
      <c r="K1040" s="2">
        <v>41243.135841469906</v>
      </c>
      <c r="L1040" t="s">
        <v>1248</v>
      </c>
      <c r="M1040">
        <v>410058</v>
      </c>
      <c r="N1040">
        <v>2</v>
      </c>
      <c r="O1040">
        <v>3</v>
      </c>
      <c r="P1040" t="s">
        <v>20</v>
      </c>
      <c r="Q1040" t="s">
        <v>20</v>
      </c>
      <c r="R1040" t="s">
        <v>20</v>
      </c>
      <c r="S1040" t="s">
        <v>4378</v>
      </c>
      <c r="V1040" t="s">
        <v>2931</v>
      </c>
      <c r="W1040" t="s">
        <v>42</v>
      </c>
      <c r="X1040" t="s">
        <v>2325</v>
      </c>
    </row>
    <row r="1041" spans="1:24" ht="12.75">
      <c r="A1041" s="1" t="str">
        <f>HYPERLINK("http://www.ofsted.gov.uk/inspection-reports/find-inspection-report/provider/ELS/133833","Ofsted FES Webpage")</f>
        <v>Ofsted FES Webpage</v>
      </c>
      <c r="B1041" t="s">
        <v>1264</v>
      </c>
      <c r="C1041">
        <v>133833</v>
      </c>
      <c r="D1041">
        <v>108264</v>
      </c>
      <c r="E1041" t="s">
        <v>397</v>
      </c>
      <c r="F1041" t="s">
        <v>16</v>
      </c>
      <c r="G1041" t="s">
        <v>971</v>
      </c>
      <c r="H1041" s="2">
        <v>41589</v>
      </c>
      <c r="I1041" s="2">
        <v>41592</v>
      </c>
      <c r="J1041" t="s">
        <v>27</v>
      </c>
      <c r="K1041" s="2">
        <v>41624.13544895833</v>
      </c>
      <c r="L1041" t="s">
        <v>1248</v>
      </c>
      <c r="M1041">
        <v>408444</v>
      </c>
      <c r="N1041">
        <v>2</v>
      </c>
      <c r="O1041">
        <v>3</v>
      </c>
      <c r="P1041" t="s">
        <v>20</v>
      </c>
      <c r="Q1041" t="s">
        <v>20</v>
      </c>
      <c r="R1041">
        <v>162</v>
      </c>
      <c r="S1041" t="s">
        <v>4379</v>
      </c>
      <c r="V1041" t="s">
        <v>397</v>
      </c>
      <c r="W1041" t="s">
        <v>399</v>
      </c>
      <c r="X1041" t="s">
        <v>2326</v>
      </c>
    </row>
    <row r="1042" spans="1:24" ht="12.75">
      <c r="A1042" s="1" t="str">
        <f>HYPERLINK("http://www.ofsted.gov.uk/inspection-reports/find-inspection-report/provider/ELS/133834","Ofsted FES Webpage")</f>
        <v>Ofsted FES Webpage</v>
      </c>
      <c r="B1042" t="s">
        <v>1265</v>
      </c>
      <c r="C1042">
        <v>133834</v>
      </c>
      <c r="D1042">
        <v>108247</v>
      </c>
      <c r="E1042" t="s">
        <v>399</v>
      </c>
      <c r="F1042" t="s">
        <v>16</v>
      </c>
      <c r="G1042" t="s">
        <v>971</v>
      </c>
      <c r="H1042" s="2">
        <v>41226</v>
      </c>
      <c r="I1042" s="2">
        <v>41229</v>
      </c>
      <c r="J1042" t="s">
        <v>32</v>
      </c>
      <c r="K1042" s="2">
        <v>41264.13550366898</v>
      </c>
      <c r="L1042" t="s">
        <v>1248</v>
      </c>
      <c r="M1042">
        <v>399138</v>
      </c>
      <c r="N1042">
        <v>2</v>
      </c>
      <c r="O1042">
        <v>3</v>
      </c>
      <c r="P1042" t="s">
        <v>20</v>
      </c>
      <c r="Q1042" t="s">
        <v>20</v>
      </c>
      <c r="R1042" t="s">
        <v>20</v>
      </c>
      <c r="S1042" t="s">
        <v>4380</v>
      </c>
      <c r="V1042" t="s">
        <v>2369</v>
      </c>
      <c r="W1042" t="s">
        <v>399</v>
      </c>
      <c r="X1042" t="s">
        <v>2327</v>
      </c>
    </row>
    <row r="1043" spans="1:24" ht="12.75">
      <c r="A1043" s="1" t="str">
        <f>HYPERLINK("http://www.ofsted.gov.uk/inspection-reports/find-inspection-report/provider/ELS/133836","Ofsted FES Webpage")</f>
        <v>Ofsted FES Webpage</v>
      </c>
      <c r="B1043" t="s">
        <v>1266</v>
      </c>
      <c r="C1043">
        <v>133836</v>
      </c>
      <c r="D1043">
        <v>111634</v>
      </c>
      <c r="E1043" t="s">
        <v>234</v>
      </c>
      <c r="F1043" t="s">
        <v>16</v>
      </c>
      <c r="G1043" t="s">
        <v>971</v>
      </c>
      <c r="H1043" s="2">
        <v>41674</v>
      </c>
      <c r="I1043" s="2">
        <v>41677</v>
      </c>
      <c r="J1043" t="s">
        <v>27</v>
      </c>
      <c r="K1043" s="2">
        <v>41711.13547731481</v>
      </c>
      <c r="L1043" t="s">
        <v>1248</v>
      </c>
      <c r="M1043">
        <v>429187</v>
      </c>
      <c r="N1043">
        <v>2</v>
      </c>
      <c r="O1043">
        <v>2</v>
      </c>
      <c r="P1043">
        <v>3</v>
      </c>
      <c r="Q1043">
        <v>4</v>
      </c>
      <c r="R1043">
        <v>811</v>
      </c>
      <c r="S1043" t="s">
        <v>4381</v>
      </c>
      <c r="T1043" t="s">
        <v>4382</v>
      </c>
      <c r="V1043" t="s">
        <v>2469</v>
      </c>
      <c r="W1043" t="s">
        <v>234</v>
      </c>
      <c r="X1043" t="s">
        <v>2328</v>
      </c>
    </row>
    <row r="1044" spans="1:24" ht="12.75">
      <c r="A1044" s="1" t="str">
        <f>HYPERLINK("http://www.ofsted.gov.uk/inspection-reports/find-inspection-report/provider/ELS/133844","Ofsted FES Webpage")</f>
        <v>Ofsted FES Webpage</v>
      </c>
      <c r="B1044" t="s">
        <v>1267</v>
      </c>
      <c r="C1044">
        <v>133844</v>
      </c>
      <c r="D1044">
        <v>108252</v>
      </c>
      <c r="E1044" t="s">
        <v>446</v>
      </c>
      <c r="F1044" t="s">
        <v>68</v>
      </c>
      <c r="G1044" t="s">
        <v>971</v>
      </c>
      <c r="H1044" s="2">
        <v>41247</v>
      </c>
      <c r="I1044" s="2">
        <v>41250</v>
      </c>
      <c r="J1044" t="s">
        <v>32</v>
      </c>
      <c r="K1044" s="2">
        <v>41284.13551388889</v>
      </c>
      <c r="L1044" t="s">
        <v>1248</v>
      </c>
      <c r="M1044">
        <v>399007</v>
      </c>
      <c r="N1044">
        <v>1</v>
      </c>
      <c r="O1044">
        <v>2</v>
      </c>
      <c r="P1044" t="s">
        <v>20</v>
      </c>
      <c r="Q1044" t="s">
        <v>20</v>
      </c>
      <c r="R1044" t="s">
        <v>20</v>
      </c>
      <c r="S1044" t="s">
        <v>3391</v>
      </c>
      <c r="T1044" t="s">
        <v>3693</v>
      </c>
      <c r="V1044" t="s">
        <v>446</v>
      </c>
      <c r="X1044" t="s">
        <v>2329</v>
      </c>
    </row>
    <row r="1045" spans="1:24" ht="12.75">
      <c r="A1045" s="1" t="str">
        <f>HYPERLINK("http://www.ofsted.gov.uk/inspection-reports/find-inspection-report/provider/ELS/133855","Ofsted FES Webpage")</f>
        <v>Ofsted FES Webpage</v>
      </c>
      <c r="B1045" t="s">
        <v>1268</v>
      </c>
      <c r="C1045">
        <v>133855</v>
      </c>
      <c r="D1045">
        <v>108274</v>
      </c>
      <c r="E1045" t="s">
        <v>51</v>
      </c>
      <c r="F1045" t="s">
        <v>16</v>
      </c>
      <c r="G1045" t="s">
        <v>971</v>
      </c>
      <c r="H1045" s="2">
        <v>41716</v>
      </c>
      <c r="I1045" s="2">
        <v>41719</v>
      </c>
      <c r="J1045" t="s">
        <v>27</v>
      </c>
      <c r="K1045" s="2">
        <v>41754.13549892361</v>
      </c>
      <c r="L1045" t="s">
        <v>1269</v>
      </c>
      <c r="M1045">
        <v>429250</v>
      </c>
      <c r="N1045">
        <v>2</v>
      </c>
      <c r="O1045">
        <v>2</v>
      </c>
      <c r="P1045">
        <v>3</v>
      </c>
      <c r="Q1045">
        <v>3</v>
      </c>
      <c r="R1045">
        <v>213</v>
      </c>
      <c r="S1045" t="s">
        <v>4383</v>
      </c>
      <c r="V1045" t="s">
        <v>15</v>
      </c>
      <c r="W1045" t="s">
        <v>51</v>
      </c>
      <c r="X1045" t="s">
        <v>2330</v>
      </c>
    </row>
    <row r="1046" spans="1:24" ht="12.75">
      <c r="A1046" s="1" t="str">
        <f>HYPERLINK("http://www.ofsted.gov.uk/inspection-reports/find-inspection-report/provider/ELS/133864","Ofsted FES Webpage")</f>
        <v>Ofsted FES Webpage</v>
      </c>
      <c r="B1046" t="s">
        <v>1270</v>
      </c>
      <c r="C1046">
        <v>133864</v>
      </c>
      <c r="D1046">
        <v>108254</v>
      </c>
      <c r="E1046" t="s">
        <v>91</v>
      </c>
      <c r="F1046" t="s">
        <v>43</v>
      </c>
      <c r="G1046" t="s">
        <v>971</v>
      </c>
      <c r="H1046" s="2">
        <v>41604</v>
      </c>
      <c r="I1046" s="2">
        <v>41607</v>
      </c>
      <c r="J1046" t="s">
        <v>27</v>
      </c>
      <c r="K1046" s="2">
        <v>41647.13549976852</v>
      </c>
      <c r="L1046" t="s">
        <v>1248</v>
      </c>
      <c r="M1046">
        <v>399161</v>
      </c>
      <c r="N1046">
        <v>2</v>
      </c>
      <c r="O1046">
        <v>2</v>
      </c>
      <c r="P1046" t="s">
        <v>20</v>
      </c>
      <c r="Q1046" t="s">
        <v>20</v>
      </c>
      <c r="R1046" t="s">
        <v>20</v>
      </c>
      <c r="S1046" t="s">
        <v>4384</v>
      </c>
      <c r="T1046" t="s">
        <v>2533</v>
      </c>
      <c r="U1046" t="s">
        <v>4385</v>
      </c>
      <c r="V1046" t="s">
        <v>2515</v>
      </c>
      <c r="W1046" t="s">
        <v>91</v>
      </c>
      <c r="X1046" t="s">
        <v>2331</v>
      </c>
    </row>
    <row r="1047" spans="1:24" ht="12.75">
      <c r="A1047" s="1" t="str">
        <f>HYPERLINK("http://www.ofsted.gov.uk/inspection-reports/find-inspection-report/provider/ELS/133878","Ofsted FES Webpage")</f>
        <v>Ofsted FES Webpage</v>
      </c>
      <c r="B1047" t="s">
        <v>1271</v>
      </c>
      <c r="C1047">
        <v>133878</v>
      </c>
      <c r="D1047">
        <v>108981</v>
      </c>
      <c r="E1047" t="s">
        <v>592</v>
      </c>
      <c r="F1047" t="s">
        <v>43</v>
      </c>
      <c r="G1047" t="s">
        <v>971</v>
      </c>
      <c r="H1047" s="2">
        <v>40882</v>
      </c>
      <c r="I1047" s="2">
        <v>40886</v>
      </c>
      <c r="J1047" t="s">
        <v>23</v>
      </c>
      <c r="K1047" s="2">
        <v>40926.135479398145</v>
      </c>
      <c r="L1047" t="s">
        <v>1262</v>
      </c>
      <c r="M1047">
        <v>376157</v>
      </c>
      <c r="N1047">
        <v>1</v>
      </c>
      <c r="O1047">
        <v>2</v>
      </c>
      <c r="P1047" t="s">
        <v>20</v>
      </c>
      <c r="Q1047" t="s">
        <v>20</v>
      </c>
      <c r="R1047" t="s">
        <v>20</v>
      </c>
      <c r="S1047" t="s">
        <v>4386</v>
      </c>
      <c r="V1047" t="s">
        <v>592</v>
      </c>
      <c r="W1047" t="s">
        <v>59</v>
      </c>
      <c r="X1047" t="s">
        <v>2332</v>
      </c>
    </row>
    <row r="1048" spans="1:24" ht="12.75">
      <c r="A1048" s="1" t="str">
        <f>HYPERLINK("http://www.ofsted.gov.uk/inspection-reports/find-inspection-report/provider/ELS/133881","Ofsted FES Webpage")</f>
        <v>Ofsted FES Webpage</v>
      </c>
      <c r="B1048" t="s">
        <v>1272</v>
      </c>
      <c r="C1048">
        <v>133881</v>
      </c>
      <c r="D1048">
        <v>108263</v>
      </c>
      <c r="E1048" t="s">
        <v>97</v>
      </c>
      <c r="F1048" t="s">
        <v>26</v>
      </c>
      <c r="G1048" t="s">
        <v>971</v>
      </c>
      <c r="H1048" s="2">
        <v>41702</v>
      </c>
      <c r="I1048" s="2">
        <v>41705</v>
      </c>
      <c r="J1048" t="s">
        <v>27</v>
      </c>
      <c r="K1048" s="2">
        <v>41738.13549201389</v>
      </c>
      <c r="L1048" t="s">
        <v>1248</v>
      </c>
      <c r="M1048">
        <v>429188</v>
      </c>
      <c r="N1048">
        <v>1</v>
      </c>
      <c r="O1048">
        <v>1</v>
      </c>
      <c r="P1048" t="s">
        <v>20</v>
      </c>
      <c r="Q1048" t="s">
        <v>20</v>
      </c>
      <c r="R1048" t="s">
        <v>20</v>
      </c>
      <c r="S1048" t="s">
        <v>4387</v>
      </c>
      <c r="T1048" t="s">
        <v>4388</v>
      </c>
      <c r="V1048" t="s">
        <v>97</v>
      </c>
      <c r="W1048" t="s">
        <v>2354</v>
      </c>
      <c r="X1048" t="s">
        <v>2333</v>
      </c>
    </row>
    <row r="1049" spans="1:24" ht="12.75">
      <c r="A1049" s="1" t="str">
        <f>HYPERLINK("http://www.ofsted.gov.uk/inspection-reports/find-inspection-report/provider/ELS/133900","Ofsted FES Webpage")</f>
        <v>Ofsted FES Webpage</v>
      </c>
      <c r="B1049" t="s">
        <v>1273</v>
      </c>
      <c r="C1049">
        <v>133900</v>
      </c>
      <c r="D1049">
        <v>108268</v>
      </c>
      <c r="E1049" t="s">
        <v>291</v>
      </c>
      <c r="F1049" t="s">
        <v>35</v>
      </c>
      <c r="G1049" t="s">
        <v>971</v>
      </c>
      <c r="H1049" s="2">
        <v>40931</v>
      </c>
      <c r="I1049" s="2">
        <v>40935</v>
      </c>
      <c r="J1049" t="s">
        <v>23</v>
      </c>
      <c r="K1049" s="2">
        <v>40970.13566982639</v>
      </c>
      <c r="L1049" t="s">
        <v>1253</v>
      </c>
      <c r="M1049">
        <v>386024</v>
      </c>
      <c r="N1049">
        <v>2</v>
      </c>
      <c r="O1049">
        <v>2</v>
      </c>
      <c r="P1049" t="s">
        <v>20</v>
      </c>
      <c r="Q1049" t="s">
        <v>20</v>
      </c>
      <c r="R1049">
        <v>80</v>
      </c>
      <c r="S1049" t="s">
        <v>4389</v>
      </c>
      <c r="V1049" t="s">
        <v>35</v>
      </c>
      <c r="X1049" t="s">
        <v>2334</v>
      </c>
    </row>
    <row r="1050" spans="1:24" ht="12.75">
      <c r="A1050" s="1" t="str">
        <f>HYPERLINK("http://www.ofsted.gov.uk/inspection-reports/find-inspection-report/provider/ELS/133901","Ofsted FES Webpage")</f>
        <v>Ofsted FES Webpage</v>
      </c>
      <c r="B1050" t="s">
        <v>1274</v>
      </c>
      <c r="C1050">
        <v>133901</v>
      </c>
      <c r="D1050">
        <v>108331</v>
      </c>
      <c r="E1050" t="s">
        <v>77</v>
      </c>
      <c r="F1050" t="s">
        <v>35</v>
      </c>
      <c r="G1050" t="s">
        <v>971</v>
      </c>
      <c r="H1050" s="2">
        <v>41618</v>
      </c>
      <c r="I1050" s="2">
        <v>41621</v>
      </c>
      <c r="J1050" t="s">
        <v>27</v>
      </c>
      <c r="K1050" s="2">
        <v>41659.135450891205</v>
      </c>
      <c r="L1050" t="s">
        <v>1248</v>
      </c>
      <c r="M1050">
        <v>420015</v>
      </c>
      <c r="N1050">
        <v>1</v>
      </c>
      <c r="O1050">
        <v>1</v>
      </c>
      <c r="P1050">
        <v>3</v>
      </c>
      <c r="Q1050">
        <v>3</v>
      </c>
      <c r="R1050">
        <v>383</v>
      </c>
      <c r="S1050" t="s">
        <v>4390</v>
      </c>
      <c r="T1050" t="s">
        <v>4391</v>
      </c>
      <c r="U1050" t="s">
        <v>77</v>
      </c>
      <c r="V1050" t="s">
        <v>35</v>
      </c>
      <c r="X1050" t="s">
        <v>2335</v>
      </c>
    </row>
    <row r="1051" spans="1:24" ht="12.75">
      <c r="A1051" s="1" t="str">
        <f>HYPERLINK("http://www.ofsted.gov.uk/inspection-reports/find-inspection-report/provider/ELS/133991","Ofsted FES Webpage")</f>
        <v>Ofsted FES Webpage</v>
      </c>
      <c r="B1051" t="s">
        <v>1275</v>
      </c>
      <c r="C1051">
        <v>133991</v>
      </c>
      <c r="D1051">
        <v>115686</v>
      </c>
      <c r="E1051" t="s">
        <v>25</v>
      </c>
      <c r="F1051" t="s">
        <v>26</v>
      </c>
      <c r="G1051" t="s">
        <v>862</v>
      </c>
      <c r="H1051" s="2">
        <v>41758</v>
      </c>
      <c r="I1051" s="2">
        <v>41761</v>
      </c>
      <c r="J1051" t="s">
        <v>27</v>
      </c>
      <c r="K1051" s="2">
        <v>41797.135457094904</v>
      </c>
      <c r="L1051" t="s">
        <v>897</v>
      </c>
      <c r="M1051">
        <v>429293</v>
      </c>
      <c r="N1051">
        <v>3</v>
      </c>
      <c r="O1051">
        <v>3</v>
      </c>
      <c r="P1051">
        <v>3</v>
      </c>
      <c r="Q1051">
        <v>3</v>
      </c>
      <c r="R1051">
        <v>1286</v>
      </c>
      <c r="S1051" t="s">
        <v>4392</v>
      </c>
      <c r="V1051" t="s">
        <v>25</v>
      </c>
      <c r="W1051" t="s">
        <v>2586</v>
      </c>
      <c r="X1051" t="s">
        <v>2336</v>
      </c>
    </row>
    <row r="1052" spans="1:24" ht="12.75">
      <c r="A1052" s="1" t="str">
        <f>HYPERLINK("http://www.ofsted.gov.uk/inspection-reports/find-inspection-report/provider/ELS/134143","Ofsted FES Webpage")</f>
        <v>Ofsted FES Webpage</v>
      </c>
      <c r="B1052" t="s">
        <v>1276</v>
      </c>
      <c r="C1052">
        <v>134143</v>
      </c>
      <c r="D1052">
        <v>114838</v>
      </c>
      <c r="E1052" t="s">
        <v>446</v>
      </c>
      <c r="F1052" t="s">
        <v>68</v>
      </c>
      <c r="G1052" t="s">
        <v>473</v>
      </c>
      <c r="H1052" s="2">
        <v>41535</v>
      </c>
      <c r="I1052" s="2">
        <v>41537</v>
      </c>
      <c r="J1052" t="s">
        <v>27</v>
      </c>
      <c r="K1052" s="2">
        <v>41569.13546466435</v>
      </c>
      <c r="L1052" t="s">
        <v>474</v>
      </c>
      <c r="M1052">
        <v>423405</v>
      </c>
      <c r="N1052">
        <v>2</v>
      </c>
      <c r="O1052">
        <v>2</v>
      </c>
      <c r="P1052">
        <v>2</v>
      </c>
      <c r="Q1052">
        <v>2</v>
      </c>
      <c r="R1052">
        <v>91</v>
      </c>
      <c r="S1052" t="s">
        <v>4098</v>
      </c>
      <c r="T1052" t="s">
        <v>4100</v>
      </c>
      <c r="V1052" t="s">
        <v>446</v>
      </c>
      <c r="X1052" t="s">
        <v>2337</v>
      </c>
    </row>
    <row r="1053" spans="1:24" ht="12.75">
      <c r="A1053" s="1" t="str">
        <f>HYPERLINK("http://www.ofsted.gov.uk/inspection-reports/find-inspection-report/provider/ELS/134153","Ofsted FES Webpage")</f>
        <v>Ofsted FES Webpage</v>
      </c>
      <c r="B1053" t="s">
        <v>1277</v>
      </c>
      <c r="C1053">
        <v>134153</v>
      </c>
      <c r="D1053">
        <v>116105</v>
      </c>
      <c r="E1053" t="s">
        <v>91</v>
      </c>
      <c r="F1053" t="s">
        <v>43</v>
      </c>
      <c r="G1053" t="s">
        <v>849</v>
      </c>
      <c r="H1053" s="2">
        <v>41617</v>
      </c>
      <c r="I1053" s="2">
        <v>41621</v>
      </c>
      <c r="J1053" t="s">
        <v>27</v>
      </c>
      <c r="K1053" s="2">
        <v>41661.13549209491</v>
      </c>
      <c r="L1053" t="s">
        <v>850</v>
      </c>
      <c r="M1053">
        <v>424324</v>
      </c>
      <c r="N1053">
        <v>2</v>
      </c>
      <c r="O1053">
        <v>2</v>
      </c>
      <c r="P1053">
        <v>2</v>
      </c>
      <c r="Q1053">
        <v>2</v>
      </c>
      <c r="R1053">
        <v>16968</v>
      </c>
      <c r="S1053" t="s">
        <v>4393</v>
      </c>
      <c r="V1053" t="s">
        <v>2515</v>
      </c>
      <c r="W1053" t="s">
        <v>91</v>
      </c>
      <c r="X1053" t="s">
        <v>2258</v>
      </c>
    </row>
    <row r="1054" spans="1:24" ht="12.75">
      <c r="A1054" s="1" t="str">
        <f>HYPERLINK("http://www.ofsted.gov.uk/inspection-reports/find-inspection-report/provider/ELS/134916","Ofsted FES Webpage")</f>
        <v>Ofsted FES Webpage</v>
      </c>
      <c r="B1054" t="s">
        <v>1278</v>
      </c>
      <c r="C1054">
        <v>134916</v>
      </c>
      <c r="D1054">
        <v>117297</v>
      </c>
      <c r="E1054" t="s">
        <v>172</v>
      </c>
      <c r="F1054" t="s">
        <v>26</v>
      </c>
      <c r="G1054" t="s">
        <v>849</v>
      </c>
      <c r="H1054" s="2">
        <v>41772</v>
      </c>
      <c r="I1054" s="2">
        <v>41775</v>
      </c>
      <c r="J1054" t="s">
        <v>27</v>
      </c>
      <c r="K1054" s="2">
        <v>41810.135478125</v>
      </c>
      <c r="L1054" t="s">
        <v>850</v>
      </c>
      <c r="M1054">
        <v>434088</v>
      </c>
      <c r="N1054">
        <v>2</v>
      </c>
      <c r="O1054">
        <v>2</v>
      </c>
      <c r="P1054">
        <v>3</v>
      </c>
      <c r="Q1054">
        <v>3</v>
      </c>
      <c r="R1054">
        <v>5314</v>
      </c>
      <c r="S1054" t="s">
        <v>4394</v>
      </c>
      <c r="V1054" t="s">
        <v>2960</v>
      </c>
      <c r="W1054" t="s">
        <v>2354</v>
      </c>
      <c r="X1054" t="s">
        <v>2338</v>
      </c>
    </row>
    <row r="1055" spans="1:24" ht="12.75">
      <c r="A1055" s="1" t="str">
        <f>HYPERLINK("http://www.ofsted.gov.uk/inspection-reports/find-inspection-report/provider/ELS/135524","Ofsted FES Webpage")</f>
        <v>Ofsted FES Webpage</v>
      </c>
      <c r="B1055" t="s">
        <v>1279</v>
      </c>
      <c r="C1055">
        <v>135524</v>
      </c>
      <c r="D1055">
        <v>118446</v>
      </c>
      <c r="E1055" t="s">
        <v>446</v>
      </c>
      <c r="F1055" t="s">
        <v>68</v>
      </c>
      <c r="G1055" t="s">
        <v>849</v>
      </c>
      <c r="H1055" s="2">
        <v>41771</v>
      </c>
      <c r="I1055" s="2">
        <v>41775</v>
      </c>
      <c r="J1055" t="s">
        <v>27</v>
      </c>
      <c r="K1055" s="2">
        <v>41810.135446493055</v>
      </c>
      <c r="L1055" t="s">
        <v>850</v>
      </c>
      <c r="M1055">
        <v>409444</v>
      </c>
      <c r="N1055">
        <v>2</v>
      </c>
      <c r="O1055">
        <v>2</v>
      </c>
      <c r="P1055">
        <v>3</v>
      </c>
      <c r="Q1055">
        <v>3</v>
      </c>
      <c r="R1055">
        <v>60844</v>
      </c>
      <c r="S1055" t="s">
        <v>4395</v>
      </c>
      <c r="T1055" t="s">
        <v>4396</v>
      </c>
      <c r="U1055" t="s">
        <v>4099</v>
      </c>
      <c r="V1055" t="s">
        <v>446</v>
      </c>
      <c r="W1055" t="s">
        <v>2517</v>
      </c>
      <c r="X1055" t="s">
        <v>2075</v>
      </c>
    </row>
    <row r="1056" spans="1:24" ht="12.75">
      <c r="A1056" s="1" t="str">
        <f>HYPERLINK("http://www.ofsted.gov.uk/inspection-reports/find-inspection-report/provider/ELS/135658","Ofsted FES Webpage")</f>
        <v>Ofsted FES Webpage</v>
      </c>
      <c r="B1056" t="s">
        <v>1280</v>
      </c>
      <c r="C1056">
        <v>135658</v>
      </c>
      <c r="D1056">
        <v>118791</v>
      </c>
      <c r="E1056" t="s">
        <v>213</v>
      </c>
      <c r="F1056" t="s">
        <v>49</v>
      </c>
      <c r="G1056" t="s">
        <v>849</v>
      </c>
      <c r="H1056" s="2">
        <v>41379</v>
      </c>
      <c r="I1056" s="2">
        <v>41383</v>
      </c>
      <c r="J1056" t="s">
        <v>32</v>
      </c>
      <c r="K1056" s="2">
        <v>41422.135495601855</v>
      </c>
      <c r="L1056" t="s">
        <v>850</v>
      </c>
      <c r="M1056">
        <v>410619</v>
      </c>
      <c r="N1056">
        <v>2</v>
      </c>
      <c r="O1056">
        <v>2</v>
      </c>
      <c r="P1056">
        <v>3</v>
      </c>
      <c r="Q1056">
        <v>3</v>
      </c>
      <c r="R1056">
        <v>5942</v>
      </c>
      <c r="S1056" t="s">
        <v>3921</v>
      </c>
      <c r="V1056" t="s">
        <v>2581</v>
      </c>
      <c r="W1056" t="s">
        <v>213</v>
      </c>
      <c r="X1056" t="s">
        <v>2270</v>
      </c>
    </row>
    <row r="1057" spans="1:24" ht="12.75">
      <c r="A1057" s="1" t="str">
        <f>HYPERLINK("http://www.ofsted.gov.uk/inspection-reports/find-inspection-report/provider/ELS/135659","Ofsted FES Webpage")</f>
        <v>Ofsted FES Webpage</v>
      </c>
      <c r="B1057" t="s">
        <v>1281</v>
      </c>
      <c r="C1057">
        <v>135659</v>
      </c>
      <c r="D1057">
        <v>118701</v>
      </c>
      <c r="E1057" t="s">
        <v>552</v>
      </c>
      <c r="F1057" t="s">
        <v>68</v>
      </c>
      <c r="G1057" t="s">
        <v>862</v>
      </c>
      <c r="H1057" s="2">
        <v>41338</v>
      </c>
      <c r="I1057" s="2">
        <v>41341</v>
      </c>
      <c r="J1057" t="s">
        <v>32</v>
      </c>
      <c r="K1057" s="2">
        <v>41376.13568121528</v>
      </c>
      <c r="L1057" t="s">
        <v>875</v>
      </c>
      <c r="M1057">
        <v>409580</v>
      </c>
      <c r="N1057">
        <v>1</v>
      </c>
      <c r="O1057">
        <v>1</v>
      </c>
      <c r="P1057" t="s">
        <v>20</v>
      </c>
      <c r="Q1057" t="s">
        <v>20</v>
      </c>
      <c r="R1057">
        <v>1002</v>
      </c>
      <c r="S1057" t="s">
        <v>2881</v>
      </c>
      <c r="V1057" t="s">
        <v>552</v>
      </c>
      <c r="W1057" t="s">
        <v>170</v>
      </c>
      <c r="X1057" t="s">
        <v>2339</v>
      </c>
    </row>
    <row r="1058" spans="1:24" ht="12.75">
      <c r="A1058" s="1" t="str">
        <f>HYPERLINK("http://www.ofsted.gov.uk/inspection-reports/find-inspection-report/provider/ELS/135771","Ofsted FES Webpage")</f>
        <v>Ofsted FES Webpage</v>
      </c>
      <c r="B1058" t="s">
        <v>1282</v>
      </c>
      <c r="C1058">
        <v>135771</v>
      </c>
      <c r="D1058">
        <v>118778</v>
      </c>
      <c r="E1058" t="s">
        <v>201</v>
      </c>
      <c r="F1058" t="s">
        <v>26</v>
      </c>
      <c r="G1058" t="s">
        <v>849</v>
      </c>
      <c r="H1058" s="2">
        <v>41043</v>
      </c>
      <c r="I1058" s="2">
        <v>41047</v>
      </c>
      <c r="J1058" t="s">
        <v>23</v>
      </c>
      <c r="K1058" s="2">
        <v>41082.135547418984</v>
      </c>
      <c r="L1058" t="s">
        <v>858</v>
      </c>
      <c r="M1058">
        <v>388014</v>
      </c>
      <c r="N1058">
        <v>2</v>
      </c>
      <c r="O1058">
        <v>2</v>
      </c>
      <c r="P1058" t="s">
        <v>20</v>
      </c>
      <c r="Q1058" t="s">
        <v>20</v>
      </c>
      <c r="R1058">
        <v>35843</v>
      </c>
      <c r="S1058" t="s">
        <v>4129</v>
      </c>
      <c r="U1058" t="s">
        <v>4397</v>
      </c>
      <c r="V1058" t="s">
        <v>201</v>
      </c>
      <c r="W1058" t="s">
        <v>2389</v>
      </c>
      <c r="X1058" t="s">
        <v>2100</v>
      </c>
    </row>
    <row r="1059" spans="1:24" ht="12.75">
      <c r="A1059" s="1" t="str">
        <f>HYPERLINK("http://www.ofsted.gov.uk/inspection-reports/find-inspection-report/provider/ELS/136255","Ofsted FES Webpage")</f>
        <v>Ofsted FES Webpage</v>
      </c>
      <c r="B1059" t="s">
        <v>1283</v>
      </c>
      <c r="C1059">
        <v>136255</v>
      </c>
      <c r="D1059">
        <v>119690</v>
      </c>
      <c r="E1059" t="s">
        <v>365</v>
      </c>
      <c r="F1059" t="s">
        <v>39</v>
      </c>
      <c r="G1059" t="s">
        <v>862</v>
      </c>
      <c r="H1059" s="2">
        <v>41667</v>
      </c>
      <c r="I1059" s="2">
        <v>41670</v>
      </c>
      <c r="J1059" t="s">
        <v>27</v>
      </c>
      <c r="K1059" s="2">
        <v>41698.13547230324</v>
      </c>
      <c r="L1059" t="s">
        <v>875</v>
      </c>
      <c r="M1059">
        <v>429176</v>
      </c>
      <c r="N1059">
        <v>3</v>
      </c>
      <c r="O1059">
        <v>3</v>
      </c>
      <c r="P1059" t="s">
        <v>20</v>
      </c>
      <c r="Q1059" t="s">
        <v>20</v>
      </c>
      <c r="R1059">
        <v>542</v>
      </c>
      <c r="S1059" t="s">
        <v>4398</v>
      </c>
      <c r="V1059" t="s">
        <v>3036</v>
      </c>
      <c r="W1059" t="s">
        <v>365</v>
      </c>
      <c r="X1059" t="s">
        <v>2340</v>
      </c>
    </row>
    <row r="1060" spans="1:24" ht="12.75">
      <c r="A1060" s="1" t="str">
        <f>HYPERLINK("http://www.ofsted.gov.uk/inspection-reports/find-inspection-report/provider/ELS/138262","Ofsted FES Webpage")</f>
        <v>Ofsted FES Webpage</v>
      </c>
      <c r="B1060" t="s">
        <v>1284</v>
      </c>
      <c r="C1060">
        <v>138262</v>
      </c>
      <c r="D1060">
        <v>122804</v>
      </c>
      <c r="E1060" t="s">
        <v>436</v>
      </c>
      <c r="F1060" t="s">
        <v>35</v>
      </c>
      <c r="G1060" t="s">
        <v>20</v>
      </c>
      <c r="H1060" s="2">
        <v>41765</v>
      </c>
      <c r="I1060" s="2">
        <v>41768</v>
      </c>
      <c r="J1060" t="s">
        <v>27</v>
      </c>
      <c r="K1060" s="2">
        <v>41806.13564991898</v>
      </c>
      <c r="L1060" t="s">
        <v>1285</v>
      </c>
      <c r="M1060">
        <v>443325</v>
      </c>
      <c r="N1060">
        <v>1</v>
      </c>
      <c r="O1060">
        <v>1</v>
      </c>
      <c r="P1060" t="s">
        <v>20</v>
      </c>
      <c r="Q1060" t="s">
        <v>20</v>
      </c>
      <c r="R1060">
        <v>332</v>
      </c>
      <c r="S1060" t="s">
        <v>4399</v>
      </c>
      <c r="T1060" t="s">
        <v>4400</v>
      </c>
      <c r="V1060" t="s">
        <v>35</v>
      </c>
      <c r="X1060" t="s">
        <v>2341</v>
      </c>
    </row>
    <row r="1061" spans="1:24" ht="12.75">
      <c r="A1061" s="1" t="str">
        <f>HYPERLINK("http://www.ofsted.gov.uk/inspection-reports/find-inspection-report/provider/ELS/138403","Ofsted FES Webpage")</f>
        <v>Ofsted FES Webpage</v>
      </c>
      <c r="B1061" t="s">
        <v>1286</v>
      </c>
      <c r="C1061">
        <v>138403</v>
      </c>
      <c r="D1061">
        <v>121994</v>
      </c>
      <c r="E1061" t="s">
        <v>207</v>
      </c>
      <c r="F1061" t="s">
        <v>35</v>
      </c>
      <c r="G1061" t="s">
        <v>20</v>
      </c>
      <c r="H1061" s="2">
        <v>41716</v>
      </c>
      <c r="I1061" s="2">
        <v>41719</v>
      </c>
      <c r="J1061" t="s">
        <v>27</v>
      </c>
      <c r="K1061" s="2">
        <v>41758.13560304398</v>
      </c>
      <c r="L1061" t="s">
        <v>1285</v>
      </c>
      <c r="M1061">
        <v>430419</v>
      </c>
      <c r="N1061">
        <v>2</v>
      </c>
      <c r="O1061">
        <v>2</v>
      </c>
      <c r="P1061" t="s">
        <v>20</v>
      </c>
      <c r="Q1061" t="s">
        <v>20</v>
      </c>
      <c r="R1061">
        <v>195</v>
      </c>
      <c r="S1061" t="s">
        <v>4401</v>
      </c>
      <c r="T1061" t="s">
        <v>3307</v>
      </c>
      <c r="V1061" t="s">
        <v>35</v>
      </c>
      <c r="X1061" t="s">
        <v>2342</v>
      </c>
    </row>
    <row r="1062" spans="1:24" ht="12.75">
      <c r="A1062" s="1" t="str">
        <f>HYPERLINK("http://www.ofsted.gov.uk/inspection-reports/find-inspection-report/provider/ELS/138670","Ofsted FES Webpage")</f>
        <v>Ofsted FES Webpage</v>
      </c>
      <c r="B1062" t="s">
        <v>1287</v>
      </c>
      <c r="C1062">
        <v>138670</v>
      </c>
      <c r="D1062">
        <v>122524</v>
      </c>
      <c r="E1062" t="s">
        <v>38</v>
      </c>
      <c r="F1062" t="s">
        <v>39</v>
      </c>
      <c r="G1062" t="s">
        <v>849</v>
      </c>
      <c r="H1062" s="2">
        <v>41603</v>
      </c>
      <c r="I1062" s="2">
        <v>41607</v>
      </c>
      <c r="J1062" t="s">
        <v>27</v>
      </c>
      <c r="K1062" s="2">
        <v>41647.13553637732</v>
      </c>
      <c r="L1062" t="s">
        <v>850</v>
      </c>
      <c r="M1062">
        <v>423373</v>
      </c>
      <c r="N1062">
        <v>2</v>
      </c>
      <c r="O1062">
        <v>2</v>
      </c>
      <c r="P1062" t="s">
        <v>20</v>
      </c>
      <c r="Q1062" t="s">
        <v>20</v>
      </c>
      <c r="R1062">
        <v>5516</v>
      </c>
      <c r="S1062" t="s">
        <v>4402</v>
      </c>
      <c r="T1062" t="s">
        <v>2753</v>
      </c>
      <c r="V1062" t="s">
        <v>2424</v>
      </c>
      <c r="W1062" t="s">
        <v>38</v>
      </c>
      <c r="X1062" t="s">
        <v>2247</v>
      </c>
    </row>
    <row r="1063" spans="1:24" ht="12.75">
      <c r="A1063" s="1" t="str">
        <f>HYPERLINK("http://www.ofsted.gov.uk/inspection-reports/find-inspection-report/provider/ELS/138966","Ofsted FES Webpage")</f>
        <v>Ofsted FES Webpage</v>
      </c>
      <c r="B1063" t="s">
        <v>1288</v>
      </c>
      <c r="C1063">
        <v>138966</v>
      </c>
      <c r="D1063">
        <v>122727</v>
      </c>
      <c r="E1063" t="s">
        <v>420</v>
      </c>
      <c r="F1063" t="s">
        <v>35</v>
      </c>
      <c r="G1063" t="s">
        <v>20</v>
      </c>
      <c r="H1063" s="2">
        <v>41758</v>
      </c>
      <c r="I1063" s="2">
        <v>41761</v>
      </c>
      <c r="J1063" t="s">
        <v>27</v>
      </c>
      <c r="K1063" s="2">
        <v>41800.13547248843</v>
      </c>
      <c r="L1063" t="s">
        <v>1285</v>
      </c>
      <c r="M1063">
        <v>430418</v>
      </c>
      <c r="N1063">
        <v>3</v>
      </c>
      <c r="O1063">
        <v>3</v>
      </c>
      <c r="P1063" t="s">
        <v>20</v>
      </c>
      <c r="Q1063" t="s">
        <v>20</v>
      </c>
      <c r="R1063" t="s">
        <v>20</v>
      </c>
      <c r="S1063" t="s">
        <v>4403</v>
      </c>
      <c r="U1063" t="s">
        <v>4404</v>
      </c>
      <c r="V1063" t="s">
        <v>35</v>
      </c>
      <c r="X1063" t="s">
        <v>2343</v>
      </c>
    </row>
    <row r="1064" spans="1:24" ht="12.75">
      <c r="A1064" s="1" t="str">
        <f>HYPERLINK("http://www.ofsted.gov.uk/inspection-reports/find-inspection-report/provider/ELS/139218","Ofsted FES Webpage")</f>
        <v>Ofsted FES Webpage</v>
      </c>
      <c r="B1064" t="s">
        <v>1289</v>
      </c>
      <c r="C1064">
        <v>139218</v>
      </c>
      <c r="D1064">
        <v>118858</v>
      </c>
      <c r="E1064" t="s">
        <v>126</v>
      </c>
      <c r="F1064" t="s">
        <v>68</v>
      </c>
      <c r="G1064" t="s">
        <v>473</v>
      </c>
      <c r="H1064" s="2">
        <v>41458</v>
      </c>
      <c r="I1064" s="2">
        <v>41460</v>
      </c>
      <c r="J1064" t="s">
        <v>32</v>
      </c>
      <c r="K1064" s="2">
        <v>41493.13544690972</v>
      </c>
      <c r="L1064" t="s">
        <v>474</v>
      </c>
      <c r="M1064">
        <v>408448</v>
      </c>
      <c r="N1064">
        <v>1</v>
      </c>
      <c r="O1064">
        <v>1</v>
      </c>
      <c r="P1064">
        <v>2</v>
      </c>
      <c r="Q1064">
        <v>2</v>
      </c>
      <c r="R1064">
        <v>65</v>
      </c>
      <c r="S1064" t="s">
        <v>3469</v>
      </c>
      <c r="U1064" t="s">
        <v>3470</v>
      </c>
      <c r="V1064" t="s">
        <v>126</v>
      </c>
      <c r="W1064" t="s">
        <v>2773</v>
      </c>
      <c r="X1064" t="s">
        <v>1730</v>
      </c>
    </row>
    <row r="1065" spans="1:24" ht="12.75">
      <c r="A1065" s="1" t="str">
        <f>HYPERLINK("http://www.ofsted.gov.uk/inspection-reports/find-inspection-report/provider/ELS/139323","Ofsted FES Webpage")</f>
        <v>Ofsted FES Webpage</v>
      </c>
      <c r="B1065" t="s">
        <v>1290</v>
      </c>
      <c r="C1065">
        <v>139323</v>
      </c>
      <c r="D1065">
        <v>114836</v>
      </c>
      <c r="E1065" t="s">
        <v>93</v>
      </c>
      <c r="F1065" t="s">
        <v>49</v>
      </c>
      <c r="G1065" t="s">
        <v>473</v>
      </c>
      <c r="H1065" s="2">
        <v>39756</v>
      </c>
      <c r="I1065" s="2">
        <v>39758</v>
      </c>
      <c r="J1065" t="s">
        <v>44</v>
      </c>
      <c r="K1065" s="2">
        <v>39822.13558202546</v>
      </c>
      <c r="L1065" t="s">
        <v>475</v>
      </c>
      <c r="M1065">
        <v>321724</v>
      </c>
      <c r="N1065">
        <v>2</v>
      </c>
      <c r="O1065">
        <v>2</v>
      </c>
      <c r="P1065" t="s">
        <v>20</v>
      </c>
      <c r="Q1065" t="s">
        <v>20</v>
      </c>
      <c r="R1065">
        <v>5</v>
      </c>
      <c r="S1065" t="s">
        <v>4074</v>
      </c>
      <c r="V1065" t="s">
        <v>2520</v>
      </c>
      <c r="W1065" t="s">
        <v>93</v>
      </c>
      <c r="X1065" t="s">
        <v>1720</v>
      </c>
    </row>
    <row r="1066" spans="1:24" ht="12.75">
      <c r="A1066" s="1" t="str">
        <f>HYPERLINK("http://www.ofsted.gov.uk/inspection-reports/find-inspection-report/provider/ELS/139363","Ofsted FES Webpage")</f>
        <v>Ofsted FES Webpage</v>
      </c>
      <c r="B1066" t="s">
        <v>1291</v>
      </c>
      <c r="C1066">
        <v>139363</v>
      </c>
      <c r="D1066">
        <v>123244</v>
      </c>
      <c r="E1066" t="s">
        <v>135</v>
      </c>
      <c r="F1066" t="s">
        <v>35</v>
      </c>
      <c r="G1066" t="s">
        <v>20</v>
      </c>
      <c r="H1066" s="2">
        <v>41723</v>
      </c>
      <c r="I1066" s="2">
        <v>41726</v>
      </c>
      <c r="J1066" t="s">
        <v>27</v>
      </c>
      <c r="K1066" s="2">
        <v>41765.135493518515</v>
      </c>
      <c r="L1066" t="s">
        <v>1285</v>
      </c>
      <c r="M1066">
        <v>430420</v>
      </c>
      <c r="N1066">
        <v>3</v>
      </c>
      <c r="O1066">
        <v>3</v>
      </c>
      <c r="P1066" t="s">
        <v>20</v>
      </c>
      <c r="Q1066" t="s">
        <v>20</v>
      </c>
      <c r="R1066" t="s">
        <v>20</v>
      </c>
      <c r="S1066" t="s">
        <v>4405</v>
      </c>
      <c r="V1066" t="s">
        <v>35</v>
      </c>
      <c r="X1066" t="s">
        <v>2344</v>
      </c>
    </row>
  </sheetData>
  <sheetProtection/>
  <autoFilter ref="A4:X106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Howells</dc:creator>
  <cp:keywords/>
  <dc:description/>
  <cp:lastModifiedBy>Samantha Grant</cp:lastModifiedBy>
  <dcterms:created xsi:type="dcterms:W3CDTF">2014-10-01T08:47:23Z</dcterms:created>
  <dcterms:modified xsi:type="dcterms:W3CDTF">2015-05-21T13:15:08Z</dcterms:modified>
  <cp:category/>
  <cp:version/>
  <cp:contentType/>
  <cp:contentStatus/>
</cp:coreProperties>
</file>