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BS4142 R1 - Coursers Farm" sheetId="1" r:id="rId1"/>
    <sheet name="BS4142 R2 - 2 Coursers Road" sheetId="2" r:id="rId2"/>
    <sheet name="BS4142 R2 - 3 Coursers Road" sheetId="3" r:id="rId3"/>
    <sheet name="BS4142 R4 - Apton Plant" sheetId="4" r:id="rId4"/>
    <sheet name="BS4142 R5 - Horse Menage" sheetId="5" r:id="rId5"/>
  </sheets>
  <definedNames/>
  <calcPr fullCalcOnLoad="1"/>
</workbook>
</file>

<file path=xl/sharedStrings.xml><?xml version="1.0" encoding="utf-8"?>
<sst xmlns="http://schemas.openxmlformats.org/spreadsheetml/2006/main" count="269" uniqueCount="30">
  <si>
    <t>(dB)</t>
  </si>
  <si>
    <t>(m)</t>
  </si>
  <si>
    <t>Line of Sight Removal</t>
  </si>
  <si>
    <t>(seconds)</t>
  </si>
  <si>
    <t>Item</t>
  </si>
  <si>
    <t>Distance to Receptor</t>
  </si>
  <si>
    <t>Total Penalty</t>
  </si>
  <si>
    <t>Average Measured Background Sound Level</t>
  </si>
  <si>
    <t>Criteria</t>
  </si>
  <si>
    <t xml:space="preserve">Difference </t>
  </si>
  <si>
    <t>Measured</t>
  </si>
  <si>
    <t>At</t>
  </si>
  <si>
    <t>Quanitity Corrected</t>
  </si>
  <si>
    <t>Soft Ground Proportion</t>
  </si>
  <si>
    <t>Soft Ground Correction</t>
  </si>
  <si>
    <t>(%)</t>
  </si>
  <si>
    <t>Predicted On-time</t>
  </si>
  <si>
    <t>Assessment Period</t>
  </si>
  <si>
    <t>DAYTIME</t>
  </si>
  <si>
    <t>Predicted LAeq,1hr at receptor</t>
  </si>
  <si>
    <t>Combined Rating Level</t>
  </si>
  <si>
    <t>Calculated Rating Level</t>
  </si>
  <si>
    <t>Reception Building</t>
  </si>
  <si>
    <t>NIGHT-TIME</t>
  </si>
  <si>
    <t>Exhaust Stack</t>
  </si>
  <si>
    <t>Digester Loading Pump</t>
  </si>
  <si>
    <t>Hydraulic Pump</t>
  </si>
  <si>
    <t>Mixing Pit Pump</t>
  </si>
  <si>
    <t>2 x CHP</t>
  </si>
  <si>
    <t>2 x CHP (10m stack height)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</si>
</sst>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 style="thick">
        <color rgb="FFFFFFFF"/>
      </top>
      <bottom/>
    </border>
    <border>
      <left/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/>
    </border>
    <border>
      <left/>
      <right style="thick">
        <color rgb="FFFFFFFF"/>
      </right>
      <top/>
      <bottom/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 style="thick">
        <color rgb="FFFFFFFF"/>
      </top>
      <bottom/>
    </border>
    <border>
      <left style="thick">
        <color rgb="FFFFFFFF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4" fontId="41" fillId="27" borderId="11" xfId="0" applyNumberFormat="1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164" fontId="42" fillId="27" borderId="11" xfId="0" applyNumberFormat="1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64" fontId="42" fillId="0" borderId="0" xfId="0" applyNumberFormat="1" applyFont="1" applyAlignment="1">
      <alignment horizontal="center" vertical="center"/>
    </xf>
    <xf numFmtId="164" fontId="41" fillId="27" borderId="15" xfId="0" applyNumberFormat="1" applyFont="1" applyFill="1" applyBorder="1" applyAlignment="1">
      <alignment horizontal="center" vertical="center" wrapText="1"/>
    </xf>
    <xf numFmtId="164" fontId="41" fillId="27" borderId="0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4" fontId="41" fillId="27" borderId="17" xfId="0" applyNumberFormat="1" applyFont="1" applyFill="1" applyBorder="1" applyAlignment="1">
      <alignment horizontal="center" vertical="center" wrapText="1"/>
    </xf>
    <xf numFmtId="164" fontId="41" fillId="27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21.00390625" style="0" customWidth="1"/>
    <col min="7" max="11" width="12.7109375" style="0" customWidth="1"/>
    <col min="15" max="15" width="12.140625" style="0" customWidth="1"/>
  </cols>
  <sheetData>
    <row r="1" ht="15.75" thickBot="1">
      <c r="A1" s="11" t="s">
        <v>18</v>
      </c>
    </row>
    <row r="2" spans="1:17" ht="48.75" thickTop="1">
      <c r="A2" s="15" t="s">
        <v>4</v>
      </c>
      <c r="B2" s="1" t="s">
        <v>10</v>
      </c>
      <c r="C2" s="1" t="s">
        <v>11</v>
      </c>
      <c r="D2" s="1" t="s">
        <v>12</v>
      </c>
      <c r="E2" s="1" t="s">
        <v>5</v>
      </c>
      <c r="F2" s="1" t="s">
        <v>13</v>
      </c>
      <c r="G2" s="1" t="s">
        <v>14</v>
      </c>
      <c r="H2" s="1" t="s">
        <v>2</v>
      </c>
      <c r="I2" s="1" t="s">
        <v>16</v>
      </c>
      <c r="J2" s="1" t="s">
        <v>17</v>
      </c>
      <c r="K2" s="1" t="s">
        <v>19</v>
      </c>
      <c r="L2" s="15" t="s">
        <v>6</v>
      </c>
      <c r="M2" s="1" t="s">
        <v>21</v>
      </c>
      <c r="N2" s="1" t="s">
        <v>20</v>
      </c>
      <c r="O2" s="1" t="s">
        <v>7</v>
      </c>
      <c r="P2" s="1" t="s">
        <v>8</v>
      </c>
      <c r="Q2" s="1" t="s">
        <v>9</v>
      </c>
    </row>
    <row r="3" spans="1:17" ht="15.75" thickBot="1">
      <c r="A3" s="16"/>
      <c r="B3" s="2" t="s">
        <v>0</v>
      </c>
      <c r="C3" s="2" t="s">
        <v>1</v>
      </c>
      <c r="D3" s="2" t="s">
        <v>0</v>
      </c>
      <c r="E3" s="2" t="s">
        <v>1</v>
      </c>
      <c r="F3" s="2" t="s">
        <v>15</v>
      </c>
      <c r="G3" s="2" t="s">
        <v>0</v>
      </c>
      <c r="H3" s="2" t="s">
        <v>0</v>
      </c>
      <c r="I3" s="2" t="s">
        <v>3</v>
      </c>
      <c r="J3" s="2" t="s">
        <v>3</v>
      </c>
      <c r="K3" s="2" t="s">
        <v>0</v>
      </c>
      <c r="L3" s="17"/>
      <c r="M3" s="2" t="s">
        <v>0</v>
      </c>
      <c r="N3" s="2" t="s">
        <v>0</v>
      </c>
      <c r="O3" s="2" t="s">
        <v>0</v>
      </c>
      <c r="P3" s="4" t="s">
        <v>0</v>
      </c>
      <c r="Q3" s="2" t="s">
        <v>0</v>
      </c>
    </row>
    <row r="4" spans="1:19" ht="25.5" thickBot="1" thickTop="1">
      <c r="A4" s="6" t="s">
        <v>29</v>
      </c>
      <c r="B4" s="7">
        <v>65</v>
      </c>
      <c r="C4" s="7">
        <v>10</v>
      </c>
      <c r="D4" s="7">
        <f>10*LOG((10^(B4/10))+(10^(B4/10)))</f>
        <v>68.01029995663983</v>
      </c>
      <c r="E4" s="8">
        <v>212</v>
      </c>
      <c r="F4" s="8">
        <v>0.45</v>
      </c>
      <c r="G4" s="9">
        <f>5.2*F4*(LOG10(((6*1.8)-1.5)/(E4+3.5)))</f>
        <v>-3.194016522706188</v>
      </c>
      <c r="H4" s="8">
        <v>-13.2</v>
      </c>
      <c r="I4" s="8">
        <v>3600</v>
      </c>
      <c r="J4" s="8">
        <v>3600</v>
      </c>
      <c r="K4" s="7">
        <f>D4-(20*LOG(E4/C4))+G4+H4-(10*LOG(J4/I4))</f>
        <v>25.089566215358612</v>
      </c>
      <c r="L4" s="3">
        <v>6</v>
      </c>
      <c r="M4" s="5">
        <f>K4+L4</f>
        <v>31.089566215358612</v>
      </c>
      <c r="N4" s="18">
        <f>(10*LOG((10^(M4/10))+(10^(M5/10))+(10^(M6/10))+(10^(M7/10))+(10^(M8/10))+(10^(M9/10))))</f>
        <v>34.636232746310704</v>
      </c>
      <c r="O4" s="13">
        <v>54</v>
      </c>
      <c r="P4" s="13">
        <f>O4</f>
        <v>54</v>
      </c>
      <c r="Q4" s="13">
        <f>N4-P4</f>
        <v>-19.363767253689296</v>
      </c>
      <c r="S4" s="12"/>
    </row>
    <row r="5" spans="1:19" ht="16.5" thickBot="1" thickTop="1">
      <c r="A5" s="6" t="s">
        <v>24</v>
      </c>
      <c r="B5" s="7">
        <v>70.5</v>
      </c>
      <c r="C5" s="7">
        <v>1</v>
      </c>
      <c r="D5" s="7">
        <f>B5</f>
        <v>70.5</v>
      </c>
      <c r="E5" s="8">
        <v>208</v>
      </c>
      <c r="F5" s="8">
        <v>0.45</v>
      </c>
      <c r="G5" s="9">
        <f>5.2*F5*(LOG10(((6*1.8)-1.5)/(E5+3.5)))</f>
        <v>-3.174976170187675</v>
      </c>
      <c r="H5" s="8">
        <v>-13.2</v>
      </c>
      <c r="I5" s="8">
        <v>3600</v>
      </c>
      <c r="J5" s="8">
        <v>3600</v>
      </c>
      <c r="K5" s="7">
        <f>D5-(20*LOG(E5/C5))+G5+H5-(10*LOG(J5/I5))</f>
        <v>7.763757130557092</v>
      </c>
      <c r="L5" s="3">
        <v>2</v>
      </c>
      <c r="M5" s="5">
        <f>K5+L5</f>
        <v>9.763757130557092</v>
      </c>
      <c r="N5" s="19"/>
      <c r="O5" s="14"/>
      <c r="P5" s="14"/>
      <c r="Q5" s="14"/>
      <c r="S5" s="12"/>
    </row>
    <row r="6" spans="1:19" ht="16.5" thickBot="1" thickTop="1">
      <c r="A6" s="6" t="s">
        <v>25</v>
      </c>
      <c r="B6" s="7">
        <v>71.8</v>
      </c>
      <c r="C6" s="7">
        <v>1</v>
      </c>
      <c r="D6" s="7">
        <f>B6</f>
        <v>71.8</v>
      </c>
      <c r="E6" s="8">
        <v>262</v>
      </c>
      <c r="F6" s="8">
        <v>0.55</v>
      </c>
      <c r="G6" s="9">
        <f>5.2*F6*(LOG10(((6*1.8)-1.5)/(E6+3.5)))</f>
        <v>-4.162963309829761</v>
      </c>
      <c r="H6" s="8">
        <v>-10</v>
      </c>
      <c r="I6" s="8">
        <v>120</v>
      </c>
      <c r="J6" s="8">
        <v>3600</v>
      </c>
      <c r="K6" s="7">
        <f>D6-(20*LOG(E6/C6))+G6+H6-(10*LOG(J6/I6))</f>
        <v>-5.5002016834212935</v>
      </c>
      <c r="L6" s="3">
        <v>2</v>
      </c>
      <c r="M6" s="5">
        <f>K6+L6</f>
        <v>-3.5002016834212935</v>
      </c>
      <c r="N6" s="19"/>
      <c r="O6" s="14"/>
      <c r="P6" s="14"/>
      <c r="Q6" s="14"/>
      <c r="S6" s="12"/>
    </row>
    <row r="7" spans="1:19" ht="16.5" thickBot="1" thickTop="1">
      <c r="A7" s="6" t="s">
        <v>26</v>
      </c>
      <c r="B7" s="7">
        <v>74.3</v>
      </c>
      <c r="C7" s="7">
        <v>0.5</v>
      </c>
      <c r="D7" s="7">
        <f>B7</f>
        <v>74.3</v>
      </c>
      <c r="E7" s="8">
        <v>260</v>
      </c>
      <c r="F7" s="8">
        <v>0.55</v>
      </c>
      <c r="G7" s="9">
        <f>5.2*F7*(LOG10(((6*1.8)-1.5)/(E7+3.5)))</f>
        <v>-4.153571339044643</v>
      </c>
      <c r="H7" s="8">
        <v>-10</v>
      </c>
      <c r="I7" s="8">
        <v>3600</v>
      </c>
      <c r="J7" s="8">
        <v>3600</v>
      </c>
      <c r="K7" s="7">
        <f>D7-(20*LOG(E7/C7))+G7+H7-(10*LOG(J7/I7))</f>
        <v>5.826361788259373</v>
      </c>
      <c r="L7" s="10">
        <v>2</v>
      </c>
      <c r="M7" s="5">
        <f>K7+L7</f>
        <v>7.826361788259373</v>
      </c>
      <c r="N7" s="19"/>
      <c r="O7" s="14"/>
      <c r="P7" s="14"/>
      <c r="Q7" s="14"/>
      <c r="S7" s="12"/>
    </row>
    <row r="8" spans="1:19" ht="16.5" thickBot="1" thickTop="1">
      <c r="A8" s="6" t="s">
        <v>27</v>
      </c>
      <c r="B8" s="7">
        <v>70.2</v>
      </c>
      <c r="C8" s="7">
        <v>0.5</v>
      </c>
      <c r="D8" s="7">
        <f>B8</f>
        <v>70.2</v>
      </c>
      <c r="E8" s="8">
        <v>260</v>
      </c>
      <c r="F8" s="8">
        <v>0.55</v>
      </c>
      <c r="G8" s="9">
        <f>5.2*F8*(LOG10(((6*1.8)-1.5)/(E8+3.5)))</f>
        <v>-4.153571339044643</v>
      </c>
      <c r="H8" s="8">
        <v>-10</v>
      </c>
      <c r="I8" s="8">
        <v>3600</v>
      </c>
      <c r="J8" s="8">
        <v>3600</v>
      </c>
      <c r="K8" s="7">
        <f>D8-(20*LOG(E8/C8))+G8+H8-(10*LOG(J8/I8))</f>
        <v>1.7263617882593785</v>
      </c>
      <c r="L8" s="10">
        <v>2</v>
      </c>
      <c r="M8" s="5">
        <f>K8+L8</f>
        <v>3.7263617882593785</v>
      </c>
      <c r="N8" s="19"/>
      <c r="O8" s="14"/>
      <c r="P8" s="14"/>
      <c r="Q8" s="14"/>
      <c r="S8" s="12"/>
    </row>
    <row r="9" spans="1:19" ht="16.5" thickBot="1" thickTop="1">
      <c r="A9" s="6" t="s">
        <v>22</v>
      </c>
      <c r="B9" s="7">
        <v>69.2</v>
      </c>
      <c r="C9" s="7">
        <v>10</v>
      </c>
      <c r="D9" s="7">
        <f>B9</f>
        <v>69.2</v>
      </c>
      <c r="E9" s="8">
        <v>206</v>
      </c>
      <c r="F9" s="8">
        <v>0.55</v>
      </c>
      <c r="G9" s="9">
        <f>5.2*F9*(LOG10(((6*1.8)-1.5)/(E9+3.5)))</f>
        <v>-3.8687250852203645</v>
      </c>
      <c r="H9" s="8">
        <v>-10</v>
      </c>
      <c r="I9" s="8">
        <v>3600</v>
      </c>
      <c r="J9" s="8">
        <v>3600</v>
      </c>
      <c r="K9" s="7">
        <f>D9-(20*LOG(E9/C9))+G9+H9-(10*LOG(J9/I9))</f>
        <v>29.053930507396572</v>
      </c>
      <c r="L9" s="10">
        <v>3</v>
      </c>
      <c r="M9" s="5">
        <f>K9+L9</f>
        <v>32.05393050739657</v>
      </c>
      <c r="N9" s="19"/>
      <c r="O9" s="14"/>
      <c r="P9" s="14"/>
      <c r="Q9" s="14"/>
      <c r="S9" s="12"/>
    </row>
    <row r="10" ht="15.75" thickTop="1"/>
    <row r="12" ht="15.75" thickBot="1">
      <c r="A12" s="11" t="s">
        <v>23</v>
      </c>
    </row>
    <row r="13" spans="1:17" ht="48.75" thickTop="1">
      <c r="A13" s="15" t="s">
        <v>4</v>
      </c>
      <c r="B13" s="1" t="s">
        <v>10</v>
      </c>
      <c r="C13" s="1" t="s">
        <v>11</v>
      </c>
      <c r="D13" s="1" t="s">
        <v>12</v>
      </c>
      <c r="E13" s="1" t="s">
        <v>5</v>
      </c>
      <c r="F13" s="1" t="s">
        <v>13</v>
      </c>
      <c r="G13" s="1" t="s">
        <v>14</v>
      </c>
      <c r="H13" s="1" t="s">
        <v>2</v>
      </c>
      <c r="I13" s="1" t="s">
        <v>16</v>
      </c>
      <c r="J13" s="1" t="s">
        <v>17</v>
      </c>
      <c r="K13" s="1" t="s">
        <v>19</v>
      </c>
      <c r="L13" s="15" t="s">
        <v>6</v>
      </c>
      <c r="M13" s="1" t="s">
        <v>21</v>
      </c>
      <c r="N13" s="1" t="s">
        <v>20</v>
      </c>
      <c r="O13" s="1" t="s">
        <v>7</v>
      </c>
      <c r="P13" s="1" t="s">
        <v>8</v>
      </c>
      <c r="Q13" s="1" t="s">
        <v>9</v>
      </c>
    </row>
    <row r="14" spans="1:17" ht="15.75" thickBot="1">
      <c r="A14" s="16"/>
      <c r="B14" s="2" t="s">
        <v>0</v>
      </c>
      <c r="C14" s="2" t="s">
        <v>1</v>
      </c>
      <c r="D14" s="2" t="s">
        <v>0</v>
      </c>
      <c r="E14" s="2" t="s">
        <v>1</v>
      </c>
      <c r="F14" s="2" t="s">
        <v>15</v>
      </c>
      <c r="G14" s="2" t="s">
        <v>0</v>
      </c>
      <c r="H14" s="2" t="s">
        <v>0</v>
      </c>
      <c r="I14" s="2" t="s">
        <v>3</v>
      </c>
      <c r="J14" s="2" t="s">
        <v>3</v>
      </c>
      <c r="K14" s="2" t="s">
        <v>0</v>
      </c>
      <c r="L14" s="17"/>
      <c r="M14" s="2" t="s">
        <v>0</v>
      </c>
      <c r="N14" s="2" t="s">
        <v>0</v>
      </c>
      <c r="O14" s="2" t="s">
        <v>0</v>
      </c>
      <c r="P14" s="4" t="s">
        <v>0</v>
      </c>
      <c r="Q14" s="2" t="s">
        <v>0</v>
      </c>
    </row>
    <row r="15" spans="1:17" ht="16.5" thickBot="1" thickTop="1">
      <c r="A15" s="6" t="s">
        <v>28</v>
      </c>
      <c r="B15" s="7">
        <f aca="true" t="shared" si="0" ref="B15:C19">B4</f>
        <v>65</v>
      </c>
      <c r="C15" s="7">
        <f t="shared" si="0"/>
        <v>10</v>
      </c>
      <c r="D15" s="7">
        <f>10*LOG((10^(B15/10))+(10^(B15/10)))</f>
        <v>68.01029995663983</v>
      </c>
      <c r="E15" s="8">
        <f aca="true" t="shared" si="1" ref="E15:F19">E4</f>
        <v>212</v>
      </c>
      <c r="F15" s="8">
        <f t="shared" si="1"/>
        <v>0.45</v>
      </c>
      <c r="G15" s="9">
        <f>5.2*F15*(LOG10(((6*1.8)-1.5)/(E15+3.5)))</f>
        <v>-3.194016522706188</v>
      </c>
      <c r="H15" s="8">
        <f>H4</f>
        <v>-13.2</v>
      </c>
      <c r="I15" s="8">
        <v>900</v>
      </c>
      <c r="J15" s="8">
        <v>900</v>
      </c>
      <c r="K15" s="7">
        <f>D15-(20*LOG(E15/C15))+G15+H15-(10*LOG(J15/I15))</f>
        <v>25.089566215358612</v>
      </c>
      <c r="L15" s="10">
        <f>L4</f>
        <v>6</v>
      </c>
      <c r="M15" s="5">
        <f>K15+L15</f>
        <v>31.089566215358612</v>
      </c>
      <c r="N15" s="18">
        <f>(10*LOG((10^(M15/10))+(10^(M16/10))+(10^(M17/10))+(10^(M18/10))+(10^(M19/10))))</f>
        <v>31.155560252208602</v>
      </c>
      <c r="O15" s="13">
        <v>49.3</v>
      </c>
      <c r="P15" s="13">
        <f>O15</f>
        <v>49.3</v>
      </c>
      <c r="Q15" s="13">
        <f>N15-P15</f>
        <v>-18.144439747791395</v>
      </c>
    </row>
    <row r="16" spans="1:17" ht="16.5" thickBot="1" thickTop="1">
      <c r="A16" s="6" t="str">
        <f>A5</f>
        <v>Exhaust Stack</v>
      </c>
      <c r="B16" s="7">
        <f t="shared" si="0"/>
        <v>70.5</v>
      </c>
      <c r="C16" s="7">
        <f t="shared" si="0"/>
        <v>1</v>
      </c>
      <c r="D16" s="7">
        <f>B16</f>
        <v>70.5</v>
      </c>
      <c r="E16" s="8">
        <f t="shared" si="1"/>
        <v>208</v>
      </c>
      <c r="F16" s="8">
        <f t="shared" si="1"/>
        <v>0.45</v>
      </c>
      <c r="G16" s="9">
        <f>5.2*F16*(LOG10(((6*1.8)-1.5)/(E16+3.5)))</f>
        <v>-3.174976170187675</v>
      </c>
      <c r="H16" s="8">
        <f>H5</f>
        <v>-13.2</v>
      </c>
      <c r="I16" s="8">
        <v>900</v>
      </c>
      <c r="J16" s="8">
        <v>900</v>
      </c>
      <c r="K16" s="7">
        <f>D16-(20*LOG(E16/C16))+G16+H16-(10*LOG(J16/I16))</f>
        <v>7.763757130557092</v>
      </c>
      <c r="L16" s="10">
        <f>L5</f>
        <v>2</v>
      </c>
      <c r="M16" s="5">
        <f>K16+L16</f>
        <v>9.763757130557092</v>
      </c>
      <c r="N16" s="19"/>
      <c r="O16" s="14"/>
      <c r="P16" s="14"/>
      <c r="Q16" s="14"/>
    </row>
    <row r="17" spans="1:17" ht="16.5" thickBot="1" thickTop="1">
      <c r="A17" s="6" t="str">
        <f>A6</f>
        <v>Digester Loading Pump</v>
      </c>
      <c r="B17" s="7">
        <f t="shared" si="0"/>
        <v>71.8</v>
      </c>
      <c r="C17" s="7">
        <f t="shared" si="0"/>
        <v>1</v>
      </c>
      <c r="D17" s="7">
        <f>B17</f>
        <v>71.8</v>
      </c>
      <c r="E17" s="8">
        <f t="shared" si="1"/>
        <v>262</v>
      </c>
      <c r="F17" s="8">
        <f t="shared" si="1"/>
        <v>0.55</v>
      </c>
      <c r="G17" s="9">
        <f>5.2*F17*(LOG10(((6*1.8)-1.5)/(E17+3.5)))</f>
        <v>-4.162963309829761</v>
      </c>
      <c r="H17" s="8">
        <f>H6</f>
        <v>-10</v>
      </c>
      <c r="I17" s="8">
        <v>120</v>
      </c>
      <c r="J17" s="8">
        <v>900</v>
      </c>
      <c r="K17" s="7">
        <f>D17-(20*LOG(E17/C17))+G17+H17-(10*LOG(J17/I17))</f>
        <v>0.5203982298583298</v>
      </c>
      <c r="L17" s="10">
        <f>L6</f>
        <v>2</v>
      </c>
      <c r="M17" s="5">
        <f>K17+L17</f>
        <v>2.52039822985833</v>
      </c>
      <c r="N17" s="19"/>
      <c r="O17" s="14"/>
      <c r="P17" s="14"/>
      <c r="Q17" s="14"/>
    </row>
    <row r="18" spans="1:17" ht="16.5" thickBot="1" thickTop="1">
      <c r="A18" s="6" t="str">
        <f>A7</f>
        <v>Hydraulic Pump</v>
      </c>
      <c r="B18" s="7">
        <f t="shared" si="0"/>
        <v>74.3</v>
      </c>
      <c r="C18" s="7">
        <f t="shared" si="0"/>
        <v>0.5</v>
      </c>
      <c r="D18" s="7">
        <f>B18</f>
        <v>74.3</v>
      </c>
      <c r="E18" s="8">
        <f t="shared" si="1"/>
        <v>260</v>
      </c>
      <c r="F18" s="8">
        <f t="shared" si="1"/>
        <v>0.55</v>
      </c>
      <c r="G18" s="9">
        <f>5.2*F18*(LOG10(((6*1.8)-1.5)/(E18+3.5)))</f>
        <v>-4.153571339044643</v>
      </c>
      <c r="H18" s="8">
        <f>H7</f>
        <v>-10</v>
      </c>
      <c r="I18" s="8">
        <v>900</v>
      </c>
      <c r="J18" s="8">
        <v>900</v>
      </c>
      <c r="K18" s="7">
        <f>D18-(20*LOG(E18/C18))+G18+H18-(10*LOG(J18/I18))</f>
        <v>5.826361788259373</v>
      </c>
      <c r="L18" s="10">
        <f>L7</f>
        <v>2</v>
      </c>
      <c r="M18" s="5">
        <f>K18+L18</f>
        <v>7.826361788259373</v>
      </c>
      <c r="N18" s="19"/>
      <c r="O18" s="14"/>
      <c r="P18" s="14"/>
      <c r="Q18" s="14"/>
    </row>
    <row r="19" spans="1:17" ht="16.5" thickBot="1" thickTop="1">
      <c r="A19" s="6" t="str">
        <f>A8</f>
        <v>Mixing Pit Pump</v>
      </c>
      <c r="B19" s="7">
        <f t="shared" si="0"/>
        <v>70.2</v>
      </c>
      <c r="C19" s="7">
        <f t="shared" si="0"/>
        <v>0.5</v>
      </c>
      <c r="D19" s="7">
        <f>B19</f>
        <v>70.2</v>
      </c>
      <c r="E19" s="8">
        <f t="shared" si="1"/>
        <v>260</v>
      </c>
      <c r="F19" s="8">
        <f t="shared" si="1"/>
        <v>0.55</v>
      </c>
      <c r="G19" s="9">
        <f>5.2*F19*(LOG10(((6*1.8)-1.5)/(E19+3.5)))</f>
        <v>-4.153571339044643</v>
      </c>
      <c r="H19" s="8">
        <f>H8</f>
        <v>-10</v>
      </c>
      <c r="I19" s="8">
        <v>900</v>
      </c>
      <c r="J19" s="8">
        <v>900</v>
      </c>
      <c r="K19" s="7">
        <f>D19-(20*LOG(E19/C19))+G19+H19-(10*LOG(J19/I19))</f>
        <v>1.7263617882593785</v>
      </c>
      <c r="L19" s="10">
        <f>L8</f>
        <v>2</v>
      </c>
      <c r="M19" s="5">
        <f>K19+L19</f>
        <v>3.7263617882593785</v>
      </c>
      <c r="N19" s="19"/>
      <c r="O19" s="14"/>
      <c r="P19" s="14"/>
      <c r="Q19" s="14"/>
    </row>
    <row r="20" ht="15.75" thickTop="1"/>
  </sheetData>
  <sheetProtection/>
  <mergeCells count="12">
    <mergeCell ref="A2:A3"/>
    <mergeCell ref="N4:N9"/>
    <mergeCell ref="O4:O9"/>
    <mergeCell ref="P4:P9"/>
    <mergeCell ref="Q4:Q9"/>
    <mergeCell ref="L2:L3"/>
    <mergeCell ref="Q15:Q19"/>
    <mergeCell ref="A13:A14"/>
    <mergeCell ref="L13:L14"/>
    <mergeCell ref="N15:N19"/>
    <mergeCell ref="O15:O19"/>
    <mergeCell ref="P15:P19"/>
  </mergeCells>
  <conditionalFormatting sqref="Q4">
    <cfRule type="cellIs" priority="3" dxfId="16" operator="lessThan">
      <formula>0</formula>
    </cfRule>
    <cfRule type="cellIs" priority="4" dxfId="17" operator="greaterThan">
      <formula>0</formula>
    </cfRule>
  </conditionalFormatting>
  <conditionalFormatting sqref="Q15">
    <cfRule type="cellIs" priority="1" dxfId="16" operator="lessThan">
      <formula>0</formula>
    </cfRule>
    <cfRule type="cellIs" priority="2" dxfId="1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"/>
  <sheetViews>
    <sheetView zoomScale="115" zoomScaleNormal="115" zoomScalePageLayoutView="0" workbookViewId="0" topLeftCell="A1">
      <selection activeCell="I12" sqref="I12"/>
    </sheetView>
  </sheetViews>
  <sheetFormatPr defaultColWidth="9.140625" defaultRowHeight="15"/>
  <cols>
    <col min="1" max="1" width="21.00390625" style="0" customWidth="1"/>
    <col min="7" max="11" width="12.7109375" style="0" customWidth="1"/>
    <col min="15" max="15" width="12.140625" style="0" customWidth="1"/>
  </cols>
  <sheetData>
    <row r="1" spans="1:17" ht="48.75" thickTop="1">
      <c r="A1" s="15" t="s">
        <v>4</v>
      </c>
      <c r="B1" s="1" t="s">
        <v>10</v>
      </c>
      <c r="C1" s="1" t="s">
        <v>11</v>
      </c>
      <c r="D1" s="1" t="s">
        <v>12</v>
      </c>
      <c r="E1" s="1" t="s">
        <v>5</v>
      </c>
      <c r="F1" s="1" t="s">
        <v>13</v>
      </c>
      <c r="G1" s="1" t="s">
        <v>14</v>
      </c>
      <c r="H1" s="1" t="s">
        <v>2</v>
      </c>
      <c r="I1" s="1" t="s">
        <v>16</v>
      </c>
      <c r="J1" s="1" t="s">
        <v>17</v>
      </c>
      <c r="K1" s="1" t="s">
        <v>19</v>
      </c>
      <c r="L1" s="15" t="s">
        <v>6</v>
      </c>
      <c r="M1" s="1" t="s">
        <v>21</v>
      </c>
      <c r="N1" s="1" t="s">
        <v>20</v>
      </c>
      <c r="O1" s="1" t="s">
        <v>7</v>
      </c>
      <c r="P1" s="1" t="s">
        <v>8</v>
      </c>
      <c r="Q1" s="1" t="s">
        <v>9</v>
      </c>
    </row>
    <row r="2" spans="1:17" ht="15.75" thickBot="1">
      <c r="A2" s="16"/>
      <c r="B2" s="2" t="s">
        <v>0</v>
      </c>
      <c r="C2" s="2" t="s">
        <v>1</v>
      </c>
      <c r="D2" s="2" t="s">
        <v>0</v>
      </c>
      <c r="E2" s="2" t="s">
        <v>1</v>
      </c>
      <c r="F2" s="2" t="s">
        <v>15</v>
      </c>
      <c r="G2" s="2" t="s">
        <v>0</v>
      </c>
      <c r="H2" s="2" t="s">
        <v>0</v>
      </c>
      <c r="I2" s="2" t="s">
        <v>3</v>
      </c>
      <c r="J2" s="2" t="s">
        <v>3</v>
      </c>
      <c r="K2" s="2" t="s">
        <v>0</v>
      </c>
      <c r="L2" s="17"/>
      <c r="M2" s="2" t="s">
        <v>0</v>
      </c>
      <c r="N2" s="2" t="s">
        <v>0</v>
      </c>
      <c r="O2" s="2" t="s">
        <v>0</v>
      </c>
      <c r="P2" s="4" t="s">
        <v>0</v>
      </c>
      <c r="Q2" s="2" t="s">
        <v>0</v>
      </c>
    </row>
    <row r="3" spans="1:18" ht="25.5" thickBot="1" thickTop="1">
      <c r="A3" s="6" t="str">
        <f>'BS4142 R1 - Coursers Farm'!A4</f>
        <v>2 x CHP (10m stack height)</v>
      </c>
      <c r="B3" s="6">
        <f>'BS4142 R1 - Coursers Farm'!B4</f>
        <v>65</v>
      </c>
      <c r="C3" s="6">
        <f>'BS4142 R1 - Coursers Farm'!C4</f>
        <v>10</v>
      </c>
      <c r="D3" s="7">
        <f>'BS4142 R1 - Coursers Farm'!D4</f>
        <v>68.01029995663983</v>
      </c>
      <c r="E3" s="8">
        <v>209</v>
      </c>
      <c r="F3" s="8">
        <v>0.8</v>
      </c>
      <c r="G3" s="9">
        <f>5.2*F3*(LOG10(((6*1.8)-1.5)/(E3+3.5)))</f>
        <v>-5.652924101062765</v>
      </c>
      <c r="H3" s="8">
        <v>0</v>
      </c>
      <c r="I3" s="8">
        <f>'BS4142 R1 - Coursers Farm'!I4</f>
        <v>3600</v>
      </c>
      <c r="J3" s="8">
        <v>3600</v>
      </c>
      <c r="K3" s="7">
        <f>D3-(20*LOG(E3/C3))+G3+H3-(10*LOG(J3/I3))</f>
        <v>35.95445013335598</v>
      </c>
      <c r="L3" s="10">
        <f>'BS4142 R1 - Coursers Farm'!L4</f>
        <v>6</v>
      </c>
      <c r="M3" s="5">
        <f>K3+L3</f>
        <v>41.95445013335598</v>
      </c>
      <c r="N3" s="18">
        <f>(10*LOG((10^(M3/10))+(10^(M4/10))+(10^(M5/10))+(10^(M6/10))+(10^(M7/10))+(10^(M8/10))))</f>
        <v>43.55866876714</v>
      </c>
      <c r="O3" s="13">
        <v>54</v>
      </c>
      <c r="P3" s="13">
        <f>O3</f>
        <v>54</v>
      </c>
      <c r="Q3" s="13">
        <f>N3-P3</f>
        <v>-10.441331232860001</v>
      </c>
      <c r="R3" s="12"/>
    </row>
    <row r="4" spans="1:18" ht="16.5" thickBot="1" thickTop="1">
      <c r="A4" s="6" t="str">
        <f>'BS4142 R1 - Coursers Farm'!A5</f>
        <v>Exhaust Stack</v>
      </c>
      <c r="B4" s="6">
        <f>'BS4142 R1 - Coursers Farm'!B5</f>
        <v>70.5</v>
      </c>
      <c r="C4" s="6">
        <f>'BS4142 R1 - Coursers Farm'!C5</f>
        <v>1</v>
      </c>
      <c r="D4" s="7">
        <f>'BS4142 R1 - Coursers Farm'!D5</f>
        <v>70.5</v>
      </c>
      <c r="E4" s="8">
        <v>191</v>
      </c>
      <c r="F4" s="8">
        <v>0.8</v>
      </c>
      <c r="G4" s="9">
        <f>5.2*F4*(LOG10(((6*1.8)-1.5)/(E4+3.5)))</f>
        <v>-5.493016493568413</v>
      </c>
      <c r="H4" s="8">
        <v>0</v>
      </c>
      <c r="I4" s="8">
        <f>'BS4142 R1 - Coursers Farm'!I5</f>
        <v>3600</v>
      </c>
      <c r="J4" s="8">
        <v>3600</v>
      </c>
      <c r="K4" s="7">
        <f>D4-(20*LOG(E4/C4))+G4+H4-(10*LOG(J4/I4))</f>
        <v>19.386316161477033</v>
      </c>
      <c r="L4" s="10">
        <f>'BS4142 R1 - Coursers Farm'!L5</f>
        <v>2</v>
      </c>
      <c r="M4" s="5">
        <f>K4+L4</f>
        <v>21.386316161477033</v>
      </c>
      <c r="N4" s="19"/>
      <c r="O4" s="14"/>
      <c r="P4" s="14"/>
      <c r="Q4" s="14"/>
      <c r="R4" s="12"/>
    </row>
    <row r="5" spans="1:18" ht="16.5" thickBot="1" thickTop="1">
      <c r="A5" s="6" t="str">
        <f>'BS4142 R1 - Coursers Farm'!A6</f>
        <v>Digester Loading Pump</v>
      </c>
      <c r="B5" s="6">
        <f>'BS4142 R1 - Coursers Farm'!B6</f>
        <v>71.8</v>
      </c>
      <c r="C5" s="6">
        <f>'BS4142 R1 - Coursers Farm'!C6</f>
        <v>1</v>
      </c>
      <c r="D5" s="7">
        <f>'BS4142 R1 - Coursers Farm'!D6</f>
        <v>71.8</v>
      </c>
      <c r="E5" s="8">
        <v>275</v>
      </c>
      <c r="F5" s="8">
        <v>0.9</v>
      </c>
      <c r="G5" s="9">
        <f>5.2*F5*(LOG10(((6*1.8)-1.5)/(E5+3.5)))</f>
        <v>-6.909281734473204</v>
      </c>
      <c r="H5" s="8">
        <v>-10</v>
      </c>
      <c r="I5" s="8">
        <f>'BS4142 R1 - Coursers Farm'!I6</f>
        <v>120</v>
      </c>
      <c r="J5" s="8">
        <v>3600</v>
      </c>
      <c r="K5" s="7">
        <f>D5-(20*LOG(E5/C5))+G5+H5-(10*LOG(J5/I5))</f>
        <v>-8.667148158275088</v>
      </c>
      <c r="L5" s="10">
        <f>'BS4142 R1 - Coursers Farm'!L6</f>
        <v>2</v>
      </c>
      <c r="M5" s="5">
        <f>K5+L5</f>
        <v>-6.667148158275088</v>
      </c>
      <c r="N5" s="19"/>
      <c r="O5" s="14"/>
      <c r="P5" s="14"/>
      <c r="Q5" s="14"/>
      <c r="R5" s="12"/>
    </row>
    <row r="6" spans="1:18" ht="16.5" thickBot="1" thickTop="1">
      <c r="A6" s="6" t="str">
        <f>'BS4142 R1 - Coursers Farm'!A7</f>
        <v>Hydraulic Pump</v>
      </c>
      <c r="B6" s="6">
        <f>'BS4142 R1 - Coursers Farm'!B7</f>
        <v>74.3</v>
      </c>
      <c r="C6" s="6">
        <f>'BS4142 R1 - Coursers Farm'!C7</f>
        <v>0.5</v>
      </c>
      <c r="D6" s="7">
        <f>'BS4142 R1 - Coursers Farm'!D7</f>
        <v>74.3</v>
      </c>
      <c r="E6" s="8">
        <v>318</v>
      </c>
      <c r="F6" s="8">
        <v>0.9</v>
      </c>
      <c r="G6" s="9">
        <f>5.2*F6*(LOG10(((6*1.8)-1.5)/(E6+3.5)))</f>
        <v>-7.2011067743455115</v>
      </c>
      <c r="H6" s="8">
        <v>-10</v>
      </c>
      <c r="I6" s="8">
        <f>'BS4142 R1 - Coursers Farm'!I7</f>
        <v>3600</v>
      </c>
      <c r="J6" s="8">
        <v>3600</v>
      </c>
      <c r="K6" s="7">
        <f>D6-(20*LOG(E6/C6))+G6+H6-(10*LOG(J6/I6))</f>
        <v>1.029750912686211</v>
      </c>
      <c r="L6" s="10">
        <f>'BS4142 R1 - Coursers Farm'!L7</f>
        <v>2</v>
      </c>
      <c r="M6" s="5">
        <f>K6+L6</f>
        <v>3.029750912686211</v>
      </c>
      <c r="N6" s="19"/>
      <c r="O6" s="14"/>
      <c r="P6" s="14"/>
      <c r="Q6" s="14"/>
      <c r="R6" s="12"/>
    </row>
    <row r="7" spans="1:18" ht="16.5" thickBot="1" thickTop="1">
      <c r="A7" s="6" t="str">
        <f>'BS4142 R1 - Coursers Farm'!A8</f>
        <v>Mixing Pit Pump</v>
      </c>
      <c r="B7" s="6">
        <f>'BS4142 R1 - Coursers Farm'!B8</f>
        <v>70.2</v>
      </c>
      <c r="C7" s="6">
        <f>'BS4142 R1 - Coursers Farm'!C8</f>
        <v>0.5</v>
      </c>
      <c r="D7" s="7">
        <f>'BS4142 R1 - Coursers Farm'!D8</f>
        <v>70.2</v>
      </c>
      <c r="E7" s="8">
        <v>318</v>
      </c>
      <c r="F7" s="8">
        <v>0.9</v>
      </c>
      <c r="G7" s="9">
        <f>5.2*F7*(LOG10(((6*1.8)-1.5)/(E7+3.5)))</f>
        <v>-7.2011067743455115</v>
      </c>
      <c r="H7" s="8">
        <v>-10</v>
      </c>
      <c r="I7" s="8">
        <f>'BS4142 R1 - Coursers Farm'!I8</f>
        <v>3600</v>
      </c>
      <c r="J7" s="8">
        <v>3600</v>
      </c>
      <c r="K7" s="7">
        <f>D7-(20*LOG(E7/C7))+G7+H7-(10*LOG(J7/I7))</f>
        <v>-3.0702490873137833</v>
      </c>
      <c r="L7" s="10">
        <f>'BS4142 R1 - Coursers Farm'!L8</f>
        <v>2</v>
      </c>
      <c r="M7" s="5">
        <f>K7+L7</f>
        <v>-1.0702490873137833</v>
      </c>
      <c r="N7" s="19"/>
      <c r="O7" s="14"/>
      <c r="P7" s="14"/>
      <c r="Q7" s="14"/>
      <c r="R7" s="12"/>
    </row>
    <row r="8" spans="1:18" ht="16.5" thickBot="1" thickTop="1">
      <c r="A8" s="6" t="str">
        <f>'BS4142 R1 - Coursers Farm'!A9</f>
        <v>Reception Building</v>
      </c>
      <c r="B8" s="6">
        <f>'BS4142 R1 - Coursers Farm'!B9</f>
        <v>69.2</v>
      </c>
      <c r="C8" s="6">
        <f>'BS4142 R1 - Coursers Farm'!C9</f>
        <v>10</v>
      </c>
      <c r="D8" s="7">
        <f>'BS4142 R1 - Coursers Farm'!D9</f>
        <v>69.2</v>
      </c>
      <c r="E8" s="8">
        <v>231</v>
      </c>
      <c r="F8" s="8">
        <v>0.9</v>
      </c>
      <c r="G8" s="9">
        <f>5.2*F8*(LOG10(((6*1.8)-1.5)/(E8+3.5)))</f>
        <v>-6.559768324966742</v>
      </c>
      <c r="H8" s="8">
        <v>0</v>
      </c>
      <c r="I8" s="8">
        <f>'BS4142 R1 - Coursers Farm'!I9</f>
        <v>3600</v>
      </c>
      <c r="J8" s="8">
        <v>3600</v>
      </c>
      <c r="K8" s="7">
        <f>D8-(20*LOG(E8/C8))+G8+H8-(10*LOG(J8/I8))</f>
        <v>35.36799207719037</v>
      </c>
      <c r="L8" s="10">
        <f>'BS4142 R1 - Coursers Farm'!L9</f>
        <v>3</v>
      </c>
      <c r="M8" s="5">
        <f>K8+L8</f>
        <v>38.36799207719037</v>
      </c>
      <c r="N8" s="19"/>
      <c r="O8" s="14"/>
      <c r="P8" s="14"/>
      <c r="Q8" s="14"/>
      <c r="R8" s="12"/>
    </row>
    <row r="9" ht="15.75" thickTop="1"/>
    <row r="11" ht="15.75" thickBot="1">
      <c r="A11" s="11" t="s">
        <v>23</v>
      </c>
    </row>
    <row r="12" spans="1:17" ht="48.75" thickTop="1">
      <c r="A12" s="15" t="s">
        <v>4</v>
      </c>
      <c r="B12" s="1" t="s">
        <v>10</v>
      </c>
      <c r="C12" s="1" t="s">
        <v>11</v>
      </c>
      <c r="D12" s="1" t="s">
        <v>12</v>
      </c>
      <c r="E12" s="1" t="s">
        <v>5</v>
      </c>
      <c r="F12" s="1" t="s">
        <v>13</v>
      </c>
      <c r="G12" s="1" t="s">
        <v>14</v>
      </c>
      <c r="H12" s="1" t="s">
        <v>2</v>
      </c>
      <c r="I12" s="1" t="s">
        <v>16</v>
      </c>
      <c r="J12" s="1" t="s">
        <v>17</v>
      </c>
      <c r="K12" s="1" t="s">
        <v>19</v>
      </c>
      <c r="L12" s="15" t="s">
        <v>6</v>
      </c>
      <c r="M12" s="1" t="s">
        <v>21</v>
      </c>
      <c r="N12" s="1" t="s">
        <v>20</v>
      </c>
      <c r="O12" s="1" t="s">
        <v>7</v>
      </c>
      <c r="P12" s="1" t="s">
        <v>8</v>
      </c>
      <c r="Q12" s="1" t="s">
        <v>9</v>
      </c>
    </row>
    <row r="13" spans="1:17" ht="15.75" thickBot="1">
      <c r="A13" s="16"/>
      <c r="B13" s="2" t="s">
        <v>0</v>
      </c>
      <c r="C13" s="2" t="s">
        <v>1</v>
      </c>
      <c r="D13" s="2" t="s">
        <v>0</v>
      </c>
      <c r="E13" s="2" t="s">
        <v>1</v>
      </c>
      <c r="F13" s="2" t="s">
        <v>15</v>
      </c>
      <c r="G13" s="2" t="s">
        <v>0</v>
      </c>
      <c r="H13" s="2" t="s">
        <v>0</v>
      </c>
      <c r="I13" s="2" t="s">
        <v>3</v>
      </c>
      <c r="J13" s="2" t="s">
        <v>3</v>
      </c>
      <c r="K13" s="2" t="s">
        <v>0</v>
      </c>
      <c r="L13" s="17"/>
      <c r="M13" s="2" t="s">
        <v>0</v>
      </c>
      <c r="N13" s="2" t="s">
        <v>0</v>
      </c>
      <c r="O13" s="2" t="s">
        <v>0</v>
      </c>
      <c r="P13" s="4" t="s">
        <v>0</v>
      </c>
      <c r="Q13" s="2" t="s">
        <v>0</v>
      </c>
    </row>
    <row r="14" spans="1:17" ht="25.5" thickBot="1" thickTop="1">
      <c r="A14" s="6" t="str">
        <f aca="true" t="shared" si="0" ref="A14:F18">A3</f>
        <v>2 x CHP (10m stack height)</v>
      </c>
      <c r="B14" s="6">
        <f t="shared" si="0"/>
        <v>65</v>
      </c>
      <c r="C14" s="6">
        <f t="shared" si="0"/>
        <v>10</v>
      </c>
      <c r="D14" s="7">
        <f t="shared" si="0"/>
        <v>68.01029995663983</v>
      </c>
      <c r="E14" s="8">
        <f t="shared" si="0"/>
        <v>209</v>
      </c>
      <c r="F14" s="8">
        <f t="shared" si="0"/>
        <v>0.8</v>
      </c>
      <c r="G14" s="9">
        <f>5.2*F14*(LOG10(((6*1.8)-1.5)/(E14+3.5)))</f>
        <v>-5.652924101062765</v>
      </c>
      <c r="H14" s="8">
        <f>H3</f>
        <v>0</v>
      </c>
      <c r="I14" s="8">
        <f>'BS4142 R1 - Coursers Farm'!I15</f>
        <v>900</v>
      </c>
      <c r="J14" s="8">
        <v>900</v>
      </c>
      <c r="K14" s="7">
        <f>D14-(20*LOG(E14/C14))+G14+H14-(10*LOG(J14/I14))</f>
        <v>35.95445013335598</v>
      </c>
      <c r="L14" s="10">
        <f>L3</f>
        <v>6</v>
      </c>
      <c r="M14" s="5">
        <f>K14+L14</f>
        <v>41.95445013335598</v>
      </c>
      <c r="N14" s="18">
        <f>(10*LOG((10^(M14/10))+(10^(M15/10))+(10^(M16/10))+(10^(M17/10))+(10^(M18/10))))</f>
        <v>41.99339040807737</v>
      </c>
      <c r="O14" s="13">
        <v>49.3</v>
      </c>
      <c r="P14" s="13">
        <f>O14</f>
        <v>49.3</v>
      </c>
      <c r="Q14" s="13">
        <f>N14-P14</f>
        <v>-7.30660959192263</v>
      </c>
    </row>
    <row r="15" spans="1:17" ht="16.5" thickBot="1" thickTop="1">
      <c r="A15" s="6" t="str">
        <f t="shared" si="0"/>
        <v>Exhaust Stack</v>
      </c>
      <c r="B15" s="6">
        <f t="shared" si="0"/>
        <v>70.5</v>
      </c>
      <c r="C15" s="6">
        <f t="shared" si="0"/>
        <v>1</v>
      </c>
      <c r="D15" s="7">
        <f t="shared" si="0"/>
        <v>70.5</v>
      </c>
      <c r="E15" s="8">
        <f t="shared" si="0"/>
        <v>191</v>
      </c>
      <c r="F15" s="8">
        <f t="shared" si="0"/>
        <v>0.8</v>
      </c>
      <c r="G15" s="9">
        <f>5.2*F15*(LOG10(((6*1.8)-1.5)/(E15+3.5)))</f>
        <v>-5.493016493568413</v>
      </c>
      <c r="H15" s="8">
        <f>H4</f>
        <v>0</v>
      </c>
      <c r="I15" s="8">
        <f>'BS4142 R1 - Coursers Farm'!I16</f>
        <v>900</v>
      </c>
      <c r="J15" s="8">
        <v>900</v>
      </c>
      <c r="K15" s="7">
        <f>D15-(20*LOG(E15/C15))+G15+H15-(10*LOG(J15/I15))</f>
        <v>19.386316161477033</v>
      </c>
      <c r="L15" s="10">
        <f>L4</f>
        <v>2</v>
      </c>
      <c r="M15" s="5">
        <f>K15+L15</f>
        <v>21.386316161477033</v>
      </c>
      <c r="N15" s="19"/>
      <c r="O15" s="14"/>
      <c r="P15" s="14"/>
      <c r="Q15" s="14"/>
    </row>
    <row r="16" spans="1:17" ht="16.5" thickBot="1" thickTop="1">
      <c r="A16" s="6" t="str">
        <f t="shared" si="0"/>
        <v>Digester Loading Pump</v>
      </c>
      <c r="B16" s="6">
        <f t="shared" si="0"/>
        <v>71.8</v>
      </c>
      <c r="C16" s="6">
        <f t="shared" si="0"/>
        <v>1</v>
      </c>
      <c r="D16" s="7">
        <f t="shared" si="0"/>
        <v>71.8</v>
      </c>
      <c r="E16" s="8">
        <f t="shared" si="0"/>
        <v>275</v>
      </c>
      <c r="F16" s="8">
        <f t="shared" si="0"/>
        <v>0.9</v>
      </c>
      <c r="G16" s="9">
        <f>5.2*F16*(LOG10(((6*1.8)-1.5)/(E16+3.5)))</f>
        <v>-6.909281734473204</v>
      </c>
      <c r="H16" s="8">
        <f>H5</f>
        <v>-10</v>
      </c>
      <c r="I16" s="8">
        <f>'BS4142 R1 - Coursers Farm'!I17</f>
        <v>120</v>
      </c>
      <c r="J16" s="8">
        <v>900</v>
      </c>
      <c r="K16" s="7">
        <f>D16-(20*LOG(E16/C16))+G16+H16-(10*LOG(J16/I16))</f>
        <v>-2.646548244995465</v>
      </c>
      <c r="L16" s="10">
        <f>L5</f>
        <v>2</v>
      </c>
      <c r="M16" s="5">
        <f>K16+L16</f>
        <v>-0.6465482449954649</v>
      </c>
      <c r="N16" s="19"/>
      <c r="O16" s="14"/>
      <c r="P16" s="14"/>
      <c r="Q16" s="14"/>
    </row>
    <row r="17" spans="1:17" ht="16.5" thickBot="1" thickTop="1">
      <c r="A17" s="6" t="str">
        <f t="shared" si="0"/>
        <v>Hydraulic Pump</v>
      </c>
      <c r="B17" s="6">
        <f t="shared" si="0"/>
        <v>74.3</v>
      </c>
      <c r="C17" s="6">
        <f t="shared" si="0"/>
        <v>0.5</v>
      </c>
      <c r="D17" s="7">
        <f t="shared" si="0"/>
        <v>74.3</v>
      </c>
      <c r="E17" s="8">
        <f t="shared" si="0"/>
        <v>318</v>
      </c>
      <c r="F17" s="8">
        <f t="shared" si="0"/>
        <v>0.9</v>
      </c>
      <c r="G17" s="9">
        <f>5.2*F17*(LOG10(((6*1.8)-1.5)/(E17+3.5)))</f>
        <v>-7.2011067743455115</v>
      </c>
      <c r="H17" s="8">
        <f>H6</f>
        <v>-10</v>
      </c>
      <c r="I17" s="8">
        <f>'BS4142 R1 - Coursers Farm'!I18</f>
        <v>900</v>
      </c>
      <c r="J17" s="8">
        <v>900</v>
      </c>
      <c r="K17" s="7">
        <f>D17-(20*LOG(E17/C17))+G17+H17-(10*LOG(J17/I17))</f>
        <v>1.029750912686211</v>
      </c>
      <c r="L17" s="10">
        <f>L6</f>
        <v>2</v>
      </c>
      <c r="M17" s="5">
        <f>K17+L17</f>
        <v>3.029750912686211</v>
      </c>
      <c r="N17" s="19"/>
      <c r="O17" s="14"/>
      <c r="P17" s="14"/>
      <c r="Q17" s="14"/>
    </row>
    <row r="18" spans="1:17" ht="16.5" thickBot="1" thickTop="1">
      <c r="A18" s="6" t="str">
        <f t="shared" si="0"/>
        <v>Mixing Pit Pump</v>
      </c>
      <c r="B18" s="6">
        <f t="shared" si="0"/>
        <v>70.2</v>
      </c>
      <c r="C18" s="6">
        <f t="shared" si="0"/>
        <v>0.5</v>
      </c>
      <c r="D18" s="7">
        <f t="shared" si="0"/>
        <v>70.2</v>
      </c>
      <c r="E18" s="8">
        <f t="shared" si="0"/>
        <v>318</v>
      </c>
      <c r="F18" s="8">
        <f t="shared" si="0"/>
        <v>0.9</v>
      </c>
      <c r="G18" s="9">
        <f>5.2*F18*(LOG10(((6*1.8)-1.5)/(E18+3.5)))</f>
        <v>-7.2011067743455115</v>
      </c>
      <c r="H18" s="8">
        <f>H7</f>
        <v>-10</v>
      </c>
      <c r="I18" s="8">
        <f>'BS4142 R1 - Coursers Farm'!I19</f>
        <v>900</v>
      </c>
      <c r="J18" s="8">
        <v>900</v>
      </c>
      <c r="K18" s="7">
        <f>D18-(20*LOG(E18/C18))+G18+H18-(10*LOG(J18/I18))</f>
        <v>-3.0702490873137833</v>
      </c>
      <c r="L18" s="10">
        <f>L7</f>
        <v>2</v>
      </c>
      <c r="M18" s="5">
        <f>K18+L18</f>
        <v>-1.0702490873137833</v>
      </c>
      <c r="N18" s="19"/>
      <c r="O18" s="14"/>
      <c r="P18" s="14"/>
      <c r="Q18" s="14"/>
    </row>
    <row r="19" ht="15.75" thickTop="1"/>
  </sheetData>
  <sheetProtection/>
  <mergeCells count="12">
    <mergeCell ref="Q14:Q18"/>
    <mergeCell ref="A1:A2"/>
    <mergeCell ref="L1:L2"/>
    <mergeCell ref="N3:N8"/>
    <mergeCell ref="O3:O8"/>
    <mergeCell ref="P3:P8"/>
    <mergeCell ref="Q3:Q8"/>
    <mergeCell ref="A12:A13"/>
    <mergeCell ref="L12:L13"/>
    <mergeCell ref="N14:N18"/>
    <mergeCell ref="O14:O18"/>
    <mergeCell ref="P14:P18"/>
  </mergeCells>
  <conditionalFormatting sqref="Q3">
    <cfRule type="cellIs" priority="3" dxfId="16" operator="lessThan">
      <formula>0</formula>
    </cfRule>
    <cfRule type="cellIs" priority="4" dxfId="17" operator="greaterThan">
      <formula>0</formula>
    </cfRule>
  </conditionalFormatting>
  <conditionalFormatting sqref="Q14">
    <cfRule type="cellIs" priority="1" dxfId="16" operator="lessThan">
      <formula>0</formula>
    </cfRule>
    <cfRule type="cellIs" priority="2" dxfId="1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"/>
  <sheetViews>
    <sheetView tabSelected="1" zoomScale="115" zoomScaleNormal="115" zoomScalePageLayoutView="0" workbookViewId="0" topLeftCell="A1">
      <selection activeCell="H14" sqref="H14"/>
    </sheetView>
  </sheetViews>
  <sheetFormatPr defaultColWidth="9.140625" defaultRowHeight="15"/>
  <cols>
    <col min="1" max="1" width="21.00390625" style="0" customWidth="1"/>
    <col min="7" max="11" width="12.7109375" style="0" customWidth="1"/>
    <col min="15" max="15" width="12.140625" style="0" customWidth="1"/>
  </cols>
  <sheetData>
    <row r="1" spans="1:17" ht="48.75" thickTop="1">
      <c r="A1" s="15" t="s">
        <v>4</v>
      </c>
      <c r="B1" s="1" t="s">
        <v>10</v>
      </c>
      <c r="C1" s="1" t="s">
        <v>11</v>
      </c>
      <c r="D1" s="1" t="s">
        <v>12</v>
      </c>
      <c r="E1" s="1" t="s">
        <v>5</v>
      </c>
      <c r="F1" s="1" t="s">
        <v>13</v>
      </c>
      <c r="G1" s="1" t="s">
        <v>14</v>
      </c>
      <c r="H1" s="1" t="s">
        <v>2</v>
      </c>
      <c r="I1" s="1" t="s">
        <v>16</v>
      </c>
      <c r="J1" s="1" t="s">
        <v>17</v>
      </c>
      <c r="K1" s="1" t="s">
        <v>19</v>
      </c>
      <c r="L1" s="15" t="s">
        <v>6</v>
      </c>
      <c r="M1" s="1" t="s">
        <v>21</v>
      </c>
      <c r="N1" s="1" t="s">
        <v>20</v>
      </c>
      <c r="O1" s="1" t="s">
        <v>7</v>
      </c>
      <c r="P1" s="1" t="s">
        <v>8</v>
      </c>
      <c r="Q1" s="1" t="s">
        <v>9</v>
      </c>
    </row>
    <row r="2" spans="1:17" ht="15.75" thickBot="1">
      <c r="A2" s="16"/>
      <c r="B2" s="2" t="s">
        <v>0</v>
      </c>
      <c r="C2" s="2" t="s">
        <v>1</v>
      </c>
      <c r="D2" s="2" t="s">
        <v>0</v>
      </c>
      <c r="E2" s="2" t="s">
        <v>1</v>
      </c>
      <c r="F2" s="2" t="s">
        <v>15</v>
      </c>
      <c r="G2" s="2" t="s">
        <v>0</v>
      </c>
      <c r="H2" s="2" t="s">
        <v>0</v>
      </c>
      <c r="I2" s="2" t="s">
        <v>3</v>
      </c>
      <c r="J2" s="2" t="s">
        <v>3</v>
      </c>
      <c r="K2" s="2" t="s">
        <v>0</v>
      </c>
      <c r="L2" s="17"/>
      <c r="M2" s="2" t="s">
        <v>0</v>
      </c>
      <c r="N2" s="2" t="s">
        <v>0</v>
      </c>
      <c r="O2" s="2" t="s">
        <v>0</v>
      </c>
      <c r="P2" s="4" t="s">
        <v>0</v>
      </c>
      <c r="Q2" s="2" t="s">
        <v>0</v>
      </c>
    </row>
    <row r="3" spans="1:18" ht="25.5" thickBot="1" thickTop="1">
      <c r="A3" s="6" t="str">
        <f>'BS4142 R1 - Coursers Farm'!A4</f>
        <v>2 x CHP (10m stack height)</v>
      </c>
      <c r="B3" s="6">
        <f>'BS4142 R1 - Coursers Farm'!B4</f>
        <v>65</v>
      </c>
      <c r="C3" s="6">
        <f>'BS4142 R1 - Coursers Farm'!C4</f>
        <v>10</v>
      </c>
      <c r="D3" s="7">
        <f>'BS4142 R1 - Coursers Farm'!D4</f>
        <v>68.01029995663983</v>
      </c>
      <c r="E3" s="8">
        <v>405</v>
      </c>
      <c r="F3" s="8">
        <v>0.9</v>
      </c>
      <c r="G3" s="9">
        <f>5.2*F3*(LOG10(((6*1.8)-1.5)/(E3+3.5)))</f>
        <v>-7.687878645631858</v>
      </c>
      <c r="H3" s="8">
        <v>0</v>
      </c>
      <c r="I3" s="8">
        <f>'BS4142 R1 - Coursers Farm'!I4</f>
        <v>3600</v>
      </c>
      <c r="J3" s="8">
        <v>3600</v>
      </c>
      <c r="K3" s="7">
        <f>D3-(20*LOG(E3/C3))+G3+H3-(10*LOG(J3/I3))</f>
        <v>28.1733208467146</v>
      </c>
      <c r="L3" s="10">
        <f>'BS4142 R1 - Coursers Farm'!L4</f>
        <v>6</v>
      </c>
      <c r="M3" s="5">
        <f>K3+L3</f>
        <v>34.1733208467146</v>
      </c>
      <c r="N3" s="18">
        <f>(10*LOG((10^(M3/10))+(10^(M4/10))+(10^(M5/10))+(10^(M6/10))+(10^(M7/10))+(10^(M8/10))))</f>
        <v>34.46825832506015</v>
      </c>
      <c r="O3" s="13">
        <v>54</v>
      </c>
      <c r="P3" s="13">
        <f>O3</f>
        <v>54</v>
      </c>
      <c r="Q3" s="13">
        <f>N3-P3</f>
        <v>-19.531741674939852</v>
      </c>
      <c r="R3" s="12"/>
    </row>
    <row r="4" spans="1:18" ht="16.5" thickBot="1" thickTop="1">
      <c r="A4" s="6" t="str">
        <f>'BS4142 R1 - Coursers Farm'!A5</f>
        <v>Exhaust Stack</v>
      </c>
      <c r="B4" s="6">
        <f>'BS4142 R1 - Coursers Farm'!B5</f>
        <v>70.5</v>
      </c>
      <c r="C4" s="6">
        <f>'BS4142 R1 - Coursers Farm'!C5</f>
        <v>1</v>
      </c>
      <c r="D4" s="7">
        <f>'BS4142 R1 - Coursers Farm'!D5</f>
        <v>70.5</v>
      </c>
      <c r="E4" s="8">
        <v>405</v>
      </c>
      <c r="F4" s="8">
        <v>0.9</v>
      </c>
      <c r="G4" s="9">
        <f>5.2*F4*(LOG10(((6*1.8)-1.5)/(E4+3.5)))</f>
        <v>-7.687878645631858</v>
      </c>
      <c r="H4" s="8">
        <v>0</v>
      </c>
      <c r="I4" s="8">
        <f>'BS4142 R1 - Coursers Farm'!I5</f>
        <v>3600</v>
      </c>
      <c r="J4" s="8">
        <v>3600</v>
      </c>
      <c r="K4" s="7">
        <f>D4-(20*LOG(E4/C4))+G4+H4-(10*LOG(J4/I4))</f>
        <v>10.663020890074765</v>
      </c>
      <c r="L4" s="10">
        <v>2</v>
      </c>
      <c r="M4" s="5">
        <f>K4+L4</f>
        <v>12.663020890074765</v>
      </c>
      <c r="N4" s="19"/>
      <c r="O4" s="14"/>
      <c r="P4" s="14"/>
      <c r="Q4" s="14"/>
      <c r="R4" s="12"/>
    </row>
    <row r="5" spans="1:18" ht="16.5" thickBot="1" thickTop="1">
      <c r="A5" s="6" t="str">
        <f>'BS4142 R1 - Coursers Farm'!A6</f>
        <v>Digester Loading Pump</v>
      </c>
      <c r="B5" s="6">
        <f>'BS4142 R1 - Coursers Farm'!B6</f>
        <v>71.8</v>
      </c>
      <c r="C5" s="6">
        <f>'BS4142 R1 - Coursers Farm'!C6</f>
        <v>1</v>
      </c>
      <c r="D5" s="7">
        <f>'BS4142 R1 - Coursers Farm'!D6</f>
        <v>71.8</v>
      </c>
      <c r="E5" s="8">
        <v>474</v>
      </c>
      <c r="F5" s="8">
        <v>0.9</v>
      </c>
      <c r="G5" s="9">
        <f>5.2*F5*(LOG10(((6*1.8)-1.5)/(E5+3.5)))</f>
        <v>-8.005095200072086</v>
      </c>
      <c r="H5" s="8">
        <v>-10</v>
      </c>
      <c r="I5" s="8">
        <f>'BS4142 R1 - Coursers Farm'!I6</f>
        <v>120</v>
      </c>
      <c r="J5" s="8">
        <v>3600</v>
      </c>
      <c r="K5" s="7">
        <f>D5-(20*LOG(E5/C5))+G5+H5-(10*LOG(J5/I5))</f>
        <v>-14.49187458075042</v>
      </c>
      <c r="L5" s="10">
        <v>2</v>
      </c>
      <c r="M5" s="5">
        <f>K5+L5</f>
        <v>-12.49187458075042</v>
      </c>
      <c r="N5" s="19"/>
      <c r="O5" s="14"/>
      <c r="P5" s="14"/>
      <c r="Q5" s="14"/>
      <c r="R5" s="12"/>
    </row>
    <row r="6" spans="1:18" ht="16.5" thickBot="1" thickTop="1">
      <c r="A6" s="6" t="str">
        <f>'BS4142 R1 - Coursers Farm'!A7</f>
        <v>Hydraulic Pump</v>
      </c>
      <c r="B6" s="6">
        <f>'BS4142 R1 - Coursers Farm'!B7</f>
        <v>74.3</v>
      </c>
      <c r="C6" s="6">
        <f>'BS4142 R1 - Coursers Farm'!C7</f>
        <v>0.5</v>
      </c>
      <c r="D6" s="7">
        <f>'BS4142 R1 - Coursers Farm'!D7</f>
        <v>74.3</v>
      </c>
      <c r="E6" s="8">
        <v>486</v>
      </c>
      <c r="F6" s="8">
        <v>0.9</v>
      </c>
      <c r="G6" s="9">
        <f>5.2*F6*(LOG10(((6*1.8)-1.5)/(E6+3.5)))</f>
        <v>-8.055542418698838</v>
      </c>
      <c r="H6" s="8">
        <v>-10</v>
      </c>
      <c r="I6" s="8">
        <f>'BS4142 R1 - Coursers Farm'!I7</f>
        <v>3600</v>
      </c>
      <c r="J6" s="8">
        <v>3600</v>
      </c>
      <c r="K6" s="7">
        <f>D6-(20*LOG(E6/C6))+G6+H6-(10*LOG(J6/I6))</f>
        <v>-3.508867717224337</v>
      </c>
      <c r="L6" s="10">
        <v>2</v>
      </c>
      <c r="M6" s="5">
        <f>K6+L6</f>
        <v>-1.5088677172243372</v>
      </c>
      <c r="N6" s="19"/>
      <c r="O6" s="14"/>
      <c r="P6" s="14"/>
      <c r="Q6" s="14"/>
      <c r="R6" s="12"/>
    </row>
    <row r="7" spans="1:18" ht="16.5" thickBot="1" thickTop="1">
      <c r="A7" s="6" t="str">
        <f>'BS4142 R1 - Coursers Farm'!A8</f>
        <v>Mixing Pit Pump</v>
      </c>
      <c r="B7" s="6">
        <f>'BS4142 R1 - Coursers Farm'!B8</f>
        <v>70.2</v>
      </c>
      <c r="C7" s="6">
        <f>'BS4142 R1 - Coursers Farm'!C8</f>
        <v>0.5</v>
      </c>
      <c r="D7" s="7">
        <f>'BS4142 R1 - Coursers Farm'!D8</f>
        <v>70.2</v>
      </c>
      <c r="E7" s="8">
        <v>486</v>
      </c>
      <c r="F7" s="8">
        <v>0.9</v>
      </c>
      <c r="G7" s="9">
        <f>5.2*F7*(LOG10(((6*1.8)-1.5)/(E7+3.5)))</f>
        <v>-8.055542418698838</v>
      </c>
      <c r="H7" s="8">
        <v>-10</v>
      </c>
      <c r="I7" s="8">
        <f>'BS4142 R1 - Coursers Farm'!I8</f>
        <v>3600</v>
      </c>
      <c r="J7" s="8">
        <v>3600</v>
      </c>
      <c r="K7" s="7">
        <f>D7-(20*LOG(E7/C7))+G7+H7-(10*LOG(J7/I7))</f>
        <v>-7.6088677172243315</v>
      </c>
      <c r="L7" s="10">
        <v>2</v>
      </c>
      <c r="M7" s="5">
        <f>K7+L7</f>
        <v>-5.6088677172243315</v>
      </c>
      <c r="N7" s="19"/>
      <c r="O7" s="14"/>
      <c r="P7" s="14"/>
      <c r="Q7" s="14"/>
      <c r="R7" s="12"/>
    </row>
    <row r="8" spans="1:18" ht="16.5" thickBot="1" thickTop="1">
      <c r="A8" s="6" t="str">
        <f>'BS4142 R1 - Coursers Farm'!A9</f>
        <v>Reception Building</v>
      </c>
      <c r="B8" s="6">
        <f>'BS4142 R1 - Coursers Farm'!B9</f>
        <v>69.2</v>
      </c>
      <c r="C8" s="6">
        <f>'BS4142 R1 - Coursers Farm'!C9</f>
        <v>10</v>
      </c>
      <c r="D8" s="7">
        <f>'BS4142 R1 - Coursers Farm'!D9</f>
        <v>69.2</v>
      </c>
      <c r="E8" s="8">
        <v>413</v>
      </c>
      <c r="F8" s="8">
        <v>0.9</v>
      </c>
      <c r="G8" s="9">
        <f>5.2*F8*(LOG10(((6*1.8)-1.5)/(E8+3.5)))</f>
        <v>-7.7272980276439185</v>
      </c>
      <c r="H8" s="8">
        <v>-10</v>
      </c>
      <c r="I8" s="8">
        <f>'BS4142 R1 - Coursers Farm'!I9</f>
        <v>3600</v>
      </c>
      <c r="J8" s="8">
        <v>3600</v>
      </c>
      <c r="K8" s="7">
        <f>D8-(20*LOG(E8/C8))+G8+H8-(10*LOG(J8/I8))</f>
        <v>19.153700939228067</v>
      </c>
      <c r="L8" s="10">
        <v>3</v>
      </c>
      <c r="M8" s="5">
        <f>K8+L8</f>
        <v>22.153700939228067</v>
      </c>
      <c r="N8" s="19"/>
      <c r="O8" s="14"/>
      <c r="P8" s="14"/>
      <c r="Q8" s="14"/>
      <c r="R8" s="12"/>
    </row>
    <row r="9" ht="15.75" thickTop="1"/>
    <row r="11" ht="15.75" thickBot="1">
      <c r="A11" s="11" t="s">
        <v>23</v>
      </c>
    </row>
    <row r="12" spans="1:17" ht="48.75" thickTop="1">
      <c r="A12" s="15" t="s">
        <v>4</v>
      </c>
      <c r="B12" s="1" t="s">
        <v>10</v>
      </c>
      <c r="C12" s="1" t="s">
        <v>11</v>
      </c>
      <c r="D12" s="1" t="s">
        <v>12</v>
      </c>
      <c r="E12" s="1" t="s">
        <v>5</v>
      </c>
      <c r="F12" s="1" t="s">
        <v>13</v>
      </c>
      <c r="G12" s="1" t="s">
        <v>14</v>
      </c>
      <c r="H12" s="1" t="s">
        <v>2</v>
      </c>
      <c r="I12" s="1" t="s">
        <v>16</v>
      </c>
      <c r="J12" s="1" t="s">
        <v>17</v>
      </c>
      <c r="K12" s="1" t="s">
        <v>19</v>
      </c>
      <c r="L12" s="15" t="s">
        <v>6</v>
      </c>
      <c r="M12" s="1" t="s">
        <v>21</v>
      </c>
      <c r="N12" s="1" t="s">
        <v>20</v>
      </c>
      <c r="O12" s="1" t="s">
        <v>7</v>
      </c>
      <c r="P12" s="1" t="s">
        <v>8</v>
      </c>
      <c r="Q12" s="1" t="s">
        <v>9</v>
      </c>
    </row>
    <row r="13" spans="1:17" ht="15.75" thickBot="1">
      <c r="A13" s="16"/>
      <c r="B13" s="2" t="s">
        <v>0</v>
      </c>
      <c r="C13" s="2" t="s">
        <v>1</v>
      </c>
      <c r="D13" s="2" t="s">
        <v>0</v>
      </c>
      <c r="E13" s="2" t="s">
        <v>1</v>
      </c>
      <c r="F13" s="2" t="s">
        <v>15</v>
      </c>
      <c r="G13" s="2" t="s">
        <v>0</v>
      </c>
      <c r="H13" s="2" t="s">
        <v>0</v>
      </c>
      <c r="I13" s="2" t="s">
        <v>3</v>
      </c>
      <c r="J13" s="2" t="s">
        <v>3</v>
      </c>
      <c r="K13" s="2" t="s">
        <v>0</v>
      </c>
      <c r="L13" s="17"/>
      <c r="M13" s="2" t="s">
        <v>0</v>
      </c>
      <c r="N13" s="2" t="s">
        <v>0</v>
      </c>
      <c r="O13" s="2" t="s">
        <v>0</v>
      </c>
      <c r="P13" s="4" t="s">
        <v>0</v>
      </c>
      <c r="Q13" s="2" t="s">
        <v>0</v>
      </c>
    </row>
    <row r="14" spans="1:17" ht="25.5" thickBot="1" thickTop="1">
      <c r="A14" s="6" t="str">
        <f aca="true" t="shared" si="0" ref="A14:F18">A3</f>
        <v>2 x CHP (10m stack height)</v>
      </c>
      <c r="B14" s="6">
        <f t="shared" si="0"/>
        <v>65</v>
      </c>
      <c r="C14" s="6">
        <f t="shared" si="0"/>
        <v>10</v>
      </c>
      <c r="D14" s="7">
        <f t="shared" si="0"/>
        <v>68.01029995663983</v>
      </c>
      <c r="E14" s="8">
        <f t="shared" si="0"/>
        <v>405</v>
      </c>
      <c r="F14" s="8">
        <f t="shared" si="0"/>
        <v>0.9</v>
      </c>
      <c r="G14" s="9">
        <f>5.2*F14*(LOG10(((6*1.8)-1.5)/(E14+3.5)))</f>
        <v>-7.687878645631858</v>
      </c>
      <c r="H14" s="8">
        <f>H3</f>
        <v>0</v>
      </c>
      <c r="I14" s="8">
        <f>'BS4142 R1 - Coursers Farm'!I15</f>
        <v>900</v>
      </c>
      <c r="J14" s="8">
        <v>900</v>
      </c>
      <c r="K14" s="7">
        <f>D14-(20*LOG(E14/C14))+G14+H14-(10*LOG(J14/I14))</f>
        <v>28.1733208467146</v>
      </c>
      <c r="L14" s="10">
        <f>L3</f>
        <v>6</v>
      </c>
      <c r="M14" s="5">
        <f>K14+L14</f>
        <v>34.1733208467146</v>
      </c>
      <c r="N14" s="18">
        <f>(10*LOG((10^(M14/10))++(10^(M15/10))+(10^(M16/10))+(10^(M17/10))+(10^(M18/10))))</f>
        <v>34.20587612906165</v>
      </c>
      <c r="O14" s="13">
        <v>49.3</v>
      </c>
      <c r="P14" s="13">
        <f>O14</f>
        <v>49.3</v>
      </c>
      <c r="Q14" s="13">
        <f>N14-P14</f>
        <v>-15.094123870938347</v>
      </c>
    </row>
    <row r="15" spans="1:17" ht="16.5" thickBot="1" thickTop="1">
      <c r="A15" s="6" t="str">
        <f t="shared" si="0"/>
        <v>Exhaust Stack</v>
      </c>
      <c r="B15" s="6">
        <f t="shared" si="0"/>
        <v>70.5</v>
      </c>
      <c r="C15" s="6">
        <f t="shared" si="0"/>
        <v>1</v>
      </c>
      <c r="D15" s="7">
        <f t="shared" si="0"/>
        <v>70.5</v>
      </c>
      <c r="E15" s="8">
        <f t="shared" si="0"/>
        <v>405</v>
      </c>
      <c r="F15" s="8">
        <f t="shared" si="0"/>
        <v>0.9</v>
      </c>
      <c r="G15" s="9">
        <f>5.2*F15*(LOG10(((6*1.8)-1.5)/(E15+3.5)))</f>
        <v>-7.687878645631858</v>
      </c>
      <c r="H15" s="8">
        <f>H4</f>
        <v>0</v>
      </c>
      <c r="I15" s="8">
        <f>'BS4142 R1 - Coursers Farm'!I16</f>
        <v>900</v>
      </c>
      <c r="J15" s="8">
        <v>900</v>
      </c>
      <c r="K15" s="7">
        <f>D15-(20*LOG(E15/C15))+G15+H15-(10*LOG(J15/I15))</f>
        <v>10.663020890074765</v>
      </c>
      <c r="L15" s="10">
        <f>L4</f>
        <v>2</v>
      </c>
      <c r="M15" s="5">
        <f>K15+L15</f>
        <v>12.663020890074765</v>
      </c>
      <c r="N15" s="19"/>
      <c r="O15" s="14"/>
      <c r="P15" s="14"/>
      <c r="Q15" s="14"/>
    </row>
    <row r="16" spans="1:17" ht="16.5" thickBot="1" thickTop="1">
      <c r="A16" s="6" t="str">
        <f t="shared" si="0"/>
        <v>Digester Loading Pump</v>
      </c>
      <c r="B16" s="6">
        <f t="shared" si="0"/>
        <v>71.8</v>
      </c>
      <c r="C16" s="6">
        <f t="shared" si="0"/>
        <v>1</v>
      </c>
      <c r="D16" s="7">
        <f t="shared" si="0"/>
        <v>71.8</v>
      </c>
      <c r="E16" s="8">
        <f t="shared" si="0"/>
        <v>474</v>
      </c>
      <c r="F16" s="8">
        <f t="shared" si="0"/>
        <v>0.9</v>
      </c>
      <c r="G16" s="9">
        <f>5.2*F16*(LOG10(((6*1.8)-1.5)/(E16+3.5)))</f>
        <v>-8.005095200072086</v>
      </c>
      <c r="H16" s="8">
        <f>H5</f>
        <v>-10</v>
      </c>
      <c r="I16" s="8">
        <f>'BS4142 R1 - Coursers Farm'!I17</f>
        <v>120</v>
      </c>
      <c r="J16" s="8">
        <v>900</v>
      </c>
      <c r="K16" s="7">
        <f>D16-(20*LOG(E16/C16))+G16+H16-(10*LOG(J16/I16))</f>
        <v>-8.471274667470796</v>
      </c>
      <c r="L16" s="10">
        <f>L5</f>
        <v>2</v>
      </c>
      <c r="M16" s="5">
        <f>K16+L16</f>
        <v>-6.471274667470796</v>
      </c>
      <c r="N16" s="19"/>
      <c r="O16" s="14"/>
      <c r="P16" s="14"/>
      <c r="Q16" s="14"/>
    </row>
    <row r="17" spans="1:17" ht="16.5" thickBot="1" thickTop="1">
      <c r="A17" s="6" t="str">
        <f t="shared" si="0"/>
        <v>Hydraulic Pump</v>
      </c>
      <c r="B17" s="6">
        <f t="shared" si="0"/>
        <v>74.3</v>
      </c>
      <c r="C17" s="6">
        <f t="shared" si="0"/>
        <v>0.5</v>
      </c>
      <c r="D17" s="7">
        <f t="shared" si="0"/>
        <v>74.3</v>
      </c>
      <c r="E17" s="8">
        <f t="shared" si="0"/>
        <v>486</v>
      </c>
      <c r="F17" s="8">
        <f t="shared" si="0"/>
        <v>0.9</v>
      </c>
      <c r="G17" s="9">
        <f>5.2*F17*(LOG10(((6*1.8)-1.5)/(E17+3.5)))</f>
        <v>-8.055542418698838</v>
      </c>
      <c r="H17" s="8">
        <f>H6</f>
        <v>-10</v>
      </c>
      <c r="I17" s="8">
        <f>'BS4142 R1 - Coursers Farm'!I18</f>
        <v>900</v>
      </c>
      <c r="J17" s="8">
        <v>900</v>
      </c>
      <c r="K17" s="7">
        <f>D17-(20*LOG(E17/C17))+G17+H17-(10*LOG(J17/I17))</f>
        <v>-3.508867717224337</v>
      </c>
      <c r="L17" s="10">
        <f>L6</f>
        <v>2</v>
      </c>
      <c r="M17" s="5">
        <f>K17+L17</f>
        <v>-1.5088677172243372</v>
      </c>
      <c r="N17" s="19"/>
      <c r="O17" s="14"/>
      <c r="P17" s="14"/>
      <c r="Q17" s="14"/>
    </row>
    <row r="18" spans="1:17" ht="16.5" thickBot="1" thickTop="1">
      <c r="A18" s="6" t="str">
        <f t="shared" si="0"/>
        <v>Mixing Pit Pump</v>
      </c>
      <c r="B18" s="6">
        <f t="shared" si="0"/>
        <v>70.2</v>
      </c>
      <c r="C18" s="6">
        <f t="shared" si="0"/>
        <v>0.5</v>
      </c>
      <c r="D18" s="7">
        <f t="shared" si="0"/>
        <v>70.2</v>
      </c>
      <c r="E18" s="8">
        <f t="shared" si="0"/>
        <v>486</v>
      </c>
      <c r="F18" s="8">
        <f t="shared" si="0"/>
        <v>0.9</v>
      </c>
      <c r="G18" s="9">
        <f>5.2*F18*(LOG10(((6*1.8)-1.5)/(E18+3.5)))</f>
        <v>-8.055542418698838</v>
      </c>
      <c r="H18" s="8">
        <f>H7</f>
        <v>-10</v>
      </c>
      <c r="I18" s="8">
        <f>'BS4142 R1 - Coursers Farm'!I19</f>
        <v>900</v>
      </c>
      <c r="J18" s="8">
        <v>900</v>
      </c>
      <c r="K18" s="7">
        <f>D18-(20*LOG(E18/C18))+G18+H18-(10*LOG(J18/I18))</f>
        <v>-7.6088677172243315</v>
      </c>
      <c r="L18" s="10">
        <f>L7</f>
        <v>2</v>
      </c>
      <c r="M18" s="5">
        <f>K18+L18</f>
        <v>-5.6088677172243315</v>
      </c>
      <c r="N18" s="19"/>
      <c r="O18" s="14"/>
      <c r="P18" s="14"/>
      <c r="Q18" s="14"/>
    </row>
    <row r="19" ht="15.75" thickTop="1"/>
  </sheetData>
  <sheetProtection/>
  <mergeCells count="12">
    <mergeCell ref="Q14:Q18"/>
    <mergeCell ref="A1:A2"/>
    <mergeCell ref="L1:L2"/>
    <mergeCell ref="N3:N8"/>
    <mergeCell ref="O3:O8"/>
    <mergeCell ref="P3:P8"/>
    <mergeCell ref="Q3:Q8"/>
    <mergeCell ref="A12:A13"/>
    <mergeCell ref="L12:L13"/>
    <mergeCell ref="N14:N18"/>
    <mergeCell ref="O14:O18"/>
    <mergeCell ref="P14:P18"/>
  </mergeCells>
  <conditionalFormatting sqref="Q3">
    <cfRule type="cellIs" priority="3" dxfId="16" operator="lessThan">
      <formula>0</formula>
    </cfRule>
    <cfRule type="cellIs" priority="4" dxfId="17" operator="greaterThan">
      <formula>0</formula>
    </cfRule>
  </conditionalFormatting>
  <conditionalFormatting sqref="Q14">
    <cfRule type="cellIs" priority="1" dxfId="16" operator="lessThan">
      <formula>0</formula>
    </cfRule>
    <cfRule type="cellIs" priority="2" dxfId="1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9"/>
  <sheetViews>
    <sheetView zoomScale="115" zoomScaleNormal="115" zoomScalePageLayoutView="0" workbookViewId="0" topLeftCell="A13">
      <selection activeCell="R4" sqref="R4:R9"/>
    </sheetView>
  </sheetViews>
  <sheetFormatPr defaultColWidth="9.140625" defaultRowHeight="15"/>
  <cols>
    <col min="1" max="1" width="21.00390625" style="0" customWidth="1"/>
    <col min="7" max="11" width="12.7109375" style="0" customWidth="1"/>
    <col min="15" max="15" width="12.140625" style="0" customWidth="1"/>
  </cols>
  <sheetData>
    <row r="1" ht="15.75" thickBot="1">
      <c r="A1" s="11" t="s">
        <v>18</v>
      </c>
    </row>
    <row r="2" spans="1:17" ht="48.75" thickTop="1">
      <c r="A2" s="15" t="s">
        <v>4</v>
      </c>
      <c r="B2" s="1" t="s">
        <v>10</v>
      </c>
      <c r="C2" s="1" t="s">
        <v>11</v>
      </c>
      <c r="D2" s="1" t="s">
        <v>12</v>
      </c>
      <c r="E2" s="1" t="s">
        <v>5</v>
      </c>
      <c r="F2" s="1" t="s">
        <v>13</v>
      </c>
      <c r="G2" s="1" t="s">
        <v>14</v>
      </c>
      <c r="H2" s="1" t="s">
        <v>2</v>
      </c>
      <c r="I2" s="1" t="s">
        <v>16</v>
      </c>
      <c r="J2" s="1" t="s">
        <v>17</v>
      </c>
      <c r="K2" s="1" t="s">
        <v>19</v>
      </c>
      <c r="L2" s="15" t="s">
        <v>6</v>
      </c>
      <c r="M2" s="1" t="s">
        <v>21</v>
      </c>
      <c r="N2" s="1" t="s">
        <v>20</v>
      </c>
      <c r="O2" s="1" t="s">
        <v>7</v>
      </c>
      <c r="P2" s="1" t="s">
        <v>8</v>
      </c>
      <c r="Q2" s="1" t="s">
        <v>9</v>
      </c>
    </row>
    <row r="3" spans="1:17" ht="15.75" thickBot="1">
      <c r="A3" s="16"/>
      <c r="B3" s="2" t="s">
        <v>0</v>
      </c>
      <c r="C3" s="2" t="s">
        <v>1</v>
      </c>
      <c r="D3" s="2" t="s">
        <v>0</v>
      </c>
      <c r="E3" s="2" t="s">
        <v>1</v>
      </c>
      <c r="F3" s="2" t="s">
        <v>15</v>
      </c>
      <c r="G3" s="2" t="s">
        <v>0</v>
      </c>
      <c r="H3" s="2" t="s">
        <v>0</v>
      </c>
      <c r="I3" s="2" t="s">
        <v>3</v>
      </c>
      <c r="J3" s="2" t="s">
        <v>3</v>
      </c>
      <c r="K3" s="2" t="s">
        <v>0</v>
      </c>
      <c r="L3" s="17"/>
      <c r="M3" s="2" t="s">
        <v>0</v>
      </c>
      <c r="N3" s="2" t="s">
        <v>0</v>
      </c>
      <c r="O3" s="2" t="s">
        <v>0</v>
      </c>
      <c r="P3" s="4" t="s">
        <v>0</v>
      </c>
      <c r="Q3" s="2" t="s">
        <v>0</v>
      </c>
    </row>
    <row r="4" spans="1:18" ht="25.5" thickBot="1" thickTop="1">
      <c r="A4" s="6" t="str">
        <f>'BS4142 R1 - Coursers Farm'!A4</f>
        <v>2 x CHP (10m stack height)</v>
      </c>
      <c r="B4" s="6">
        <f>'BS4142 R1 - Coursers Farm'!B4</f>
        <v>65</v>
      </c>
      <c r="C4" s="6">
        <f>'BS4142 R1 - Coursers Farm'!C4</f>
        <v>10</v>
      </c>
      <c r="D4" s="7">
        <f>'BS4142 R1 - Coursers Farm'!D4</f>
        <v>68.01029995663983</v>
      </c>
      <c r="E4" s="8">
        <v>153</v>
      </c>
      <c r="F4" s="8">
        <v>0.2</v>
      </c>
      <c r="G4" s="9">
        <f>5.2*F4*(LOG10(((6*1.8)-1.5)/(E4+3.5)))</f>
        <v>-1.2750726490616733</v>
      </c>
      <c r="H4" s="8">
        <v>-10</v>
      </c>
      <c r="I4" s="8">
        <f>'BS4142 R1 - Coursers Farm'!I4</f>
        <v>3600</v>
      </c>
      <c r="J4" s="8">
        <v>3600</v>
      </c>
      <c r="K4" s="7">
        <f>D4-(20*LOG(E4/C4))+G4+H4-(10*LOG(J4/I4))</f>
        <v>33.04139869122618</v>
      </c>
      <c r="L4" s="10">
        <f>'BS4142 R1 - Coursers Farm'!L4</f>
        <v>6</v>
      </c>
      <c r="M4" s="5">
        <f>K4+L4</f>
        <v>39.04139869122618</v>
      </c>
      <c r="N4" s="18">
        <f>(10*LOG((10^(M4/10))+(10^(M5/10))+(10^(M6/10))+(10^(M7/10))+(10^(M8/10))+(10^(M9/10))))</f>
        <v>46.38484554517853</v>
      </c>
      <c r="O4" s="13">
        <v>54</v>
      </c>
      <c r="P4" s="13">
        <f>O4</f>
        <v>54</v>
      </c>
      <c r="Q4" s="13">
        <f>N4-P4</f>
        <v>-7.615154454821472</v>
      </c>
      <c r="R4" s="12"/>
    </row>
    <row r="5" spans="1:18" ht="16.5" thickBot="1" thickTop="1">
      <c r="A5" s="6" t="str">
        <f>'BS4142 R1 - Coursers Farm'!A5</f>
        <v>Exhaust Stack</v>
      </c>
      <c r="B5" s="6">
        <f>'BS4142 R1 - Coursers Farm'!B5</f>
        <v>70.5</v>
      </c>
      <c r="C5" s="6">
        <f>'BS4142 R1 - Coursers Farm'!C5</f>
        <v>1</v>
      </c>
      <c r="D5" s="7">
        <f>'BS4142 R1 - Coursers Farm'!D5</f>
        <v>70.5</v>
      </c>
      <c r="E5" s="8">
        <v>181</v>
      </c>
      <c r="F5" s="8">
        <v>0.8</v>
      </c>
      <c r="G5" s="9">
        <f>5.2*F5*(LOG10(((6*1.8)-1.5)/(E5+3.5)))</f>
        <v>-5.397655835275159</v>
      </c>
      <c r="H5" s="8">
        <v>0</v>
      </c>
      <c r="I5" s="8">
        <f>'BS4142 R1 - Coursers Farm'!I5</f>
        <v>3600</v>
      </c>
      <c r="J5" s="8">
        <v>3600</v>
      </c>
      <c r="K5" s="7">
        <f>D5-(20*LOG(E5/C5))+G5+H5-(10*LOG(J5/I5))</f>
        <v>19.948772667341146</v>
      </c>
      <c r="L5" s="10">
        <f>'BS4142 R1 - Coursers Farm'!L5</f>
        <v>2</v>
      </c>
      <c r="M5" s="5">
        <f>K5+L5</f>
        <v>21.948772667341146</v>
      </c>
      <c r="N5" s="19"/>
      <c r="O5" s="14"/>
      <c r="P5" s="14"/>
      <c r="Q5" s="14"/>
      <c r="R5" s="12"/>
    </row>
    <row r="6" spans="1:18" ht="16.5" thickBot="1" thickTop="1">
      <c r="A6" s="6" t="str">
        <f>'BS4142 R1 - Coursers Farm'!A6</f>
        <v>Digester Loading Pump</v>
      </c>
      <c r="B6" s="6">
        <f>'BS4142 R1 - Coursers Farm'!B6</f>
        <v>71.8</v>
      </c>
      <c r="C6" s="6">
        <f>'BS4142 R1 - Coursers Farm'!C6</f>
        <v>1</v>
      </c>
      <c r="D6" s="7">
        <f>'BS4142 R1 - Coursers Farm'!D6</f>
        <v>71.8</v>
      </c>
      <c r="E6" s="8">
        <v>103</v>
      </c>
      <c r="F6" s="8">
        <v>0.8</v>
      </c>
      <c r="G6" s="9">
        <f>5.2*F6*(LOG10(((6*1.8)-1.5)/(E6+3.5)))</f>
        <v>-4.4048853023586165</v>
      </c>
      <c r="H6" s="8">
        <v>-5</v>
      </c>
      <c r="I6" s="8">
        <f>'BS4142 R1 - Coursers Farm'!I6</f>
        <v>120</v>
      </c>
      <c r="J6" s="8">
        <v>3600</v>
      </c>
      <c r="K6" s="7">
        <f>D6-(20*LOG(E6/C6))+G6+H6-(10*LOG(J6/I6))</f>
        <v>7.367157656341314</v>
      </c>
      <c r="L6" s="10">
        <f>'BS4142 R1 - Coursers Farm'!L6</f>
        <v>2</v>
      </c>
      <c r="M6" s="5">
        <f>K6+L6</f>
        <v>9.367157656341314</v>
      </c>
      <c r="N6" s="19"/>
      <c r="O6" s="14"/>
      <c r="P6" s="14"/>
      <c r="Q6" s="14"/>
      <c r="R6" s="12"/>
    </row>
    <row r="7" spans="1:18" ht="16.5" thickBot="1" thickTop="1">
      <c r="A7" s="6" t="str">
        <f>'BS4142 R1 - Coursers Farm'!A7</f>
        <v>Hydraulic Pump</v>
      </c>
      <c r="B7" s="6">
        <f>'BS4142 R1 - Coursers Farm'!B7</f>
        <v>74.3</v>
      </c>
      <c r="C7" s="6">
        <f>'BS4142 R1 - Coursers Farm'!C7</f>
        <v>0.5</v>
      </c>
      <c r="D7" s="7">
        <f>'BS4142 R1 - Coursers Farm'!D7</f>
        <v>74.3</v>
      </c>
      <c r="E7" s="8">
        <v>63</v>
      </c>
      <c r="F7" s="8">
        <v>0.2</v>
      </c>
      <c r="G7" s="9">
        <f>5.2*F7*(LOG10(((6*1.8)-1.5)/(E7+3.5)))</f>
        <v>-0.8885122446191362</v>
      </c>
      <c r="H7" s="8">
        <v>-10</v>
      </c>
      <c r="I7" s="8">
        <f>'BS4142 R1 - Coursers Farm'!I7</f>
        <v>3600</v>
      </c>
      <c r="J7" s="8">
        <v>3600</v>
      </c>
      <c r="K7" s="7">
        <f>D7-(20*LOG(E7/C7))+G7+H7-(10*LOG(J7/I7))</f>
        <v>21.4040768530296</v>
      </c>
      <c r="L7" s="10">
        <f>'BS4142 R1 - Coursers Farm'!L7</f>
        <v>2</v>
      </c>
      <c r="M7" s="5">
        <f>K7+L7</f>
        <v>23.4040768530296</v>
      </c>
      <c r="N7" s="19"/>
      <c r="O7" s="14"/>
      <c r="P7" s="14"/>
      <c r="Q7" s="14"/>
      <c r="R7" s="12"/>
    </row>
    <row r="8" spans="1:18" ht="16.5" thickBot="1" thickTop="1">
      <c r="A8" s="6" t="str">
        <f>'BS4142 R1 - Coursers Farm'!A8</f>
        <v>Mixing Pit Pump</v>
      </c>
      <c r="B8" s="6">
        <f>'BS4142 R1 - Coursers Farm'!B8</f>
        <v>70.2</v>
      </c>
      <c r="C8" s="6">
        <f>'BS4142 R1 - Coursers Farm'!C8</f>
        <v>0.5</v>
      </c>
      <c r="D8" s="7">
        <f>'BS4142 R1 - Coursers Farm'!D8</f>
        <v>70.2</v>
      </c>
      <c r="E8" s="8">
        <v>63</v>
      </c>
      <c r="F8" s="8">
        <v>0.2</v>
      </c>
      <c r="G8" s="9">
        <f>5.2*F8*(LOG10(((6*1.8)-1.5)/(E8+3.5)))</f>
        <v>-0.8885122446191362</v>
      </c>
      <c r="H8" s="8">
        <v>-10</v>
      </c>
      <c r="I8" s="8">
        <f>'BS4142 R1 - Coursers Farm'!I8</f>
        <v>3600</v>
      </c>
      <c r="J8" s="8">
        <v>3600</v>
      </c>
      <c r="K8" s="7">
        <f>D8-(20*LOG(E8/C8))+G8+H8-(10*LOG(J8/I8))</f>
        <v>17.304076853029606</v>
      </c>
      <c r="L8" s="10">
        <f>'BS4142 R1 - Coursers Farm'!L8</f>
        <v>2</v>
      </c>
      <c r="M8" s="5">
        <f>K8+L8</f>
        <v>19.304076853029606</v>
      </c>
      <c r="N8" s="19"/>
      <c r="O8" s="14"/>
      <c r="P8" s="14"/>
      <c r="Q8" s="14"/>
      <c r="R8" s="12"/>
    </row>
    <row r="9" spans="1:18" ht="16.5" thickBot="1" thickTop="1">
      <c r="A9" s="6" t="str">
        <f>'BS4142 R1 - Coursers Farm'!A9</f>
        <v>Reception Building</v>
      </c>
      <c r="B9" s="6">
        <f>'BS4142 R1 - Coursers Farm'!B9</f>
        <v>69.2</v>
      </c>
      <c r="C9" s="6">
        <f>'BS4142 R1 - Coursers Farm'!C9</f>
        <v>10</v>
      </c>
      <c r="D9" s="7">
        <f>'BS4142 R1 - Coursers Farm'!D9</f>
        <v>69.2</v>
      </c>
      <c r="E9" s="8">
        <v>86</v>
      </c>
      <c r="F9" s="8">
        <v>0.6</v>
      </c>
      <c r="G9" s="9">
        <f>5.2*F9*(LOG10(((6*1.8)-1.5)/(E9+3.5)))</f>
        <v>-3.068021070697368</v>
      </c>
      <c r="H9" s="8">
        <v>-5</v>
      </c>
      <c r="I9" s="8">
        <f>'BS4142 R1 - Coursers Farm'!I9</f>
        <v>3600</v>
      </c>
      <c r="J9" s="8">
        <v>3600</v>
      </c>
      <c r="K9" s="7">
        <f>D9-(20*LOG(E9/C9))+G9+H9-(10*LOG(J9/I9))</f>
        <v>42.44200990443128</v>
      </c>
      <c r="L9" s="10">
        <f>'BS4142 R1 - Coursers Farm'!L9</f>
        <v>3</v>
      </c>
      <c r="M9" s="5">
        <f>K9+L9</f>
        <v>45.44200990443128</v>
      </c>
      <c r="N9" s="19"/>
      <c r="O9" s="14"/>
      <c r="P9" s="14"/>
      <c r="Q9" s="14"/>
      <c r="R9" s="12"/>
    </row>
    <row r="10" ht="15.75" thickTop="1"/>
  </sheetData>
  <sheetProtection/>
  <mergeCells count="6">
    <mergeCell ref="Q4:Q9"/>
    <mergeCell ref="A2:A3"/>
    <mergeCell ref="L2:L3"/>
    <mergeCell ref="N4:N9"/>
    <mergeCell ref="O4:O9"/>
    <mergeCell ref="P4:P9"/>
  </mergeCells>
  <conditionalFormatting sqref="Q4">
    <cfRule type="cellIs" priority="3" dxfId="16" operator="lessThan">
      <formula>0</formula>
    </cfRule>
    <cfRule type="cellIs" priority="4" dxfId="1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9"/>
  <sheetViews>
    <sheetView zoomScale="115" zoomScaleNormal="115" zoomScalePageLayoutView="0" workbookViewId="0" topLeftCell="A1">
      <selection activeCell="O20" sqref="O20"/>
    </sheetView>
  </sheetViews>
  <sheetFormatPr defaultColWidth="9.140625" defaultRowHeight="15"/>
  <cols>
    <col min="1" max="1" width="21.00390625" style="0" customWidth="1"/>
    <col min="7" max="11" width="12.7109375" style="0" customWidth="1"/>
    <col min="15" max="15" width="12.140625" style="0" customWidth="1"/>
  </cols>
  <sheetData>
    <row r="1" ht="15.75" thickBot="1">
      <c r="A1" s="11" t="s">
        <v>18</v>
      </c>
    </row>
    <row r="2" spans="1:17" ht="48.75" thickTop="1">
      <c r="A2" s="15" t="s">
        <v>4</v>
      </c>
      <c r="B2" s="1" t="s">
        <v>10</v>
      </c>
      <c r="C2" s="1" t="s">
        <v>11</v>
      </c>
      <c r="D2" s="1" t="s">
        <v>12</v>
      </c>
      <c r="E2" s="1" t="s">
        <v>5</v>
      </c>
      <c r="F2" s="1" t="s">
        <v>13</v>
      </c>
      <c r="G2" s="1" t="s">
        <v>14</v>
      </c>
      <c r="H2" s="1" t="s">
        <v>2</v>
      </c>
      <c r="I2" s="1" t="s">
        <v>16</v>
      </c>
      <c r="J2" s="1" t="s">
        <v>17</v>
      </c>
      <c r="K2" s="1" t="s">
        <v>19</v>
      </c>
      <c r="L2" s="15" t="s">
        <v>6</v>
      </c>
      <c r="M2" s="1" t="s">
        <v>21</v>
      </c>
      <c r="N2" s="1" t="s">
        <v>20</v>
      </c>
      <c r="O2" s="1" t="s">
        <v>7</v>
      </c>
      <c r="P2" s="1" t="s">
        <v>8</v>
      </c>
      <c r="Q2" s="1" t="s">
        <v>9</v>
      </c>
    </row>
    <row r="3" spans="1:17" ht="15.75" thickBot="1">
      <c r="A3" s="16"/>
      <c r="B3" s="2" t="s">
        <v>0</v>
      </c>
      <c r="C3" s="2" t="s">
        <v>1</v>
      </c>
      <c r="D3" s="2" t="s">
        <v>0</v>
      </c>
      <c r="E3" s="2" t="s">
        <v>1</v>
      </c>
      <c r="F3" s="2" t="s">
        <v>15</v>
      </c>
      <c r="G3" s="2" t="s">
        <v>0</v>
      </c>
      <c r="H3" s="2" t="s">
        <v>0</v>
      </c>
      <c r="I3" s="2" t="s">
        <v>3</v>
      </c>
      <c r="J3" s="2" t="s">
        <v>3</v>
      </c>
      <c r="K3" s="2" t="s">
        <v>0</v>
      </c>
      <c r="L3" s="17"/>
      <c r="M3" s="2" t="s">
        <v>0</v>
      </c>
      <c r="N3" s="2" t="s">
        <v>0</v>
      </c>
      <c r="O3" s="2" t="s">
        <v>0</v>
      </c>
      <c r="P3" s="4" t="s">
        <v>0</v>
      </c>
      <c r="Q3" s="2" t="s">
        <v>0</v>
      </c>
    </row>
    <row r="4" spans="1:18" ht="25.5" thickBot="1" thickTop="1">
      <c r="A4" s="6" t="str">
        <f>'BS4142 R1 - Coursers Farm'!A4</f>
        <v>2 x CHP (10m stack height)</v>
      </c>
      <c r="B4" s="6">
        <f>'BS4142 R1 - Coursers Farm'!B4</f>
        <v>65</v>
      </c>
      <c r="C4" s="6">
        <f>'BS4142 R1 - Coursers Farm'!C4</f>
        <v>10</v>
      </c>
      <c r="D4" s="7">
        <f>'BS4142 R1 - Coursers Farm'!D4</f>
        <v>68.01029995663983</v>
      </c>
      <c r="E4" s="8">
        <v>131</v>
      </c>
      <c r="F4" s="8">
        <v>0.5</v>
      </c>
      <c r="G4" s="9">
        <f>5.2*F4*(LOG10(((6*1.8)-1.5)/(E4+3.5)))</f>
        <v>-3.0166222730396783</v>
      </c>
      <c r="H4" s="8">
        <v>0</v>
      </c>
      <c r="I4" s="8">
        <f>'BS4142 R1 - Coursers Farm'!I4</f>
        <v>3600</v>
      </c>
      <c r="J4" s="8">
        <v>3600</v>
      </c>
      <c r="K4" s="7">
        <f>D4-(20*LOG(E4/C4))+G4+H4-(10*LOG(J4/I4))</f>
        <v>42.64825177048486</v>
      </c>
      <c r="L4" s="10">
        <f>'BS4142 R1 - Coursers Farm'!L4</f>
        <v>6</v>
      </c>
      <c r="M4" s="5">
        <f>K4+L4</f>
        <v>48.64825177048486</v>
      </c>
      <c r="N4" s="18">
        <f>(10*LOG((10^(M4/10))+(10^(M5/10))+(10^(M6/10))+(10^(M7/10))+(10^(M8/10))+(10^(M9/10))))</f>
        <v>50.407911559046916</v>
      </c>
      <c r="O4" s="13">
        <v>54</v>
      </c>
      <c r="P4" s="13">
        <f>O4</f>
        <v>54</v>
      </c>
      <c r="Q4" s="13">
        <f>N4-P4</f>
        <v>-3.592088440953084</v>
      </c>
      <c r="R4" s="12"/>
    </row>
    <row r="5" spans="1:18" ht="16.5" thickBot="1" thickTop="1">
      <c r="A5" s="6" t="str">
        <f>'BS4142 R1 - Coursers Farm'!A5</f>
        <v>Exhaust Stack</v>
      </c>
      <c r="B5" s="6">
        <f>'BS4142 R1 - Coursers Farm'!B5</f>
        <v>70.5</v>
      </c>
      <c r="C5" s="6">
        <f>'BS4142 R1 - Coursers Farm'!C5</f>
        <v>1</v>
      </c>
      <c r="D5" s="7">
        <f>'BS4142 R1 - Coursers Farm'!D5</f>
        <v>70.5</v>
      </c>
      <c r="E5" s="8">
        <v>144</v>
      </c>
      <c r="F5" s="8">
        <v>0.5</v>
      </c>
      <c r="G5" s="9">
        <f>5.2*F5*(LOG10(((6*1.8)-1.5)/(E5+3.5)))</f>
        <v>-3.1208035865766415</v>
      </c>
      <c r="H5" s="8">
        <v>0</v>
      </c>
      <c r="I5" s="8">
        <f>'BS4142 R1 - Coursers Farm'!I5</f>
        <v>3600</v>
      </c>
      <c r="J5" s="8">
        <v>3600</v>
      </c>
      <c r="K5" s="7">
        <f>D5-(20*LOG(E5/C5))+G5+H5-(10*LOG(J5/I5))</f>
        <v>24.21194657151836</v>
      </c>
      <c r="L5" s="10">
        <f>'BS4142 R1 - Coursers Farm'!L5</f>
        <v>2</v>
      </c>
      <c r="M5" s="5">
        <f>K5+L5</f>
        <v>26.21194657151836</v>
      </c>
      <c r="N5" s="19"/>
      <c r="O5" s="14"/>
      <c r="P5" s="14"/>
      <c r="Q5" s="14"/>
      <c r="R5" s="12"/>
    </row>
    <row r="6" spans="1:18" ht="16.5" thickBot="1" thickTop="1">
      <c r="A6" s="6" t="str">
        <f>'BS4142 R1 - Coursers Farm'!A6</f>
        <v>Digester Loading Pump</v>
      </c>
      <c r="B6" s="6">
        <f>'BS4142 R1 - Coursers Farm'!B6</f>
        <v>71.8</v>
      </c>
      <c r="C6" s="6">
        <f>'BS4142 R1 - Coursers Farm'!C6</f>
        <v>1</v>
      </c>
      <c r="D6" s="7">
        <f>'BS4142 R1 - Coursers Farm'!D6</f>
        <v>71.8</v>
      </c>
      <c r="E6" s="8">
        <v>155</v>
      </c>
      <c r="F6" s="8">
        <v>0.5</v>
      </c>
      <c r="G6" s="9">
        <f>5.2*F6*(LOG10(((6*1.8)-1.5)/(E6+3.5)))</f>
        <v>-3.2020204267995713</v>
      </c>
      <c r="H6" s="8">
        <v>-10</v>
      </c>
      <c r="I6" s="8">
        <f>'BS4142 R1 - Coursers Farm'!I6</f>
        <v>120</v>
      </c>
      <c r="J6" s="8">
        <v>3600</v>
      </c>
      <c r="K6" s="7">
        <f>D6-(20*LOG(E6/C6))+G6+H6-(10*LOG(J6/I6))</f>
        <v>0.02013306259797254</v>
      </c>
      <c r="L6" s="10">
        <f>'BS4142 R1 - Coursers Farm'!L6</f>
        <v>2</v>
      </c>
      <c r="M6" s="5">
        <f>K6+L6</f>
        <v>2.0201330625979725</v>
      </c>
      <c r="N6" s="19"/>
      <c r="O6" s="14"/>
      <c r="P6" s="14"/>
      <c r="Q6" s="14"/>
      <c r="R6" s="12"/>
    </row>
    <row r="7" spans="1:18" ht="16.5" thickBot="1" thickTop="1">
      <c r="A7" s="6" t="str">
        <f>'BS4142 R1 - Coursers Farm'!A7</f>
        <v>Hydraulic Pump</v>
      </c>
      <c r="B7" s="6">
        <f>'BS4142 R1 - Coursers Farm'!B7</f>
        <v>74.3</v>
      </c>
      <c r="C7" s="6">
        <f>'BS4142 R1 - Coursers Farm'!C7</f>
        <v>0.5</v>
      </c>
      <c r="D7" s="7">
        <f>'BS4142 R1 - Coursers Farm'!D7</f>
        <v>74.3</v>
      </c>
      <c r="E7" s="8">
        <v>147</v>
      </c>
      <c r="F7" s="8">
        <v>0.5</v>
      </c>
      <c r="G7" s="9">
        <f>5.2*F7*(LOG10(((6*1.8)-1.5)/(E7+3.5)))</f>
        <v>-3.1435392335774104</v>
      </c>
      <c r="H7" s="8">
        <v>-10</v>
      </c>
      <c r="I7" s="8">
        <f>'BS4142 R1 - Coursers Farm'!I7</f>
        <v>3600</v>
      </c>
      <c r="J7" s="8">
        <v>3600</v>
      </c>
      <c r="K7" s="7">
        <f>D7-(20*LOG(E7/C7))+G7+H7-(10*LOG(J7/I7))</f>
        <v>11.78951415817944</v>
      </c>
      <c r="L7" s="10">
        <f>'BS4142 R1 - Coursers Farm'!L7</f>
        <v>2</v>
      </c>
      <c r="M7" s="5">
        <f>K7+L7</f>
        <v>13.78951415817944</v>
      </c>
      <c r="N7" s="19"/>
      <c r="O7" s="14"/>
      <c r="P7" s="14"/>
      <c r="Q7" s="14"/>
      <c r="R7" s="12"/>
    </row>
    <row r="8" spans="1:18" ht="16.5" thickBot="1" thickTop="1">
      <c r="A8" s="6" t="str">
        <f>'BS4142 R1 - Coursers Farm'!A8</f>
        <v>Mixing Pit Pump</v>
      </c>
      <c r="B8" s="6">
        <f>'BS4142 R1 - Coursers Farm'!B8</f>
        <v>70.2</v>
      </c>
      <c r="C8" s="6">
        <f>'BS4142 R1 - Coursers Farm'!C8</f>
        <v>0.5</v>
      </c>
      <c r="D8" s="7">
        <f>'BS4142 R1 - Coursers Farm'!D8</f>
        <v>70.2</v>
      </c>
      <c r="E8" s="8">
        <v>147</v>
      </c>
      <c r="F8" s="8">
        <v>0.5</v>
      </c>
      <c r="G8" s="9">
        <f>5.2*F8*(LOG10(((6*1.8)-1.5)/(E8+3.5)))</f>
        <v>-3.1435392335774104</v>
      </c>
      <c r="H8" s="8">
        <v>-10</v>
      </c>
      <c r="I8" s="8">
        <f>'BS4142 R1 - Coursers Farm'!I8</f>
        <v>3600</v>
      </c>
      <c r="J8" s="8">
        <v>3600</v>
      </c>
      <c r="K8" s="7">
        <f>D8-(20*LOG(E8/C8))+G8+H8-(10*LOG(J8/I8))</f>
        <v>7.6895141581794455</v>
      </c>
      <c r="L8" s="10">
        <f>'BS4142 R1 - Coursers Farm'!L8</f>
        <v>2</v>
      </c>
      <c r="M8" s="5">
        <f>K8+L8</f>
        <v>9.689514158179446</v>
      </c>
      <c r="N8" s="19"/>
      <c r="O8" s="14"/>
      <c r="P8" s="14"/>
      <c r="Q8" s="14"/>
      <c r="R8" s="12"/>
    </row>
    <row r="9" spans="1:18" ht="16.5" thickBot="1" thickTop="1">
      <c r="A9" s="6" t="str">
        <f>'BS4142 R1 - Coursers Farm'!A9</f>
        <v>Reception Building</v>
      </c>
      <c r="B9" s="6">
        <f>'BS4142 R1 - Coursers Farm'!B9</f>
        <v>69.2</v>
      </c>
      <c r="C9" s="6">
        <f>'BS4142 R1 - Coursers Farm'!C9</f>
        <v>10</v>
      </c>
      <c r="D9" s="7">
        <f>'BS4142 R1 - Coursers Farm'!D9</f>
        <v>69.2</v>
      </c>
      <c r="E9" s="8">
        <v>106</v>
      </c>
      <c r="F9" s="8">
        <v>0.2</v>
      </c>
      <c r="G9" s="9">
        <f>5.2*F9*(LOG10(((6*1.8)-1.5)/(E9+3.5)))</f>
        <v>-1.11376841744709</v>
      </c>
      <c r="H9" s="8">
        <v>-5</v>
      </c>
      <c r="I9" s="8">
        <f>'BS4142 R1 - Coursers Farm'!I9</f>
        <v>3600</v>
      </c>
      <c r="J9" s="8">
        <v>3600</v>
      </c>
      <c r="K9" s="7">
        <f>D9-(20*LOG(E9/C9))+G9+H9-(10*LOG(J9/I9))</f>
        <v>42.58011427725751</v>
      </c>
      <c r="L9" s="10">
        <f>'BS4142 R1 - Coursers Farm'!L9</f>
        <v>3</v>
      </c>
      <c r="M9" s="5">
        <f>K9+L9</f>
        <v>45.58011427725751</v>
      </c>
      <c r="N9" s="19"/>
      <c r="O9" s="14"/>
      <c r="P9" s="14"/>
      <c r="Q9" s="14"/>
      <c r="R9" s="12"/>
    </row>
    <row r="10" ht="15.75" thickTop="1"/>
  </sheetData>
  <sheetProtection/>
  <mergeCells count="6">
    <mergeCell ref="Q4:Q9"/>
    <mergeCell ref="A2:A3"/>
    <mergeCell ref="L2:L3"/>
    <mergeCell ref="N4:N9"/>
    <mergeCell ref="O4:O9"/>
    <mergeCell ref="P4:P9"/>
  </mergeCells>
  <conditionalFormatting sqref="Q4">
    <cfRule type="cellIs" priority="3" dxfId="16" operator="lessThan">
      <formula>0</formula>
    </cfRule>
    <cfRule type="cellIs" priority="4" dxfId="17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2016-05-23T10:15:15Z</dcterms:modified>
  <cp:category/>
  <cp:version/>
  <cp:contentType/>
  <cp:contentStatus/>
</cp:coreProperties>
</file>