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20730" windowHeight="11640" activeTab="2"/>
  </bookViews>
  <sheets>
    <sheet name="Letter" sheetId="1" r:id="rId1"/>
    <sheet name="Guidance Notes" sheetId="2" r:id="rId2"/>
    <sheet name="Form" sheetId="3" r:id="rId3"/>
    <sheet name="Validation" sheetId="4" r:id="rId4"/>
    <sheet name="LA_info" sheetId="5" state="hidden" r:id="rId5"/>
    <sheet name="Underlying Data" sheetId="6" state="hidden" r:id="rId6"/>
    <sheet name="accessdata" sheetId="7" state="hidden" r:id="rId7"/>
    <sheet name="Validation_data" sheetId="8" state="hidden" r:id="rId8"/>
  </sheets>
  <definedNames>
    <definedName name="_xlnm.Print_Area" localSheetId="2">'Form'!$A$1:$P$88</definedName>
  </definedNames>
  <calcPr fullCalcOnLoad="1"/>
</workbook>
</file>

<file path=xl/comments3.xml><?xml version="1.0" encoding="utf-8"?>
<comments xmlns="http://schemas.openxmlformats.org/spreadsheetml/2006/main">
  <authors>
    <author>Danielle Ryan</author>
  </authors>
  <commentList>
    <comment ref="E79" authorId="0">
      <text>
        <r>
          <rPr>
            <sz val="9"/>
            <rFont val="Tahoma"/>
            <family val="2"/>
          </rPr>
          <t xml:space="preserve">Property Market funds should be entered here
</t>
        </r>
      </text>
    </comment>
    <comment ref="G83" authorId="0">
      <text>
        <r>
          <rPr>
            <b/>
            <sz val="9"/>
            <rFont val="Tahoma"/>
            <family val="2"/>
          </rPr>
          <t>Please reason and / or source of the increase in borrowing or investments here. I.E. Sale of land, purchase of new council building, Flood protection grants received etc...</t>
        </r>
      </text>
    </comment>
  </commentList>
</comments>
</file>

<file path=xl/comments4.xml><?xml version="1.0" encoding="utf-8"?>
<comments xmlns="http://schemas.openxmlformats.org/spreadsheetml/2006/main">
  <authors>
    <author>Danielle Ryan</author>
  </authors>
  <commentList>
    <comment ref="G53" authorId="0">
      <text>
        <r>
          <rPr>
            <sz val="9"/>
            <rFont val="Tahoma"/>
            <family val="2"/>
          </rPr>
          <t xml:space="preserve">
Please reason and / or source of the increase in borrowing or investments here. I.E. Sale of land, purchase of new council building, Flood protection grants received etc...</t>
        </r>
      </text>
    </comment>
  </commentList>
</comments>
</file>

<file path=xl/sharedStrings.xml><?xml version="1.0" encoding="utf-8"?>
<sst xmlns="http://schemas.openxmlformats.org/spreadsheetml/2006/main" count="1761" uniqueCount="802">
  <si>
    <t>Monthly Borrowing and Lending Inquiry</t>
  </si>
  <si>
    <t>Please complete the attached Local Authority Borrowing and Lending Inquiry form and return to:</t>
  </si>
  <si>
    <t>borrowing.statistics@communities.gsi.gov.uk    by:</t>
  </si>
  <si>
    <t>Please read all relevant guidance notes before completing the form.</t>
  </si>
  <si>
    <t>The figures you provide will be used to compile Public Sector Net Borrowing and Public Sector Net Debt, key economic statistics of the Government's fiscal policy. These are used by HM Treasury and Bank of England when setting fiscal and monetary policy for the UK, and are published in the Public Sector Finances First Release, by HM Treasury and the Office for National Statistics (ONS). We ask you to provide data very quickly so that we can produce accurate estimates for all local authorities, which we deliver to ONS on the seventh working day of each month. The Public Sector Finances First Release is then published on the 14th day of the month and can be found on the Internet at:</t>
  </si>
  <si>
    <t>http://www.ons.gov.uk/ons/rel/psa/public-sector-finances/february-2015/tsd---public-sector-finances.html</t>
  </si>
  <si>
    <t>In order to minimise the burden on respondents, and to make sure that information is available when we ask for it, the detailed information on investments in externally managed funds will be collected quarterly, and one month in arrears. For example, information on investments in externally managed funds at end June would be requested in the July form.</t>
  </si>
  <si>
    <t>Rest of the world or UK banks - Guidance</t>
  </si>
  <si>
    <t>A list of banks can be found at:</t>
  </si>
  <si>
    <t>www.bankofengland.co.uk/pra/Pages/authorisations/banksbuildingsocietieslist.aspx</t>
  </si>
  <si>
    <t>We may use figures from individual authorities to answer Parliamentary questions, so please use the notes box on the form to give details of any unusual events or changes which affect the figures for your authority.</t>
  </si>
  <si>
    <t>Icelandic Banks</t>
  </si>
  <si>
    <t>Investments with Icelandic banks should be recorded on the form using the above bank classification guidance. Please note that the following Icelandic banks should be classified as banks in UK:</t>
  </si>
  <si>
    <t>• Heritable Bank Ltd</t>
  </si>
  <si>
    <t>• Kaupthing Singer &amp; Friedlander Ltd</t>
  </si>
  <si>
    <t>• Glitnir Banki hf</t>
  </si>
  <si>
    <t>• Kaupthing Bank hf</t>
  </si>
  <si>
    <t>• Landsbanki islands hf</t>
  </si>
  <si>
    <t xml:space="preserve">This applies to deposits and certificates of deposit held as internal investments or held in externally managed funds. </t>
  </si>
  <si>
    <r>
      <t xml:space="preserve">1) 'Banks incorporated in the United Kingdom' should be classed as </t>
    </r>
    <r>
      <rPr>
        <b/>
        <sz val="12"/>
        <color indexed="10"/>
        <rFont val="Arial"/>
        <family val="2"/>
      </rPr>
      <t>UK banks</t>
    </r>
    <r>
      <rPr>
        <sz val="12"/>
        <color theme="1"/>
        <rFont val="Arial"/>
        <family val="2"/>
      </rPr>
      <t xml:space="preserve"> e.g. Abbey National plc</t>
    </r>
  </si>
  <si>
    <r>
      <t xml:space="preserve">2) 'Banks incorporated inside or outside the EEA but authorised or entitled to accept
     deposits through a branch in the UK' should be classed as </t>
    </r>
    <r>
      <rPr>
        <b/>
        <sz val="12"/>
        <color indexed="10"/>
        <rFont val="Arial"/>
        <family val="2"/>
      </rPr>
      <t>UK banks</t>
    </r>
    <r>
      <rPr>
        <sz val="12"/>
        <color theme="1"/>
        <rFont val="Arial"/>
        <family val="2"/>
      </rPr>
      <t xml:space="preserve"> e.g. Dresdner
     bank AG</t>
    </r>
  </si>
  <si>
    <r>
      <t xml:space="preserve">3) 'Banks authorised in the EEA entitled to establish branches in the UK but not to accept
    deposits in the UK' should be classed as </t>
    </r>
    <r>
      <rPr>
        <b/>
        <sz val="12"/>
        <color indexed="10"/>
        <rFont val="Arial"/>
        <family val="2"/>
      </rPr>
      <t>rest of the world banks</t>
    </r>
    <r>
      <rPr>
        <sz val="12"/>
        <color theme="1"/>
        <rFont val="Arial"/>
        <family val="2"/>
      </rPr>
      <t xml:space="preserve"> e.g. Depfa bank plc</t>
    </r>
  </si>
  <si>
    <r>
      <t xml:space="preserve">If you have any questions on the completion of these forms, then please telephone </t>
    </r>
    <r>
      <rPr>
        <b/>
        <sz val="12"/>
        <color indexed="8"/>
        <rFont val="Arial"/>
        <family val="2"/>
      </rPr>
      <t>0303 444 2123</t>
    </r>
    <r>
      <rPr>
        <sz val="12"/>
        <color theme="1"/>
        <rFont val="Arial"/>
        <family val="2"/>
      </rPr>
      <t xml:space="preserve"> or </t>
    </r>
    <r>
      <rPr>
        <b/>
        <sz val="12"/>
        <color indexed="8"/>
        <rFont val="Arial"/>
        <family val="2"/>
      </rPr>
      <t>0303 444 2867</t>
    </r>
    <r>
      <rPr>
        <sz val="12"/>
        <color theme="1"/>
        <rFont val="Arial"/>
        <family val="2"/>
      </rPr>
      <t>.</t>
    </r>
  </si>
  <si>
    <t>Monthly Borrowing and Lending Inquiry - Guidance Notes</t>
  </si>
  <si>
    <t>GENERAL NOTES :</t>
  </si>
  <si>
    <t>Coverage</t>
  </si>
  <si>
    <t>- Pension funds are regarded as external; transactions with pension funds should be recorded under
   "Other financial intermediaries".</t>
  </si>
  <si>
    <t>- Local authority companies are regarded as external; companies  wholly or majority owned by a local
  authority or a group of local authorities should be recorded under "Public corporations", companies
  where local authorities own a minority of shares should be recorded under "Private non-financial
  corporations".</t>
  </si>
  <si>
    <t>- Advances and repayments under the Housing Act 1985 (Home Improvement grants etc) are not
  regarded as external. These should not be recorded on the form.</t>
  </si>
  <si>
    <r>
      <t xml:space="preserve">In particular, you should </t>
    </r>
    <r>
      <rPr>
        <b/>
        <sz val="12"/>
        <color indexed="8"/>
        <rFont val="Arial"/>
        <family val="2"/>
      </rPr>
      <t>exclude</t>
    </r>
    <r>
      <rPr>
        <sz val="12"/>
        <color theme="1"/>
        <rFont val="Arial"/>
        <family val="2"/>
      </rPr>
      <t>:</t>
    </r>
  </si>
  <si>
    <r>
      <t xml:space="preserve">and </t>
    </r>
    <r>
      <rPr>
        <b/>
        <sz val="12"/>
        <color indexed="8"/>
        <rFont val="Arial"/>
        <family val="2"/>
      </rPr>
      <t>include</t>
    </r>
    <r>
      <rPr>
        <sz val="12"/>
        <color theme="1"/>
        <rFont val="Arial"/>
        <family val="2"/>
      </rPr>
      <t>:</t>
    </r>
  </si>
  <si>
    <t>- Billing authorities' internal borrowing and lending between the General Fund and the Collection Fund;</t>
  </si>
  <si>
    <t>- Internal debt and repayments;</t>
  </si>
  <si>
    <t>- All external borrowing and lending;</t>
  </si>
  <si>
    <t>- All stocks, bonds, mortgages, equities, debentures, holdings of shares in wholly owned companies,
  airports etc.</t>
  </si>
  <si>
    <t>- All local authority funds and reserves, including those managed externally, with the exception of
  pension funds and any charitable trust funds administered by your authority.</t>
  </si>
  <si>
    <t>Impairments</t>
  </si>
  <si>
    <r>
      <rPr>
        <b/>
        <sz val="12"/>
        <color indexed="8"/>
        <rFont val="Arial"/>
        <family val="2"/>
      </rPr>
      <t>G1.</t>
    </r>
    <r>
      <rPr>
        <sz val="12"/>
        <color theme="1"/>
        <rFont val="Arial"/>
        <family val="2"/>
      </rPr>
      <t xml:space="preserve">  The borrowing and lending inquiry covers </t>
    </r>
    <r>
      <rPr>
        <b/>
        <sz val="12"/>
        <color indexed="8"/>
        <rFont val="Arial"/>
        <family val="2"/>
      </rPr>
      <t>all</t>
    </r>
    <r>
      <rPr>
        <sz val="12"/>
        <color theme="1"/>
        <rFont val="Arial"/>
        <family val="2"/>
      </rPr>
      <t xml:space="preserve"> external borrowing, lending and transactions in
         financial assets of local authorities in the United Kingdom.  There are three caveats:</t>
    </r>
  </si>
  <si>
    <r>
      <rPr>
        <b/>
        <sz val="12"/>
        <color indexed="8"/>
        <rFont val="Arial"/>
        <family val="2"/>
      </rPr>
      <t>G2.</t>
    </r>
    <r>
      <rPr>
        <sz val="12"/>
        <color theme="1"/>
        <rFont val="Arial"/>
        <family val="2"/>
      </rPr>
      <t xml:space="preserve">  Where an event occurs, making it likely that an impairment will be recognised in relation to an
         investment, then the full amount of the investment should be recorded. </t>
    </r>
    <r>
      <rPr>
        <b/>
        <sz val="12"/>
        <color indexed="8"/>
        <rFont val="Arial"/>
        <family val="2"/>
      </rPr>
      <t>When repayments are</t>
    </r>
    <r>
      <rPr>
        <sz val="12"/>
        <color theme="1"/>
        <rFont val="Arial"/>
        <family val="2"/>
      </rPr>
      <t xml:space="preserve">
         </t>
    </r>
    <r>
      <rPr>
        <b/>
        <sz val="12"/>
        <color indexed="8"/>
        <rFont val="Arial"/>
        <family val="2"/>
      </rPr>
      <t>made, please record outstanding amounts, deducting repayments made. Do not deduct
         any</t>
    </r>
    <r>
      <rPr>
        <sz val="12"/>
        <color theme="1"/>
        <rFont val="Arial"/>
        <family val="2"/>
      </rPr>
      <t xml:space="preserve"> </t>
    </r>
    <r>
      <rPr>
        <b/>
        <sz val="12"/>
        <color indexed="8"/>
        <rFont val="Arial"/>
        <family val="2"/>
      </rPr>
      <t>prospective or actual impairment.</t>
    </r>
    <r>
      <rPr>
        <sz val="12"/>
        <color theme="1"/>
        <rFont val="Arial"/>
        <family val="2"/>
      </rPr>
      <t xml:space="preserve"> The outstanding amount should continue to be recorded
         until such time as a final settlement is made. At this time, please make a note on the form stating
         the amounts involved and the impairment or unrecoverable amount.</t>
    </r>
  </si>
  <si>
    <t>NOTES ON ECONOMIC SECTORS</t>
  </si>
  <si>
    <t>Rest of the world or UK banks</t>
  </si>
  <si>
    <r>
      <rPr>
        <b/>
        <sz val="12"/>
        <color indexed="8"/>
        <rFont val="Arial"/>
        <family val="2"/>
      </rPr>
      <t>S1.</t>
    </r>
    <r>
      <rPr>
        <sz val="12"/>
        <color theme="1"/>
        <rFont val="Arial"/>
        <family val="2"/>
      </rPr>
      <t xml:space="preserve">  A list of banks can be found at:</t>
    </r>
  </si>
  <si>
    <t>Building Societies in UK</t>
  </si>
  <si>
    <r>
      <rPr>
        <b/>
        <sz val="12"/>
        <color indexed="8"/>
        <rFont val="Arial"/>
        <family val="2"/>
      </rPr>
      <t>S2.</t>
    </r>
    <r>
      <rPr>
        <sz val="12"/>
        <color theme="1"/>
        <rFont val="Arial"/>
        <family val="2"/>
      </rPr>
      <t xml:space="preserve">  Building Societies, and only Building Societies, have the words "Building Societies" in their titles.
        As with Banks, deposits/loans with  branches outside of the UK should be recorded as "Rest of the
        World".</t>
    </r>
  </si>
  <si>
    <t>Other financial intermediaries</t>
  </si>
  <si>
    <r>
      <rPr>
        <b/>
        <sz val="12"/>
        <color indexed="8"/>
        <rFont val="Arial"/>
        <family val="2"/>
      </rPr>
      <t>S3.</t>
    </r>
    <r>
      <rPr>
        <sz val="12"/>
        <color theme="1"/>
        <rFont val="Arial"/>
        <family val="2"/>
      </rPr>
      <t xml:space="preserve">  These are UK institutions specialising in granting credit and/or investing in securities, which are not
        banks or building societies.  This sector includes, inter alia, pension funds, bank holding
        companies, certain mortgage and finance companies, LAMIT and insurance companies.</t>
    </r>
  </si>
  <si>
    <t>Public Corporations</t>
  </si>
  <si>
    <t>Private non-financial corporations</t>
  </si>
  <si>
    <r>
      <rPr>
        <b/>
        <sz val="12"/>
        <color indexed="8"/>
        <rFont val="Arial"/>
        <family val="2"/>
      </rPr>
      <t>S5.</t>
    </r>
    <r>
      <rPr>
        <sz val="12"/>
        <color theme="1"/>
        <rFont val="Arial"/>
        <family val="2"/>
      </rPr>
      <t xml:space="preserve">  This sector includes all UK non-financial commercial businesses.   Minority-owned local authority
        companies, co-operative societies and partnerships are included as well as legally incorporated
        companies.</t>
    </r>
  </si>
  <si>
    <t>Central Government</t>
  </si>
  <si>
    <r>
      <rPr>
        <b/>
        <sz val="12"/>
        <color indexed="8"/>
        <rFont val="Arial"/>
        <family val="2"/>
      </rPr>
      <t>S6.</t>
    </r>
    <r>
      <rPr>
        <sz val="12"/>
        <color theme="1"/>
        <rFont val="Arial"/>
        <family val="2"/>
      </rPr>
      <t xml:space="preserve">  Include all transactions with central government, its departments and agencies, and
        non-departmental public bodies.</t>
    </r>
  </si>
  <si>
    <t>Other Local Authorities</t>
  </si>
  <si>
    <r>
      <rPr>
        <b/>
        <sz val="12"/>
        <color indexed="8"/>
        <rFont val="Arial"/>
        <family val="2"/>
      </rPr>
      <t>S7.</t>
    </r>
    <r>
      <rPr>
        <sz val="12"/>
        <color theme="1"/>
        <rFont val="Arial"/>
        <family val="2"/>
      </rPr>
      <t xml:space="preserve">  All other UK local authorities, including police authorities, fire authorities, waste authorities,
        passenger transport authorities.  (But note that Passenger Transport Executives and wholly or
        majority owned local authority companies are Public Corporations.)  Where authorities borrow as a
        consortium, the lead authority should show the whole amount as borrowing and the on-lent amounts
        as lending to "other LAs".  Other authorities in the consortium should report their share as
        borrowing from other LAs.  Similarly, borrowing on behalf of other authorities should be shown as
        both borrowing and lending.</t>
    </r>
  </si>
  <si>
    <t>Households</t>
  </si>
  <si>
    <r>
      <rPr>
        <b/>
        <sz val="12"/>
        <color indexed="8"/>
        <rFont val="Arial"/>
        <family val="2"/>
      </rPr>
      <t>S8.</t>
    </r>
    <r>
      <rPr>
        <sz val="12"/>
        <color theme="1"/>
        <rFont val="Arial"/>
        <family val="2"/>
      </rPr>
      <t xml:space="preserve">  As well as private individuals, this sector includes housing associations, churches, universities,
        examination boards, clubs, trade unions and other non-profit-making bodies.  Unincorporated
        businesses are included, except co-operative societies and partnerships.</t>
    </r>
  </si>
  <si>
    <t>Rest of the World</t>
  </si>
  <si>
    <r>
      <rPr>
        <b/>
        <sz val="12"/>
        <color indexed="8"/>
        <rFont val="Arial"/>
        <family val="2"/>
      </rPr>
      <t>S9.</t>
    </r>
    <r>
      <rPr>
        <sz val="12"/>
        <color theme="1"/>
        <rFont val="Arial"/>
        <family val="2"/>
      </rPr>
      <t xml:space="preserve">  Include any transactions made directly with households or institutions with an address outside the
        UK. Also include here international organisations, e.g. European Investment Bank, Depfa Bank,
        International Monetary Fund. Households or institutions with an address in Channel Islands or Isle of
        Man are included here. Bank or Building Society deposits/loans with branches outside of the UK
        should be recorded as "Rest of the World".</t>
    </r>
  </si>
  <si>
    <t>Source not known</t>
  </si>
  <si>
    <r>
      <rPr>
        <b/>
        <sz val="12"/>
        <color indexed="8"/>
        <rFont val="Arial"/>
        <family val="2"/>
      </rPr>
      <t>S10.</t>
    </r>
    <r>
      <rPr>
        <sz val="12"/>
        <color theme="1"/>
        <rFont val="Arial"/>
        <family val="2"/>
      </rPr>
      <t xml:space="preserve">  All borrowing should be covered by sectors listed on the form.   However, in some cases, such as
          borrowing from bank nominees, the source may not be identifiable.  In other cases you may be
          unsure of the appropriate sector. Please ring the Department for guidance if necessary
          </t>
    </r>
    <r>
      <rPr>
        <b/>
        <sz val="12"/>
        <color indexed="8"/>
        <rFont val="Arial"/>
        <family val="2"/>
      </rPr>
      <t>(0303 444 2867).</t>
    </r>
  </si>
  <si>
    <t>NOTES ON SECURITIES</t>
  </si>
  <si>
    <t>Revenue bills</t>
  </si>
  <si>
    <t>Commercial paper</t>
  </si>
  <si>
    <t>Medium term notes</t>
  </si>
  <si>
    <t>Negotiable bonds</t>
  </si>
  <si>
    <t>Other securities</t>
  </si>
  <si>
    <r>
      <rPr>
        <b/>
        <sz val="12"/>
        <color indexed="8"/>
        <rFont val="Arial"/>
        <family val="2"/>
      </rPr>
      <t>L1.</t>
    </r>
    <r>
      <rPr>
        <sz val="12"/>
        <color theme="1"/>
        <rFont val="Arial"/>
        <family val="2"/>
      </rPr>
      <t xml:space="preserve">  3-month bills.</t>
    </r>
  </si>
  <si>
    <r>
      <rPr>
        <b/>
        <sz val="12"/>
        <color indexed="8"/>
        <rFont val="Arial"/>
        <family val="2"/>
      </rPr>
      <t>L2.</t>
    </r>
    <r>
      <rPr>
        <sz val="12"/>
        <color theme="1"/>
        <rFont val="Arial"/>
        <family val="2"/>
      </rPr>
      <t xml:space="preserve">  Paper with a maturity of between 90 and 364 days.</t>
    </r>
  </si>
  <si>
    <r>
      <rPr>
        <b/>
        <sz val="12"/>
        <color indexed="8"/>
        <rFont val="Arial"/>
        <family val="2"/>
      </rPr>
      <t>L3.</t>
    </r>
    <r>
      <rPr>
        <sz val="12"/>
        <color theme="1"/>
        <rFont val="Arial"/>
        <family val="2"/>
      </rPr>
      <t xml:space="preserve">  Paper with a maturity of between 1 and 5 years.</t>
    </r>
  </si>
  <si>
    <r>
      <rPr>
        <b/>
        <sz val="12"/>
        <color indexed="8"/>
        <rFont val="Arial"/>
        <family val="2"/>
      </rPr>
      <t>L4.</t>
    </r>
    <r>
      <rPr>
        <sz val="12"/>
        <color theme="1"/>
        <rFont val="Arial"/>
        <family val="2"/>
      </rPr>
      <t xml:space="preserve">  Bonds issued under the Stocks and Bonds Regulations, which have same-day transferability in London.</t>
    </r>
  </si>
  <si>
    <r>
      <rPr>
        <b/>
        <sz val="12"/>
        <color indexed="8"/>
        <rFont val="Arial"/>
        <family val="2"/>
      </rPr>
      <t>L5.</t>
    </r>
    <r>
      <rPr>
        <sz val="12"/>
        <color theme="1"/>
        <rFont val="Arial"/>
        <family val="2"/>
      </rPr>
      <t xml:space="preserve">  Other securities negotiable or tradable on secondary markets.   Local bonds and mortgages,
        sometimes called Town Hall or over-the-counter bonds, should be recorded as loans to the
        sector(s) holding the bonds, where possible, usually the households sector.</t>
    </r>
  </si>
  <si>
    <t>ADDITIONAL NOTES</t>
  </si>
  <si>
    <t>Banking data</t>
  </si>
  <si>
    <r>
      <rPr>
        <b/>
        <sz val="12"/>
        <color indexed="8"/>
        <rFont val="Arial"/>
        <family val="2"/>
      </rPr>
      <t>A1.</t>
    </r>
    <r>
      <rPr>
        <sz val="12"/>
        <color theme="1"/>
        <rFont val="Arial"/>
        <family val="2"/>
      </rPr>
      <t xml:space="preserve">  Banking data should be reported on the same basis as local authority bank statements.  The
        figures should reflect the balances at the time the banks close on the last working day before the
        end of the month.  Where more than one account is maintained with the same bank and there is a
        formal agreement or legal right to treat the accounts as a single entity (i.e. set-off), the accounts
        should be treated as one account and only the overall balance or overdraft should be entered (in
        box 30 or box 07).  All current and deposit accounts should be included as well as overnight or
        longer-term deposits made with banks through the money markets.</t>
    </r>
  </si>
  <si>
    <t xml:space="preserve">        Where a joint account is maintained with a pension fund, you should record the balance minus
        amounts attributable to the pension fund.  Alternatively, where an authority is holding money on loan
        from a pension fund, the amount of the loan should be recorded as borrowing from "Other financial
        intermediaries" in box 09 (see also note G1).</t>
  </si>
  <si>
    <t xml:space="preserve">        Do not enter negative figures. The deposits or overdrafts on each account with each bank should
        be aggregated to give an overall overdraft and overall deposit level to be entered on the form.</t>
  </si>
  <si>
    <t xml:space="preserve">        Investments in banks and building societies in the form of, for example, share capital, Floating Rate
        Notes (FRNs) or loan stock, should be entered in box 38.</t>
  </si>
  <si>
    <t xml:space="preserve">        Foreign currency deposits should be converted to sterling at the middle market closing rate on the
        reporting date.  Please indicate the level of such deposits at the side of the form, in the original
        currencies.</t>
  </si>
  <si>
    <t xml:space="preserve">Externally managed investments </t>
  </si>
  <si>
    <r>
      <rPr>
        <b/>
        <sz val="12"/>
        <color indexed="8"/>
        <rFont val="Arial"/>
        <family val="2"/>
      </rPr>
      <t>A2.</t>
    </r>
    <r>
      <rPr>
        <sz val="12"/>
        <color theme="1"/>
        <rFont val="Arial"/>
        <family val="2"/>
      </rPr>
      <t xml:space="preserve">  Money market funds should only include pooled investments where all unitholders in the fund jointly
        own all the investments in the fund.  Externally managed funds, other than money market funds,
        relates to funds placed with a fund manager to invest on behalf of the local authority. </t>
    </r>
  </si>
  <si>
    <t xml:space="preserve">        Total cash invested in funds is the amounts paid into externally managed funds by the authority in
        the period, and total cash withdrawn from funds is the amounts taken out of externally managed
        funds by the authority in the period. These figures should be available from your own records.</t>
  </si>
  <si>
    <t>Temporary/longer-term</t>
  </si>
  <si>
    <r>
      <rPr>
        <b/>
        <sz val="12"/>
        <color indexed="8"/>
        <rFont val="Arial"/>
        <family val="2"/>
      </rPr>
      <t>A3.</t>
    </r>
    <r>
      <rPr>
        <sz val="12"/>
        <color theme="1"/>
        <rFont val="Arial"/>
        <family val="2"/>
      </rPr>
      <t xml:space="preserve">  Temporary means an original maturity of up to 364 days. Instruments with a 364-day break clause,
        or similar, where your authority can insist on repayment or be compelled to repay after each
        364-day period are classified as temporary.  Longer-term loans reaching the last year of their
        maturity should continue to be classified as longer-term.</t>
    </r>
  </si>
  <si>
    <t>MBAAP15</t>
  </si>
  <si>
    <t>MBBMY15</t>
  </si>
  <si>
    <t>MBBJN15</t>
  </si>
  <si>
    <t>MBAJL15</t>
  </si>
  <si>
    <t>MBBAU15</t>
  </si>
  <si>
    <t>MBBSE15</t>
  </si>
  <si>
    <t>MBAOC15</t>
  </si>
  <si>
    <t>MBBNO15</t>
  </si>
  <si>
    <t>MBBDE15</t>
  </si>
  <si>
    <t>MBAJA16</t>
  </si>
  <si>
    <t>MBBFE16</t>
  </si>
  <si>
    <t>MBBMR16</t>
  </si>
  <si>
    <t>JULY 2015</t>
  </si>
  <si>
    <t>AUGUST 2015</t>
  </si>
  <si>
    <t>SEPTEMBER 2015</t>
  </si>
  <si>
    <t>OCTOBER 2015</t>
  </si>
  <si>
    <t>NOVEMBER 2015</t>
  </si>
  <si>
    <t>DECEMBER 2015</t>
  </si>
  <si>
    <t>JANUARY 2016</t>
  </si>
  <si>
    <t>FEBRUARY 2016</t>
  </si>
  <si>
    <t>MARCH 2016</t>
  </si>
  <si>
    <t>Thursday 8 May 2015</t>
  </si>
  <si>
    <t>Friday 6 June 2015</t>
  </si>
  <si>
    <t>Thursday 7 August 2015</t>
  </si>
  <si>
    <t>Friday 5 September 2015</t>
  </si>
  <si>
    <t>Tuesday 7 October 2015</t>
  </si>
  <si>
    <t>Friday 5 December 2015</t>
  </si>
  <si>
    <t>Thursday 8 January 2016</t>
  </si>
  <si>
    <t>Friday 6 February 2016</t>
  </si>
  <si>
    <t>Friday 6 March 2016</t>
  </si>
  <si>
    <t>Thursday 9 April 2016</t>
  </si>
  <si>
    <t>Monthly Borrowing and Lending Inquiry for:</t>
  </si>
  <si>
    <t>(Please select authority from drop down list)</t>
  </si>
  <si>
    <t>Select the period this return relates to:</t>
  </si>
  <si>
    <t>Aberdeen City</t>
  </si>
  <si>
    <t>Adur</t>
  </si>
  <si>
    <t>Barnsley</t>
  </si>
  <si>
    <t>Bedford UA</t>
  </si>
  <si>
    <t>Belfast</t>
  </si>
  <si>
    <t>Bexley</t>
  </si>
  <si>
    <t>Birmingham</t>
  </si>
  <si>
    <t>Blaby</t>
  </si>
  <si>
    <t>Bolsover</t>
  </si>
  <si>
    <t>Bracknell Forest UA</t>
  </si>
  <si>
    <t>Bradford</t>
  </si>
  <si>
    <t>Breckland</t>
  </si>
  <si>
    <t>Brent</t>
  </si>
  <si>
    <t>Bridgend</t>
  </si>
  <si>
    <t>Bristol, City of UA</t>
  </si>
  <si>
    <t>Bury</t>
  </si>
  <si>
    <t>Caerphilly</t>
  </si>
  <si>
    <t>Calderdale</t>
  </si>
  <si>
    <t>Cambridgeshire</t>
  </si>
  <si>
    <t>Camden</t>
  </si>
  <si>
    <t>Cannock Chase</t>
  </si>
  <si>
    <t>Cardiff</t>
  </si>
  <si>
    <t>Central Bedfordshire UA</t>
  </si>
  <si>
    <t>Ceredigion</t>
  </si>
  <si>
    <t>Cheshire East UA</t>
  </si>
  <si>
    <t>Cheshire West &amp; Chester UA</t>
  </si>
  <si>
    <t>City of London</t>
  </si>
  <si>
    <t>Clackmannanshire</t>
  </si>
  <si>
    <t>Cornwall UA</t>
  </si>
  <si>
    <t>Coventry</t>
  </si>
  <si>
    <t>Craigavon</t>
  </si>
  <si>
    <t>Crawley</t>
  </si>
  <si>
    <t>Croydon</t>
  </si>
  <si>
    <t>Daventry</t>
  </si>
  <si>
    <t>Derbyshire</t>
  </si>
  <si>
    <t>Devon</t>
  </si>
  <si>
    <t>Dundee City</t>
  </si>
  <si>
    <t>Ealing</t>
  </si>
  <si>
    <t>East Riding of Yorkshire UA</t>
  </si>
  <si>
    <t>East Staffordshire</t>
  </si>
  <si>
    <t>East Sussex</t>
  </si>
  <si>
    <t>Edinburgh, City of</t>
  </si>
  <si>
    <t xml:space="preserve">Eilean Siar </t>
  </si>
  <si>
    <t>Enfield</t>
  </si>
  <si>
    <t>Epsom and Ewell</t>
  </si>
  <si>
    <t>Essex</t>
  </si>
  <si>
    <t>Essex Combined Fire and Rescue Authority</t>
  </si>
  <si>
    <t>Essex Police and Crime Commissioner</t>
  </si>
  <si>
    <t>Fenland</t>
  </si>
  <si>
    <t>Fife</t>
  </si>
  <si>
    <t>Flintshire</t>
  </si>
  <si>
    <t>Gateshead</t>
  </si>
  <si>
    <t>Gedling</t>
  </si>
  <si>
    <t>Glasgow City</t>
  </si>
  <si>
    <t>Gloucestershire</t>
  </si>
  <si>
    <t>Greater London Authority</t>
  </si>
  <si>
    <t>Greater Manchester Fire and Rescue Authority</t>
  </si>
  <si>
    <t>Greater Manchester Police and Crime Commissioner</t>
  </si>
  <si>
    <t>Greater Manchester Waste</t>
  </si>
  <si>
    <t>Greenwich</t>
  </si>
  <si>
    <t>Guildford</t>
  </si>
  <si>
    <t>Halton UA</t>
  </si>
  <si>
    <t>Hampshire</t>
  </si>
  <si>
    <t>Haringey</t>
  </si>
  <si>
    <t>Harlow</t>
  </si>
  <si>
    <t>Hartlepool UA</t>
  </si>
  <si>
    <t>Hastings</t>
  </si>
  <si>
    <t>Havering</t>
  </si>
  <si>
    <t>Highland</t>
  </si>
  <si>
    <t>Hounslow</t>
  </si>
  <si>
    <t>Islington</t>
  </si>
  <si>
    <t>Kent</t>
  </si>
  <si>
    <t>Kent Police and Crime Commissioner</t>
  </si>
  <si>
    <t>Kingston upon Hull, City of UA</t>
  </si>
  <si>
    <t>Kingston upon Thames</t>
  </si>
  <si>
    <t>Lancashire</t>
  </si>
  <si>
    <t>Leeds</t>
  </si>
  <si>
    <t>Leicester UA</t>
  </si>
  <si>
    <t>Leicestershire</t>
  </si>
  <si>
    <t>Leicestershire Police and Crime Commissioner</t>
  </si>
  <si>
    <t>Lewisham</t>
  </si>
  <si>
    <t>Lincoln</t>
  </si>
  <si>
    <t>Liverpool</t>
  </si>
  <si>
    <t>London Fire and Emergency Planning Authority</t>
  </si>
  <si>
    <t>London Legacy Development Corporation</t>
  </si>
  <si>
    <t>Maldon</t>
  </si>
  <si>
    <t>Manchester</t>
  </si>
  <si>
    <t>Mayor’s Office for Policing and Crime</t>
  </si>
  <si>
    <t>Medway UA</t>
  </si>
  <si>
    <t>Merthyr Tydfil</t>
  </si>
  <si>
    <t>Mid Suffolk</t>
  </si>
  <si>
    <t>Middlesbrough UA</t>
  </si>
  <si>
    <t>Neath Port Talbot</t>
  </si>
  <si>
    <t>New Forest</t>
  </si>
  <si>
    <t>Newcastle upon Tyne</t>
  </si>
  <si>
    <t>Newport</t>
  </si>
  <si>
    <t>Norfolk</t>
  </si>
  <si>
    <t>North Ayrshire</t>
  </si>
  <si>
    <t>North Somerset UA</t>
  </si>
  <si>
    <t>Northumberland UA</t>
  </si>
  <si>
    <t>Northumbria Police and Crime Commissioner</t>
  </si>
  <si>
    <t>Norwich</t>
  </si>
  <si>
    <t>Nottingham UA</t>
  </si>
  <si>
    <t>Nottinghamshire</t>
  </si>
  <si>
    <t>Oldham</t>
  </si>
  <si>
    <t>Orkney Islands</t>
  </si>
  <si>
    <t>Portsmouth UA</t>
  </si>
  <si>
    <t>Reading UA</t>
  </si>
  <si>
    <t>Richmond upon Thames</t>
  </si>
  <si>
    <t>Richmondshire</t>
  </si>
  <si>
    <t>Rochdale</t>
  </si>
  <si>
    <t>Rushcliffe</t>
  </si>
  <si>
    <t>Scottish Borders</t>
  </si>
  <si>
    <t>Scotttish Fire and Rescue Service</t>
  </si>
  <si>
    <t>Sefton</t>
  </si>
  <si>
    <t>Sevenoaks</t>
  </si>
  <si>
    <t>Sheffield</t>
  </si>
  <si>
    <t>Shepway</t>
  </si>
  <si>
    <t>Shetland Islands</t>
  </si>
  <si>
    <t>Slough UA</t>
  </si>
  <si>
    <t>Solihull</t>
  </si>
  <si>
    <t>South Ayrshire</t>
  </si>
  <si>
    <t>South Hams</t>
  </si>
  <si>
    <t>South Lanarkshire</t>
  </si>
  <si>
    <t>South Oxfordshire</t>
  </si>
  <si>
    <t>South Tyneside</t>
  </si>
  <si>
    <t>Southend-on-Sea UA</t>
  </si>
  <si>
    <t>Southwark</t>
  </si>
  <si>
    <t>Stockport</t>
  </si>
  <si>
    <t>Stoke-on-Trent UA</t>
  </si>
  <si>
    <t>Stratford-on-Avon</t>
  </si>
  <si>
    <t>Sunderland</t>
  </si>
  <si>
    <t>Surrey</t>
  </si>
  <si>
    <t>Surrey Heath</t>
  </si>
  <si>
    <t>Sutton</t>
  </si>
  <si>
    <t>Swale</t>
  </si>
  <si>
    <t>Swansea</t>
  </si>
  <si>
    <t>Swindon UA</t>
  </si>
  <si>
    <t>Telford and Wrekin UA</t>
  </si>
  <si>
    <t>The West Yorkshire Combined Authority</t>
  </si>
  <si>
    <t>Thurrock UA</t>
  </si>
  <si>
    <t>Tower Hamlets</t>
  </si>
  <si>
    <t xml:space="preserve">Transport for London </t>
  </si>
  <si>
    <t>Walsall</t>
  </si>
  <si>
    <t>Waltham Forest</t>
  </si>
  <si>
    <t>Warwickshire</t>
  </si>
  <si>
    <t>Wellingborough</t>
  </si>
  <si>
    <t>West Berkshire UA</t>
  </si>
  <si>
    <t>West Midlands Police and Crime Commissioner</t>
  </si>
  <si>
    <t>West Oxfordshire</t>
  </si>
  <si>
    <t>West Sussex</t>
  </si>
  <si>
    <t>West Yorkshire Police and Crime Commissioner</t>
  </si>
  <si>
    <t>Westminster</t>
  </si>
  <si>
    <t>Wigan</t>
  </si>
  <si>
    <t>Wiltshire UA</t>
  </si>
  <si>
    <t>Wirral</t>
  </si>
  <si>
    <t>Wycombe</t>
  </si>
  <si>
    <t>Wyre</t>
  </si>
  <si>
    <r>
      <t xml:space="preserve">Please email completed forms to:  </t>
    </r>
    <r>
      <rPr>
        <b/>
        <sz val="10"/>
        <color indexed="12"/>
        <rFont val="Arial"/>
        <family val="2"/>
      </rPr>
      <t>borrowing.statistics@communities.gsi.gov.uk</t>
    </r>
  </si>
  <si>
    <t>by:</t>
  </si>
  <si>
    <t>Please complete your contact details below</t>
  </si>
  <si>
    <t>Name:</t>
  </si>
  <si>
    <t>Telephone number:</t>
  </si>
  <si>
    <t>E-mail:</t>
  </si>
  <si>
    <t>DO NOT USE CUT AND PASTE FUNCTIONS WHEN COMPLETING THIS FORM.</t>
  </si>
  <si>
    <t>Temporary</t>
  </si>
  <si>
    <t>Longer-term</t>
  </si>
  <si>
    <t>Loans</t>
  </si>
  <si>
    <t xml:space="preserve">Public Works Loans Board </t>
  </si>
  <si>
    <t>Banks in UK</t>
  </si>
  <si>
    <t>Public corporations</t>
  </si>
  <si>
    <t>Local Government</t>
  </si>
  <si>
    <t>Households sector</t>
  </si>
  <si>
    <t>Total loans</t>
  </si>
  <si>
    <t>07</t>
  </si>
  <si>
    <t>08</t>
  </si>
  <si>
    <t>09</t>
  </si>
  <si>
    <t>10</t>
  </si>
  <si>
    <t>11</t>
  </si>
  <si>
    <t>12</t>
  </si>
  <si>
    <t>13</t>
  </si>
  <si>
    <t>14</t>
  </si>
  <si>
    <t>15</t>
  </si>
  <si>
    <t>16</t>
  </si>
  <si>
    <t>17</t>
  </si>
  <si>
    <t>18</t>
  </si>
  <si>
    <t>19</t>
  </si>
  <si>
    <t>20</t>
  </si>
  <si>
    <t>21</t>
  </si>
  <si>
    <t>22</t>
  </si>
  <si>
    <t>23</t>
  </si>
  <si>
    <t>24</t>
  </si>
  <si>
    <t>25</t>
  </si>
  <si>
    <t>26</t>
  </si>
  <si>
    <t>27</t>
  </si>
  <si>
    <t>28</t>
  </si>
  <si>
    <t>29</t>
  </si>
  <si>
    <t>Securities</t>
  </si>
  <si>
    <t>LA revenue bills</t>
  </si>
  <si>
    <t>Other stock issues</t>
  </si>
  <si>
    <t>Total securities</t>
  </si>
  <si>
    <t>01</t>
  </si>
  <si>
    <t>02</t>
  </si>
  <si>
    <t>03</t>
  </si>
  <si>
    <t>04</t>
  </si>
  <si>
    <t>05</t>
  </si>
  <si>
    <t>06</t>
  </si>
  <si>
    <t>INVESTMENTS - AMOUNTS OUTSTANDING</t>
  </si>
  <si>
    <t>Deposits</t>
  </si>
  <si>
    <t>Debt Management Account Deposit facility</t>
  </si>
  <si>
    <t>HM Treasury bills</t>
  </si>
  <si>
    <t>CDs issued by Banks in UK</t>
  </si>
  <si>
    <t>CDs issued by Building Societies in UK</t>
  </si>
  <si>
    <t>British Government Securities</t>
  </si>
  <si>
    <t>Other</t>
  </si>
  <si>
    <t>Total investments internally managed</t>
  </si>
  <si>
    <t>Money Market Funds</t>
  </si>
  <si>
    <t>Other externally managed funds</t>
  </si>
  <si>
    <t>EXTERNALLY MANAGED FUNDS (OTHER THAN MONEY MARKET FUNDS) -</t>
  </si>
  <si>
    <t>Total cash invested in funds</t>
  </si>
  <si>
    <t>Total cash withdrawn from funds</t>
  </si>
  <si>
    <t>35</t>
  </si>
  <si>
    <t>36</t>
  </si>
  <si>
    <t>37</t>
  </si>
  <si>
    <t>48</t>
  </si>
  <si>
    <t>49</t>
  </si>
  <si>
    <t>50</t>
  </si>
  <si>
    <t>52</t>
  </si>
  <si>
    <t>53</t>
  </si>
  <si>
    <t>54</t>
  </si>
  <si>
    <t>55</t>
  </si>
  <si>
    <t>56</t>
  </si>
  <si>
    <t>57</t>
  </si>
  <si>
    <t>58</t>
  </si>
  <si>
    <t>59</t>
  </si>
  <si>
    <t>60</t>
  </si>
  <si>
    <t>Validation</t>
  </si>
  <si>
    <t xml:space="preserve">Net Cash Requirement </t>
  </si>
  <si>
    <t>(please see validation sheet)</t>
  </si>
  <si>
    <t xml:space="preserve">This sheet has details of our validation checks. </t>
  </si>
  <si>
    <t>If there are any figures in the blue boxes your form has failed our validation checks.</t>
  </si>
  <si>
    <t>Any large changes in figures between data on this month's and last month's Monthly Borrowing form will need to be explained in the relevant boxes next to the tests.</t>
  </si>
  <si>
    <t>If #N/A appears anywhere on this sheet, please check you have selected your Local Authority name from the drop down menu at the top of the form.</t>
  </si>
  <si>
    <t>TEST 1: Externally Managed Funds - differences in Box 45 between the last 2 returns MUST be accounted for in Boxes 46 and 47.</t>
  </si>
  <si>
    <t>If figures appear in the blue box please check your return and enter a reason for the difference between months in the box below.</t>
  </si>
  <si>
    <t>Box 45, 46 and 47 check:</t>
  </si>
  <si>
    <t>Box 45 from this month's form</t>
  </si>
  <si>
    <t>Total cash invested in funds this month (Box 46)</t>
  </si>
  <si>
    <t>Total cash withdrawn from funds this month (Box 47)</t>
  </si>
  <si>
    <t>Box 45 from last month's form</t>
  </si>
  <si>
    <t>Absolute difference unaccounted for</t>
  </si>
  <si>
    <t>If this difference is statistically significant, it will appear in this blue box:</t>
  </si>
  <si>
    <t>Please check the data if a figure appears in the blue box, and enter reasons for this difference in the box below:</t>
  </si>
  <si>
    <t>TEST 2: Net Cash Requirement - investments should be accounted for, and should not normally exceed borrowing.</t>
  </si>
  <si>
    <t>NCR Check</t>
  </si>
  <si>
    <t>Local Government Net Cash Requirement summarises changes in local authority borrowing less change in investments.</t>
  </si>
  <si>
    <t>When Net Cash Requirement is positive, this suggests that there has been an increase in borrowing and/or a reduction</t>
  </si>
  <si>
    <t xml:space="preserve">in investments. When Net Cash Requirement is negative, this suggests there has been a reduction in borrowing and/or </t>
  </si>
  <si>
    <t>an increase in investments</t>
  </si>
  <si>
    <t>Box 6 - Total securities</t>
  </si>
  <si>
    <t>Box 17 - Total temporary loans</t>
  </si>
  <si>
    <t>Box 29 - Total longer-term loans</t>
  </si>
  <si>
    <t>less:</t>
  </si>
  <si>
    <t>Box 43 - Total investments internally managed</t>
  </si>
  <si>
    <t>Box 44 - Money market funds</t>
  </si>
  <si>
    <t>Box 46 (Total cash invested in other externally managed funds) minus</t>
  </si>
  <si>
    <t>box 47 (Total cash withdrawn from other externally managed funds)</t>
  </si>
  <si>
    <t>Outstanding</t>
  </si>
  <si>
    <t>Movement</t>
  </si>
  <si>
    <t>this month</t>
  </si>
  <si>
    <t>last month</t>
  </si>
  <si>
    <t>..</t>
  </si>
  <si>
    <t>Net Cash Requirement</t>
  </si>
  <si>
    <t>INPUT MBA</t>
  </si>
  <si>
    <t>INPUT MBB</t>
  </si>
  <si>
    <t>Ards and North Down</t>
  </si>
  <si>
    <t>Box</t>
  </si>
  <si>
    <t>S8401</t>
  </si>
  <si>
    <t>E3831</t>
  </si>
  <si>
    <t>E4401</t>
  </si>
  <si>
    <t>E0202</t>
  </si>
  <si>
    <t>N9001</t>
  </si>
  <si>
    <t>E5032</t>
  </si>
  <si>
    <t>E4601</t>
  </si>
  <si>
    <t>E2431</t>
  </si>
  <si>
    <t>E1032</t>
  </si>
  <si>
    <t>E0301</t>
  </si>
  <si>
    <t>E4701</t>
  </si>
  <si>
    <t>E2631</t>
  </si>
  <si>
    <t>E5033</t>
  </si>
  <si>
    <t>W7401</t>
  </si>
  <si>
    <t>E0102</t>
  </si>
  <si>
    <t>E4202</t>
  </si>
  <si>
    <t>W7402</t>
  </si>
  <si>
    <t>E4702</t>
  </si>
  <si>
    <t>E0521</t>
  </si>
  <si>
    <t>E5011</t>
  </si>
  <si>
    <t>E3431</t>
  </si>
  <si>
    <t>W7601</t>
  </si>
  <si>
    <t>E0203</t>
  </si>
  <si>
    <t>W7101</t>
  </si>
  <si>
    <t>E0603</t>
  </si>
  <si>
    <t>E0604</t>
  </si>
  <si>
    <t>E5010</t>
  </si>
  <si>
    <t>S8101</t>
  </si>
  <si>
    <t>E0801</t>
  </si>
  <si>
    <t>E4602</t>
  </si>
  <si>
    <t>N9202</t>
  </si>
  <si>
    <t>E3834</t>
  </si>
  <si>
    <t>E5035</t>
  </si>
  <si>
    <t>E2832</t>
  </si>
  <si>
    <t>E1021</t>
  </si>
  <si>
    <t>E1121</t>
  </si>
  <si>
    <t>S8802</t>
  </si>
  <si>
    <t>E5036</t>
  </si>
  <si>
    <t>E2001</t>
  </si>
  <si>
    <t>E3432</t>
  </si>
  <si>
    <t>E1421</t>
  </si>
  <si>
    <t>S8602</t>
  </si>
  <si>
    <t>S8903</t>
  </si>
  <si>
    <t>E5037</t>
  </si>
  <si>
    <t>E3632</t>
  </si>
  <si>
    <t>E1521</t>
  </si>
  <si>
    <t>E6115</t>
  </si>
  <si>
    <t>E7015</t>
  </si>
  <si>
    <t>E0533</t>
  </si>
  <si>
    <t>S8301</t>
  </si>
  <si>
    <t>W7002</t>
  </si>
  <si>
    <t>E4501</t>
  </si>
  <si>
    <t>E3034</t>
  </si>
  <si>
    <t>S8702</t>
  </si>
  <si>
    <t>E1620</t>
  </si>
  <si>
    <t>E5100</t>
  </si>
  <si>
    <t>E6142</t>
  </si>
  <si>
    <t>E7042</t>
  </si>
  <si>
    <t>E6202</t>
  </si>
  <si>
    <t>E5012</t>
  </si>
  <si>
    <t>E3633</t>
  </si>
  <si>
    <t>E0601</t>
  </si>
  <si>
    <t>E1721</t>
  </si>
  <si>
    <t>E5038</t>
  </si>
  <si>
    <t>E1538</t>
  </si>
  <si>
    <t>E0701</t>
  </si>
  <si>
    <t>E1433</t>
  </si>
  <si>
    <t>E5040</t>
  </si>
  <si>
    <t>S8501</t>
  </si>
  <si>
    <t>E5042</t>
  </si>
  <si>
    <t>E5015</t>
  </si>
  <si>
    <t>E2221</t>
  </si>
  <si>
    <t>E7022</t>
  </si>
  <si>
    <t>E2002</t>
  </si>
  <si>
    <t>E5043</t>
  </si>
  <si>
    <t>E2321</t>
  </si>
  <si>
    <t>E4704</t>
  </si>
  <si>
    <t>E2401</t>
  </si>
  <si>
    <t>E2421</t>
  </si>
  <si>
    <t>E7024</t>
  </si>
  <si>
    <t>E5018</t>
  </si>
  <si>
    <t>E2533</t>
  </si>
  <si>
    <t>E4302</t>
  </si>
  <si>
    <t>E6160</t>
  </si>
  <si>
    <t>E5106</t>
  </si>
  <si>
    <t>E1539</t>
  </si>
  <si>
    <t>E4203</t>
  </si>
  <si>
    <t>E7060</t>
  </si>
  <si>
    <t>E2201</t>
  </si>
  <si>
    <t>W7403</t>
  </si>
  <si>
    <t>E3534</t>
  </si>
  <si>
    <t>E0702</t>
  </si>
  <si>
    <t>W7701</t>
  </si>
  <si>
    <t>E1738</t>
  </si>
  <si>
    <t>E4502</t>
  </si>
  <si>
    <t>W7203</t>
  </si>
  <si>
    <t>E2620</t>
  </si>
  <si>
    <t>S8709</t>
  </si>
  <si>
    <t>E0104</t>
  </si>
  <si>
    <t>E2901</t>
  </si>
  <si>
    <t>E7045</t>
  </si>
  <si>
    <t>E2636</t>
  </si>
  <si>
    <t>E3001</t>
  </si>
  <si>
    <t>E3021</t>
  </si>
  <si>
    <t>E4204</t>
  </si>
  <si>
    <t>S8901</t>
  </si>
  <si>
    <t>E1701</t>
  </si>
  <si>
    <t>E0303</t>
  </si>
  <si>
    <t>E5047</t>
  </si>
  <si>
    <t>E2734</t>
  </si>
  <si>
    <t>E4205</t>
  </si>
  <si>
    <t>E3038</t>
  </si>
  <si>
    <t>S8001</t>
  </si>
  <si>
    <t>S8999</t>
  </si>
  <si>
    <t>E4304</t>
  </si>
  <si>
    <t>E2239</t>
  </si>
  <si>
    <t>E4404</t>
  </si>
  <si>
    <t>E2240</t>
  </si>
  <si>
    <t>S8902</t>
  </si>
  <si>
    <t>E0304</t>
  </si>
  <si>
    <t>E4605</t>
  </si>
  <si>
    <t>S8710</t>
  </si>
  <si>
    <t>E1136</t>
  </si>
  <si>
    <t>S8711</t>
  </si>
  <si>
    <t>E3133</t>
  </si>
  <si>
    <t>E4504</t>
  </si>
  <si>
    <t>E1501</t>
  </si>
  <si>
    <t>E5019</t>
  </si>
  <si>
    <t>E4207</t>
  </si>
  <si>
    <t>E3401</t>
  </si>
  <si>
    <t>E3734</t>
  </si>
  <si>
    <t>E4505</t>
  </si>
  <si>
    <t>E3620</t>
  </si>
  <si>
    <t>E3638</t>
  </si>
  <si>
    <t>E5048</t>
  </si>
  <si>
    <t>E2241</t>
  </si>
  <si>
    <t>W7702</t>
  </si>
  <si>
    <t>E3901</t>
  </si>
  <si>
    <t>E3201</t>
  </si>
  <si>
    <t>E6349</t>
  </si>
  <si>
    <t>E6353</t>
  </si>
  <si>
    <t>E1502</t>
  </si>
  <si>
    <t>E5020</t>
  </si>
  <si>
    <t>E5103</t>
  </si>
  <si>
    <t>E4606</t>
  </si>
  <si>
    <t>E5049</t>
  </si>
  <si>
    <t>E3720</t>
  </si>
  <si>
    <t>E2837</t>
  </si>
  <si>
    <t>E0302</t>
  </si>
  <si>
    <t>E6346</t>
  </si>
  <si>
    <t>E7046</t>
  </si>
  <si>
    <t>E3135</t>
  </si>
  <si>
    <t>E3820</t>
  </si>
  <si>
    <t>E7047</t>
  </si>
  <si>
    <t>E5022</t>
  </si>
  <si>
    <t>E4210</t>
  </si>
  <si>
    <t>E3902</t>
  </si>
  <si>
    <t>E4305</t>
  </si>
  <si>
    <t>E0435</t>
  </si>
  <si>
    <t>E2344</t>
  </si>
  <si>
    <t>N9301</t>
  </si>
  <si>
    <t>Bristol UA</t>
  </si>
  <si>
    <t>Cambridgeshire (new)</t>
  </si>
  <si>
    <t>Cheshire West and Chester UA</t>
  </si>
  <si>
    <t>Middlesborough UA</t>
  </si>
  <si>
    <t>Devon (new)</t>
  </si>
  <si>
    <t>Essex (new)</t>
  </si>
  <si>
    <t>Kingston upon Hull UA</t>
  </si>
  <si>
    <t>Medway Towns UA</t>
  </si>
  <si>
    <t>Kent (new)</t>
  </si>
  <si>
    <t>Lancashire (new)</t>
  </si>
  <si>
    <t>Leicester City UA</t>
  </si>
  <si>
    <t>City of Nottingham UA</t>
  </si>
  <si>
    <t>Nottinghamshire (new)</t>
  </si>
  <si>
    <t>Telford &amp; Wrekin UA</t>
  </si>
  <si>
    <t>Epsom &amp; Ewell</t>
  </si>
  <si>
    <t>Transport for London</t>
  </si>
  <si>
    <t>Greater Manchester Waste Disposal Authority</t>
  </si>
  <si>
    <t>The Halton, Knowsley, Liverpool, St Helens, Sefton and Wirral Combined Authority</t>
  </si>
  <si>
    <t>Essex Police and Crime Commissioner and Chief Constable</t>
  </si>
  <si>
    <t>Kent Police and Crime Commissioner and Chief Constable</t>
  </si>
  <si>
    <t>Leicestershire Police and Crime Commissioner and Chief Constable</t>
  </si>
  <si>
    <t>Greater Manchester Police and Crime Commissioner and Chief Constable</t>
  </si>
  <si>
    <t>Northumbria Police and Crime Commissioner and Chief Constable</t>
  </si>
  <si>
    <t>West Midlands Police and Crime Commissioner and Chief Constable</t>
  </si>
  <si>
    <t>West Yorkshire Police and Crime Commissioner and Chief Constable</t>
  </si>
  <si>
    <t>Mayor’s Office for Policing and Crime and Metropolis Police</t>
  </si>
  <si>
    <t>Scottish Borders UA</t>
  </si>
  <si>
    <t>Clackmannon UA</t>
  </si>
  <si>
    <t>Fife UA</t>
  </si>
  <si>
    <t>City of Aberdeen UA</t>
  </si>
  <si>
    <t>Highland UA</t>
  </si>
  <si>
    <t>City of Edinburgh UA</t>
  </si>
  <si>
    <t>City of Glasgow UA</t>
  </si>
  <si>
    <t>North Ayrshire UA</t>
  </si>
  <si>
    <t>South Ayrshire UA</t>
  </si>
  <si>
    <t>South Lanarkshire UA</t>
  </si>
  <si>
    <t>City of Dundee UA</t>
  </si>
  <si>
    <t>Orkney</t>
  </si>
  <si>
    <t>Shetland</t>
  </si>
  <si>
    <t>Comhairle nan Eilean Siar</t>
  </si>
  <si>
    <t>Scottish Fire and Rescue Service</t>
  </si>
  <si>
    <t>Flintshire UA</t>
  </si>
  <si>
    <t>Cardiganshire UA</t>
  </si>
  <si>
    <t>Newport UA</t>
  </si>
  <si>
    <t>Bridgend UA</t>
  </si>
  <si>
    <t>Caerphilly UA</t>
  </si>
  <si>
    <t>Merthyr Tydfil UA</t>
  </si>
  <si>
    <t>Cardiff UA</t>
  </si>
  <si>
    <t>Neath &amp; Port Talbot UA</t>
  </si>
  <si>
    <t>Swansea UA</t>
  </si>
  <si>
    <t>Box 1</t>
  </si>
  <si>
    <t>Box 2</t>
  </si>
  <si>
    <t>Box 3</t>
  </si>
  <si>
    <t>Box 4</t>
  </si>
  <si>
    <t>Box 5</t>
  </si>
  <si>
    <t>Box 6</t>
  </si>
  <si>
    <t>Box 7</t>
  </si>
  <si>
    <t>Box 8</t>
  </si>
  <si>
    <t>Box 9</t>
  </si>
  <si>
    <t>Box 10</t>
  </si>
  <si>
    <t>Box 11</t>
  </si>
  <si>
    <t>Box 12</t>
  </si>
  <si>
    <t>Box 13</t>
  </si>
  <si>
    <t>Box 14</t>
  </si>
  <si>
    <t>Box 15</t>
  </si>
  <si>
    <t>Box 16</t>
  </si>
  <si>
    <t>Box 17</t>
  </si>
  <si>
    <t>Box 18</t>
  </si>
  <si>
    <t>Box 19</t>
  </si>
  <si>
    <t>Box 20</t>
  </si>
  <si>
    <t>Box 21</t>
  </si>
  <si>
    <t>Box 22</t>
  </si>
  <si>
    <t>Box 23</t>
  </si>
  <si>
    <t>Box 24</t>
  </si>
  <si>
    <t>Box 25</t>
  </si>
  <si>
    <t>Box 26</t>
  </si>
  <si>
    <t>Box 27</t>
  </si>
  <si>
    <t>Box 28</t>
  </si>
  <si>
    <t>Box 29</t>
  </si>
  <si>
    <t>Box 30</t>
  </si>
  <si>
    <t>Box 31</t>
  </si>
  <si>
    <t>Box 32</t>
  </si>
  <si>
    <t>Box 33</t>
  </si>
  <si>
    <t>Box 34</t>
  </si>
  <si>
    <t>Box 35</t>
  </si>
  <si>
    <t>Box 36</t>
  </si>
  <si>
    <t>Box 37</t>
  </si>
  <si>
    <t>Box 38</t>
  </si>
  <si>
    <t>Box 39</t>
  </si>
  <si>
    <t>Box 40</t>
  </si>
  <si>
    <t>Box 41</t>
  </si>
  <si>
    <t>Box 42</t>
  </si>
  <si>
    <t>Box 43</t>
  </si>
  <si>
    <t>Box 44</t>
  </si>
  <si>
    <t>Box 45</t>
  </si>
  <si>
    <t>Box 46</t>
  </si>
  <si>
    <t>Box 47</t>
  </si>
  <si>
    <t>Securities - LA Revenue Bills</t>
  </si>
  <si>
    <t>Securities - Commercial paper</t>
  </si>
  <si>
    <t>Securities - Medium term notes</t>
  </si>
  <si>
    <t>Securities - Negotiable bonds</t>
  </si>
  <si>
    <t>Securities - Other stock issues</t>
  </si>
  <si>
    <t>Securities - TOTAL</t>
  </si>
  <si>
    <t>Loans Temporary - Banks in UK</t>
  </si>
  <si>
    <t>Loans Temporary - Building Societies in UK</t>
  </si>
  <si>
    <t>Loans Temporary - Other financial intermediaries</t>
  </si>
  <si>
    <t>Loans Temporary - Public corporations</t>
  </si>
  <si>
    <t>Loans Temporary - Private non-financial corporations</t>
  </si>
  <si>
    <t>Loans Temporary - Central Government</t>
  </si>
  <si>
    <t>Loans Temporary - Local Government</t>
  </si>
  <si>
    <t>Loans Temporary - Households sector</t>
  </si>
  <si>
    <t>Loans Temporary - Rest of the World</t>
  </si>
  <si>
    <t>Loans Temporary - Source not known</t>
  </si>
  <si>
    <t>Loans Temporary - TOTAL</t>
  </si>
  <si>
    <t>Loans Longer-term - PWLB</t>
  </si>
  <si>
    <t>Loans Longer-term - Banks in UK</t>
  </si>
  <si>
    <t>Loans Longer-term - Building Societies in UK</t>
  </si>
  <si>
    <t>Loans Longer-term - Other financial intermediaries</t>
  </si>
  <si>
    <t>Loans Longer-term - Public corporations</t>
  </si>
  <si>
    <t>Loans Longer-term - Private non-financial corporations</t>
  </si>
  <si>
    <t>Loans Longer-term - Central Government</t>
  </si>
  <si>
    <t>Loans Longer-term - Local Government</t>
  </si>
  <si>
    <t>Loans Longer-term - Households sector</t>
  </si>
  <si>
    <t>Loans Longer-term - Rest of the World</t>
  </si>
  <si>
    <t>Loans Longer-term - Source not known</t>
  </si>
  <si>
    <t>Loans Longer-term - TOTAL</t>
  </si>
  <si>
    <t>IMI: Deposits - Banks in UK</t>
  </si>
  <si>
    <t>IMI: Deposits - Building Societies in UK</t>
  </si>
  <si>
    <t>IMI: Debt Management Account Deposit Facility</t>
  </si>
  <si>
    <t>IMI: Deposits - Rest of the World</t>
  </si>
  <si>
    <t>IMI: Securities - HM Treasury bills</t>
  </si>
  <si>
    <t>IMI: Securities - CDs issued by Banks in UK</t>
  </si>
  <si>
    <t>IMI: Securities - CDs issued by Building Societies in UK</t>
  </si>
  <si>
    <t>IMI: Securities - British Government</t>
  </si>
  <si>
    <t>IMI: Securities - Other Securities</t>
  </si>
  <si>
    <t>IMI: Loans - Other financial intermediaries</t>
  </si>
  <si>
    <t>IMI: Loans - Public corporations</t>
  </si>
  <si>
    <t>IMI: Loans - Local Government</t>
  </si>
  <si>
    <t>IMI: Loans - Other</t>
  </si>
  <si>
    <t>TOTAL INVESTMENTS INTERNALLY MANAGED</t>
  </si>
  <si>
    <t>EMF: Other</t>
  </si>
  <si>
    <t>EMF: T.I.M - Total cash invested in funds</t>
  </si>
  <si>
    <t>EMF: T.I.M - Total cash withdrawn from funds</t>
  </si>
  <si>
    <t>EMF Boundaries</t>
  </si>
  <si>
    <t>NCR Boundaries</t>
  </si>
  <si>
    <t>LA Check</t>
  </si>
  <si>
    <t>E6015</t>
  </si>
  <si>
    <t>E6022</t>
  </si>
  <si>
    <t>E6024</t>
  </si>
  <si>
    <t>E6042</t>
  </si>
  <si>
    <t>E6047</t>
  </si>
  <si>
    <t>E6343</t>
  </si>
  <si>
    <t>E6347</t>
  </si>
  <si>
    <t>N9702</t>
  </si>
  <si>
    <t>N9703</t>
  </si>
  <si>
    <t>N9704</t>
  </si>
  <si>
    <t>Belfast (new)</t>
  </si>
  <si>
    <t>Tuesday 7 July 2015</t>
  </si>
  <si>
    <t>LA_Code</t>
  </si>
  <si>
    <t>Cal_Month</t>
  </si>
  <si>
    <t>Row_No</t>
  </si>
  <si>
    <t>Amount</t>
  </si>
  <si>
    <t>Armagh City Banbridge and Craigavon</t>
  </si>
  <si>
    <r>
      <t>PLEASE READ ALL RELEVANT NOTES BEFORE COMPLETING THIS FORM. PLEASE CALL</t>
    </r>
    <r>
      <rPr>
        <b/>
        <sz val="10"/>
        <color indexed="12"/>
        <rFont val="Arial"/>
        <family val="2"/>
      </rPr>
      <t xml:space="preserve"> 0303 444 2123</t>
    </r>
    <r>
      <rPr>
        <b/>
        <sz val="10"/>
        <rFont val="Arial"/>
        <family val="2"/>
      </rPr>
      <t xml:space="preserve"> WITH ANY FURTHER ENQUIRIES. </t>
    </r>
  </si>
  <si>
    <t>Notes_1</t>
  </si>
  <si>
    <t>£'000s</t>
  </si>
  <si>
    <t>Validation Guidance</t>
  </si>
  <si>
    <t>EMF</t>
  </si>
  <si>
    <t>Cells highlighted in red</t>
  </si>
  <si>
    <t>We have four checks on each cell you complete in the borrowing and investments form. If one or many of these tests fail then the cell will be highlighted red. These are:</t>
  </si>
  <si>
    <t>Updated August 2015 (DR)</t>
  </si>
  <si>
    <t>If any cells turn red a possible error in your data has been detected. See the guidance notes tab to identify the reason why this has occurred. If your figures are correct please provide an explanation below:</t>
  </si>
  <si>
    <t>(Please use vertical scroll bar to find and select your authority)</t>
  </si>
  <si>
    <t>If the change in reported externally managed funds is greater than the transactions we ask for an explanation in the validations tab. Each quarter (where applicable) a breakdown of externally managed funds should be provided. The total of the breakdown should match the one provided in cell 45. We will return forms where this test fails.</t>
  </si>
  <si>
    <t>When the net cash requirement figure is displayed below cell  a reason for the increase in borrowing or investments should be provided. We will contact any authorities where a suitable explanation has not been provided.</t>
  </si>
  <si>
    <r>
      <t xml:space="preserve">4) The figures reported this month appear to have moved cells from last month. </t>
    </r>
    <r>
      <rPr>
        <i/>
        <sz val="12"/>
        <color indexed="8"/>
        <rFont val="Arial"/>
        <family val="2"/>
      </rPr>
      <t>Check this movement does not result from a data entry error. If it is a correction from the previous month please state this in the comments.</t>
    </r>
  </si>
  <si>
    <r>
      <t xml:space="preserve">3) The cell amounts have changed by a factor of 1000. </t>
    </r>
    <r>
      <rPr>
        <i/>
        <sz val="12"/>
        <color indexed="8"/>
        <rFont val="Arial"/>
        <family val="2"/>
      </rPr>
      <t>Check and confirm these are reported in £'000s as requested.</t>
    </r>
  </si>
  <si>
    <r>
      <t xml:space="preserve">2) The figures in the cell have been reported as negative. </t>
    </r>
    <r>
      <rPr>
        <i/>
        <sz val="12"/>
        <color indexed="8"/>
        <rFont val="Arial"/>
        <family val="2"/>
      </rPr>
      <t>No negative numbers allowed, your form will be returned.</t>
    </r>
  </si>
  <si>
    <r>
      <t xml:space="preserve">1) A large cell level change has been detected. </t>
    </r>
    <r>
      <rPr>
        <i/>
        <sz val="12"/>
        <color indexed="8"/>
        <rFont val="Arial"/>
        <family val="2"/>
      </rPr>
      <t>We would like a comment to confirm this is correct.</t>
    </r>
  </si>
  <si>
    <r>
      <rPr>
        <b/>
        <sz val="12"/>
        <color indexed="8"/>
        <rFont val="Arial"/>
        <family val="2"/>
      </rPr>
      <t>S4.</t>
    </r>
    <r>
      <rPr>
        <sz val="12"/>
        <color theme="1"/>
        <rFont val="Arial"/>
        <family val="2"/>
      </rPr>
      <t xml:space="preserve">  These are wholly or majority owned by institutions in central or local government and include: 
        British Broadcasting Corporation The Civil Aviation Authority, The Commonwealth Development 
        Corporation and National Health Service Trust hospitals. Also included are wholly or majority
        owned local authority companies, the New Towns Commission, Urban Development Corporations
        and Passenger Transport Executives.  (But note  that the Housing Corporation should be
        classified to Central Government).</t>
    </r>
  </si>
  <si>
    <t xml:space="preserve">        The total value of externally managed funds at the end of period should be based on reports
        received from fund managers if available, but should be estimated if information from fund
        managers is not yet available.</t>
  </si>
  <si>
    <t xml:space="preserve">        Money Market  Funds should be entered here.</t>
  </si>
  <si>
    <r>
      <t xml:space="preserve">Money Market Funds </t>
    </r>
    <r>
      <rPr>
        <sz val="8"/>
        <color indexed="8"/>
        <rFont val="Arial"/>
        <family val="2"/>
      </rPr>
      <t>(incl. Property Market Funds)</t>
    </r>
  </si>
  <si>
    <t>NA</t>
  </si>
  <si>
    <t>Q</t>
  </si>
  <si>
    <t>Friday 6 November 2015</t>
  </si>
  <si>
    <t>Col_No</t>
  </si>
  <si>
    <t>Table_Name</t>
  </si>
  <si>
    <t>Fin_Year</t>
  </si>
  <si>
    <t>Val_Contact_Name</t>
  </si>
  <si>
    <t>Val_Contact_Email</t>
  </si>
  <si>
    <t>Val_Contact_Number</t>
  </si>
  <si>
    <t>Fin_year</t>
  </si>
  <si>
    <t>Fin_Qtr</t>
  </si>
  <si>
    <t>Month</t>
  </si>
  <si>
    <t>Quarter</t>
  </si>
  <si>
    <t>April 2016</t>
  </si>
  <si>
    <t>May 2016</t>
  </si>
  <si>
    <t>June 2016</t>
  </si>
  <si>
    <t>July 2016</t>
  </si>
  <si>
    <t>August 2016</t>
  </si>
  <si>
    <t>September 2016</t>
  </si>
  <si>
    <t>October 2016</t>
  </si>
  <si>
    <t>November 2016</t>
  </si>
  <si>
    <t>December 2016</t>
  </si>
  <si>
    <t>January 2017</t>
  </si>
  <si>
    <t>February 2017</t>
  </si>
  <si>
    <t>March 2017</t>
  </si>
  <si>
    <t>MBAAP16</t>
  </si>
  <si>
    <t>MBBMY16</t>
  </si>
  <si>
    <t>MBBJN16</t>
  </si>
  <si>
    <t>MBAJL16</t>
  </si>
  <si>
    <t>MBBAU16</t>
  </si>
  <si>
    <t>MBBSE16</t>
  </si>
  <si>
    <t>MBAOC16</t>
  </si>
  <si>
    <t>MBBNO16</t>
  </si>
  <si>
    <t>MBBDE16</t>
  </si>
  <si>
    <t>MBAJA17</t>
  </si>
  <si>
    <t>MBBFE17</t>
  </si>
  <si>
    <t>MBBMR17</t>
  </si>
  <si>
    <t>APRIL 2016</t>
  </si>
  <si>
    <t>MAY 2016</t>
  </si>
  <si>
    <t>JUNE 2016</t>
  </si>
  <si>
    <t>JULY 2016</t>
  </si>
  <si>
    <t>AUGUST 2016</t>
  </si>
  <si>
    <t>SEPTEMBER 2016</t>
  </si>
  <si>
    <t>OCTOBER 2016</t>
  </si>
  <si>
    <t>NOVEMBER 2016</t>
  </si>
  <si>
    <t>DECEMBER 2016</t>
  </si>
  <si>
    <t>JANUARY 2017</t>
  </si>
  <si>
    <t>FEBRUARY 2017</t>
  </si>
  <si>
    <t>MARCH 2017</t>
  </si>
  <si>
    <t>Monday 9 May 2016</t>
  </si>
  <si>
    <t>Tuesday 7 June 2016</t>
  </si>
  <si>
    <t>Thursday 7 July 2016</t>
  </si>
  <si>
    <t>Friday 5 August 2016</t>
  </si>
  <si>
    <t>Wednesday 7 September 2016</t>
  </si>
  <si>
    <t>Friday 7 October 2016</t>
  </si>
  <si>
    <t>Monday 7 November 2016</t>
  </si>
  <si>
    <t>Wednesday 7 December 2015</t>
  </si>
  <si>
    <t>Monday 9 January 2017</t>
  </si>
  <si>
    <t>Tuesday 7 February 2017</t>
  </si>
  <si>
    <t>Tuesday 7 March 2017</t>
  </si>
  <si>
    <t>Friday 7 April 2017</t>
  </si>
  <si>
    <t>Borrow</t>
  </si>
  <si>
    <t>West Midlands Combined Authority</t>
  </si>
  <si>
    <t>E6352</t>
  </si>
  <si>
    <t>E6049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</si>
</sst>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809]dd\ mmmm\ yyyy"/>
  </numFmts>
  <fonts count="92">
    <font>
      <sz val="12"/>
      <color theme="1"/>
      <name val="Arial"/>
      <family val="2"/>
    </font>
    <font>
      <sz val="12"/>
      <color indexed="8"/>
      <name val="Arial"/>
      <family val="2"/>
    </font>
    <font>
      <b/>
      <sz val="12"/>
      <color indexed="8"/>
      <name val="Arial"/>
      <family val="2"/>
    </font>
    <font>
      <u val="single"/>
      <sz val="10"/>
      <color indexed="12"/>
      <name val="Arial"/>
      <family val="2"/>
    </font>
    <font>
      <b/>
      <u val="single"/>
      <sz val="12"/>
      <color indexed="12"/>
      <name val="Arial"/>
      <family val="2"/>
    </font>
    <font>
      <b/>
      <sz val="12"/>
      <color indexed="10"/>
      <name val="Arial"/>
      <family val="2"/>
    </font>
    <font>
      <sz val="10"/>
      <color indexed="10"/>
      <name val="Arial"/>
      <family val="2"/>
    </font>
    <font>
      <sz val="10"/>
      <name val="Arial"/>
      <family val="2"/>
    </font>
    <font>
      <b/>
      <sz val="9"/>
      <name val="Arial"/>
      <family val="2"/>
    </font>
    <font>
      <b/>
      <sz val="10"/>
      <name val="Arial"/>
      <family val="2"/>
    </font>
    <font>
      <b/>
      <sz val="10"/>
      <color indexed="12"/>
      <name val="Arial"/>
      <family val="2"/>
    </font>
    <font>
      <b/>
      <sz val="10"/>
      <color indexed="10"/>
      <name val="Arial"/>
      <family val="2"/>
    </font>
    <font>
      <sz val="9"/>
      <name val="Arial"/>
      <family val="2"/>
    </font>
    <font>
      <sz val="12"/>
      <name val="Arial"/>
      <family val="2"/>
    </font>
    <font>
      <u val="single"/>
      <sz val="9"/>
      <color indexed="12"/>
      <name val="Arial"/>
      <family val="2"/>
    </font>
    <font>
      <sz val="10"/>
      <color indexed="12"/>
      <name val="Arial"/>
      <family val="2"/>
    </font>
    <font>
      <sz val="10"/>
      <color indexed="17"/>
      <name val="Arial"/>
      <family val="2"/>
    </font>
    <font>
      <sz val="11"/>
      <color indexed="8"/>
      <name val="Calibri"/>
      <family val="2"/>
    </font>
    <font>
      <sz val="10"/>
      <color indexed="8"/>
      <name val="Arial"/>
      <family val="2"/>
    </font>
    <font>
      <i/>
      <sz val="12"/>
      <color indexed="8"/>
      <name val="Arial"/>
      <family val="2"/>
    </font>
    <font>
      <sz val="9"/>
      <name val="Tahoma"/>
      <family val="2"/>
    </font>
    <font>
      <sz val="8"/>
      <color indexed="8"/>
      <name val="Arial"/>
      <family val="2"/>
    </font>
    <font>
      <b/>
      <sz val="9"/>
      <name val="Tahom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u val="single"/>
      <sz val="14"/>
      <color indexed="8"/>
      <name val="Arial"/>
      <family val="2"/>
    </font>
    <font>
      <b/>
      <u val="single"/>
      <sz val="12"/>
      <color indexed="8"/>
      <name val="Arial"/>
      <family val="2"/>
    </font>
    <font>
      <b/>
      <sz val="10"/>
      <color indexed="8"/>
      <name val="Arial"/>
      <family val="2"/>
    </font>
    <font>
      <b/>
      <sz val="11"/>
      <color indexed="8"/>
      <name val="Arial"/>
      <family val="2"/>
    </font>
    <font>
      <sz val="11"/>
      <color indexed="8"/>
      <name val="Arial"/>
      <family val="2"/>
    </font>
    <font>
      <b/>
      <sz val="9"/>
      <color indexed="8"/>
      <name val="Arial"/>
      <family val="2"/>
    </font>
    <font>
      <sz val="9"/>
      <color indexed="8"/>
      <name val="Arial"/>
      <family val="2"/>
    </font>
    <font>
      <sz val="8"/>
      <color indexed="10"/>
      <name val="Arial"/>
      <family val="2"/>
    </font>
    <font>
      <sz val="9"/>
      <color indexed="55"/>
      <name val="Arial"/>
      <family val="2"/>
    </font>
    <font>
      <b/>
      <u val="single"/>
      <sz val="9"/>
      <color indexed="8"/>
      <name val="Arial"/>
      <family val="2"/>
    </font>
    <font>
      <b/>
      <u val="single"/>
      <sz val="11"/>
      <color indexed="8"/>
      <name val="Arial"/>
      <family val="2"/>
    </font>
    <font>
      <i/>
      <sz val="11"/>
      <color indexed="8"/>
      <name val="Arial"/>
      <family val="2"/>
    </font>
    <font>
      <b/>
      <sz val="14"/>
      <color indexed="8"/>
      <name val="Arial"/>
      <family val="2"/>
    </font>
    <font>
      <sz val="12"/>
      <color indexed="11"/>
      <name val="Arial"/>
      <family val="2"/>
    </font>
    <font>
      <sz val="10"/>
      <color indexed="9"/>
      <name val="Arial"/>
      <family val="2"/>
    </font>
    <font>
      <b/>
      <sz val="10"/>
      <color indexed="3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u val="single"/>
      <sz val="14"/>
      <color theme="1"/>
      <name val="Arial"/>
      <family val="2"/>
    </font>
    <font>
      <b/>
      <u val="single"/>
      <sz val="12"/>
      <color theme="1"/>
      <name val="Arial"/>
      <family val="2"/>
    </font>
    <font>
      <b/>
      <sz val="10"/>
      <color theme="1"/>
      <name val="Arial"/>
      <family val="2"/>
    </font>
    <font>
      <b/>
      <sz val="11"/>
      <color theme="1"/>
      <name val="Arial"/>
      <family val="2"/>
    </font>
    <font>
      <sz val="11"/>
      <color theme="1"/>
      <name val="Arial"/>
      <family val="2"/>
    </font>
    <font>
      <b/>
      <sz val="9"/>
      <color theme="1"/>
      <name val="Arial"/>
      <family val="2"/>
    </font>
    <font>
      <sz val="9"/>
      <color theme="1"/>
      <name val="Arial"/>
      <family val="2"/>
    </font>
    <font>
      <sz val="8"/>
      <color rgb="FFFF0000"/>
      <name val="Arial"/>
      <family val="2"/>
    </font>
    <font>
      <sz val="9"/>
      <color theme="0" tint="-0.24997000396251678"/>
      <name val="Arial"/>
      <family val="2"/>
    </font>
    <font>
      <b/>
      <u val="single"/>
      <sz val="9"/>
      <color theme="1"/>
      <name val="Arial"/>
      <family val="2"/>
    </font>
    <font>
      <b/>
      <u val="single"/>
      <sz val="11"/>
      <color theme="1"/>
      <name val="Arial"/>
      <family val="2"/>
    </font>
    <font>
      <i/>
      <sz val="11"/>
      <color theme="1"/>
      <name val="Arial"/>
      <family val="2"/>
    </font>
    <font>
      <b/>
      <sz val="14"/>
      <color theme="1"/>
      <name val="Arial"/>
      <family val="2"/>
    </font>
    <font>
      <sz val="9"/>
      <color theme="0" tint="-0.3499799966812134"/>
      <name val="Arial"/>
      <family val="2"/>
    </font>
    <font>
      <sz val="12"/>
      <color theme="6" tint="0.5999900102615356"/>
      <name val="Arial"/>
      <family val="2"/>
    </font>
    <font>
      <sz val="10"/>
      <color theme="0"/>
      <name val="Arial"/>
      <family val="2"/>
    </font>
    <font>
      <b/>
      <sz val="10"/>
      <color rgb="FF0070C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
      <patternFill patternType="solid">
        <fgColor rgb="FFF9FED8"/>
        <bgColor indexed="64"/>
      </patternFill>
    </fill>
    <fill>
      <patternFill patternType="solid">
        <fgColor rgb="FFFAFDD9"/>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medium"/>
      <top/>
      <bottom/>
    </border>
    <border>
      <left style="thin"/>
      <right style="thin"/>
      <top>
        <color indexed="63"/>
      </top>
      <bottom>
        <color indexed="63"/>
      </bottom>
    </border>
    <border>
      <left style="thin"/>
      <right/>
      <top/>
      <bottom/>
    </border>
    <border>
      <left style="thin"/>
      <right/>
      <top/>
      <bottom style="thin"/>
    </border>
    <border>
      <left style="thin"/>
      <right style="thin"/>
      <top style="thin"/>
      <bottom>
        <color indexed="63"/>
      </bottom>
    </border>
    <border>
      <left style="thin"/>
      <right style="thin"/>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style="thin"/>
      <bottom style="thin"/>
    </border>
    <border>
      <left/>
      <right/>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6">
    <xf numFmtId="0" fontId="0" fillId="0" borderId="0" xfId="0" applyAlignment="1">
      <alignment/>
    </xf>
    <xf numFmtId="0" fontId="0" fillId="33" borderId="0" xfId="0" applyFill="1" applyAlignment="1">
      <alignment/>
    </xf>
    <xf numFmtId="0" fontId="73" fillId="0" borderId="0" xfId="0" applyFont="1" applyAlignment="1">
      <alignment/>
    </xf>
    <xf numFmtId="0" fontId="6" fillId="0" borderId="0" xfId="0" applyFont="1" applyAlignment="1" quotePrefix="1">
      <alignment horizontal="left"/>
    </xf>
    <xf numFmtId="0" fontId="6" fillId="0" borderId="0" xfId="0" applyFont="1" applyFill="1" applyBorder="1" applyAlignment="1" quotePrefix="1">
      <alignment horizontal="left"/>
    </xf>
    <xf numFmtId="17" fontId="6" fillId="0" borderId="0" xfId="0" applyNumberFormat="1" applyFont="1" applyAlignment="1" quotePrefix="1">
      <alignment horizontal="left"/>
    </xf>
    <xf numFmtId="0" fontId="6" fillId="0" borderId="0" xfId="0" applyFont="1" applyFill="1" applyBorder="1" applyAlignment="1" quotePrefix="1">
      <alignment horizontal="center"/>
    </xf>
    <xf numFmtId="0" fontId="6" fillId="0" borderId="0" xfId="0" applyFont="1" applyAlignment="1">
      <alignment horizontal="center"/>
    </xf>
    <xf numFmtId="15" fontId="6" fillId="0" borderId="0" xfId="0" applyNumberFormat="1" applyFont="1" applyAlignment="1" quotePrefix="1">
      <alignment horizontal="left"/>
    </xf>
    <xf numFmtId="0" fontId="7" fillId="0" borderId="0" xfId="0" applyFont="1" applyFill="1" applyAlignment="1" applyProtection="1">
      <alignment/>
      <protection locked="0"/>
    </xf>
    <xf numFmtId="0" fontId="7" fillId="0" borderId="0" xfId="0" applyFont="1" applyAlignment="1">
      <alignment/>
    </xf>
    <xf numFmtId="0" fontId="7" fillId="0" borderId="0" xfId="0" applyFont="1" applyAlignment="1" quotePrefix="1">
      <alignment horizontal="left"/>
    </xf>
    <xf numFmtId="0" fontId="12" fillId="0" borderId="10" xfId="0" applyFont="1" applyFill="1" applyBorder="1" applyAlignment="1" quotePrefix="1">
      <alignment horizontal="center"/>
    </xf>
    <xf numFmtId="3" fontId="12" fillId="0" borderId="10" xfId="0" applyNumberFormat="1" applyFont="1" applyFill="1" applyBorder="1" applyAlignment="1" applyProtection="1" quotePrefix="1">
      <alignment horizontal="right"/>
      <protection locked="0"/>
    </xf>
    <xf numFmtId="3" fontId="12" fillId="0" borderId="10" xfId="0" applyNumberFormat="1" applyFont="1" applyFill="1" applyBorder="1" applyAlignment="1" applyProtection="1">
      <alignment horizontal="right"/>
      <protection locked="0"/>
    </xf>
    <xf numFmtId="3" fontId="0" fillId="0" borderId="0" xfId="0" applyNumberFormat="1" applyAlignment="1">
      <alignment/>
    </xf>
    <xf numFmtId="3" fontId="73" fillId="0" borderId="0" xfId="0" applyNumberFormat="1" applyFont="1" applyAlignment="1">
      <alignment/>
    </xf>
    <xf numFmtId="0" fontId="15" fillId="0" borderId="0" xfId="0" applyFont="1" applyAlignment="1">
      <alignment/>
    </xf>
    <xf numFmtId="0" fontId="73" fillId="0" borderId="0" xfId="0" applyFont="1" applyAlignment="1" quotePrefix="1">
      <alignment/>
    </xf>
    <xf numFmtId="3" fontId="11" fillId="34" borderId="0" xfId="0" applyNumberFormat="1" applyFont="1" applyFill="1" applyAlignment="1" applyProtection="1">
      <alignment horizontal="center" wrapText="1"/>
      <protection/>
    </xf>
    <xf numFmtId="3" fontId="16" fillId="35" borderId="0" xfId="0" applyNumberFormat="1" applyFont="1" applyFill="1" applyAlignment="1" applyProtection="1">
      <alignment horizontal="left"/>
      <protection/>
    </xf>
    <xf numFmtId="3" fontId="7" fillId="35" borderId="0" xfId="0" applyNumberFormat="1" applyFont="1" applyFill="1" applyAlignment="1" applyProtection="1">
      <alignment horizontal="center"/>
      <protection/>
    </xf>
    <xf numFmtId="3" fontId="9" fillId="35" borderId="0" xfId="0" applyNumberFormat="1" applyFont="1" applyFill="1" applyAlignment="1" applyProtection="1">
      <alignment horizontal="center"/>
      <protection/>
    </xf>
    <xf numFmtId="0" fontId="7" fillId="0" borderId="0" xfId="0" applyFont="1" applyFill="1" applyAlignment="1" applyProtection="1">
      <alignment/>
      <protection/>
    </xf>
    <xf numFmtId="3" fontId="7" fillId="35" borderId="0" xfId="0" applyNumberFormat="1" applyFont="1" applyFill="1" applyAlignment="1" applyProtection="1">
      <alignment horizontal="center" wrapText="1"/>
      <protection/>
    </xf>
    <xf numFmtId="3" fontId="7" fillId="35" borderId="0" xfId="0" applyNumberFormat="1" applyFont="1" applyFill="1" applyAlignment="1" applyProtection="1">
      <alignment vertical="center" wrapText="1"/>
      <protection/>
    </xf>
    <xf numFmtId="3" fontId="9" fillId="35" borderId="0" xfId="0" applyNumberFormat="1" applyFont="1" applyFill="1" applyAlignment="1" applyProtection="1">
      <alignment vertical="center" wrapText="1"/>
      <protection/>
    </xf>
    <xf numFmtId="3" fontId="9" fillId="36" borderId="0" xfId="0" applyNumberFormat="1" applyFont="1" applyFill="1" applyAlignment="1" applyProtection="1">
      <alignment vertical="center" wrapText="1"/>
      <protection/>
    </xf>
    <xf numFmtId="0" fontId="7" fillId="36" borderId="0" xfId="0" applyFont="1" applyFill="1" applyAlignment="1" applyProtection="1">
      <alignment/>
      <protection/>
    </xf>
    <xf numFmtId="3" fontId="6" fillId="35" borderId="0" xfId="0" applyNumberFormat="1" applyFont="1" applyFill="1" applyAlignment="1" applyProtection="1">
      <alignment horizontal="right"/>
      <protection/>
    </xf>
    <xf numFmtId="0" fontId="8" fillId="37" borderId="10" xfId="0" applyFont="1" applyFill="1" applyBorder="1" applyAlignment="1" quotePrefix="1">
      <alignment horizontal="center"/>
    </xf>
    <xf numFmtId="3" fontId="8" fillId="37" borderId="10" xfId="0" applyNumberFormat="1" applyFont="1" applyFill="1" applyBorder="1" applyAlignment="1" applyProtection="1">
      <alignment horizontal="right"/>
      <protection hidden="1"/>
    </xf>
    <xf numFmtId="3" fontId="8" fillId="37" borderId="10" xfId="0" applyNumberFormat="1" applyFont="1" applyFill="1" applyBorder="1" applyAlignment="1" applyProtection="1" quotePrefix="1">
      <alignment horizontal="right"/>
      <protection hidden="1"/>
    </xf>
    <xf numFmtId="0" fontId="12" fillId="0" borderId="11" xfId="0" applyFont="1" applyFill="1" applyBorder="1" applyAlignment="1" quotePrefix="1">
      <alignment horizontal="center"/>
    </xf>
    <xf numFmtId="0" fontId="8" fillId="37" borderId="11" xfId="0" applyFont="1" applyFill="1" applyBorder="1" applyAlignment="1" quotePrefix="1">
      <alignment horizontal="center"/>
    </xf>
    <xf numFmtId="0" fontId="0" fillId="10" borderId="0" xfId="0" applyFill="1" applyAlignment="1">
      <alignment/>
    </xf>
    <xf numFmtId="0" fontId="74" fillId="10" borderId="0" xfId="0" applyFont="1" applyFill="1" applyAlignment="1">
      <alignment/>
    </xf>
    <xf numFmtId="0" fontId="75" fillId="10" borderId="0" xfId="0" applyFont="1" applyFill="1" applyAlignment="1">
      <alignment/>
    </xf>
    <xf numFmtId="0" fontId="0" fillId="10" borderId="0" xfId="0" applyFont="1" applyFill="1" applyAlignment="1">
      <alignment/>
    </xf>
    <xf numFmtId="0" fontId="71" fillId="10" borderId="0" xfId="0" applyFont="1" applyFill="1" applyAlignment="1">
      <alignment/>
    </xf>
    <xf numFmtId="0" fontId="73" fillId="10" borderId="0" xfId="0" applyFont="1" applyFill="1" applyAlignment="1">
      <alignment/>
    </xf>
    <xf numFmtId="0" fontId="74" fillId="10" borderId="12" xfId="0" applyFont="1" applyFill="1" applyBorder="1" applyAlignment="1">
      <alignment/>
    </xf>
    <xf numFmtId="0" fontId="74" fillId="10" borderId="13" xfId="0" applyFont="1"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0" xfId="0" applyFill="1" applyBorder="1" applyAlignment="1">
      <alignment/>
    </xf>
    <xf numFmtId="0" fontId="0" fillId="10" borderId="16" xfId="0" applyFill="1" applyBorder="1" applyAlignment="1">
      <alignment/>
    </xf>
    <xf numFmtId="0" fontId="71" fillId="10" borderId="15" xfId="0" applyFont="1" applyFill="1" applyBorder="1" applyAlignment="1">
      <alignment/>
    </xf>
    <xf numFmtId="0" fontId="0" fillId="10" borderId="15" xfId="0" applyFill="1" applyBorder="1" applyAlignment="1" quotePrefix="1">
      <alignment/>
    </xf>
    <xf numFmtId="0" fontId="0" fillId="10" borderId="15" xfId="0" applyFont="1" applyFill="1" applyBorder="1" applyAlignment="1">
      <alignment/>
    </xf>
    <xf numFmtId="0" fontId="0" fillId="10" borderId="0" xfId="0" applyFont="1" applyFill="1" applyBorder="1" applyAlignment="1">
      <alignment/>
    </xf>
    <xf numFmtId="0" fontId="73" fillId="10" borderId="0" xfId="0" applyFont="1" applyFill="1" applyBorder="1" applyAlignment="1">
      <alignment/>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9" fillId="10" borderId="15" xfId="0" applyFont="1" applyFill="1" applyBorder="1" applyAlignment="1" quotePrefix="1">
      <alignment horizontal="left"/>
    </xf>
    <xf numFmtId="0" fontId="9" fillId="10" borderId="0" xfId="0" applyFont="1" applyFill="1" applyBorder="1" applyAlignment="1">
      <alignment horizontal="right"/>
    </xf>
    <xf numFmtId="0" fontId="11" fillId="10" borderId="0" xfId="0" applyFont="1" applyFill="1" applyBorder="1" applyAlignment="1" applyProtection="1">
      <alignment horizontal="left"/>
      <protection hidden="1"/>
    </xf>
    <xf numFmtId="0" fontId="0" fillId="10" borderId="12" xfId="0" applyFill="1" applyBorder="1" applyAlignment="1">
      <alignment/>
    </xf>
    <xf numFmtId="0" fontId="71" fillId="10" borderId="0" xfId="0" applyFont="1" applyFill="1" applyBorder="1" applyAlignment="1">
      <alignment/>
    </xf>
    <xf numFmtId="0" fontId="71" fillId="10" borderId="15" xfId="0" applyFont="1" applyFill="1" applyBorder="1" applyAlignment="1" quotePrefix="1">
      <alignment vertical="top"/>
    </xf>
    <xf numFmtId="0" fontId="71" fillId="10" borderId="0" xfId="0" applyFont="1" applyFill="1" applyBorder="1" applyAlignment="1" quotePrefix="1">
      <alignment vertical="top"/>
    </xf>
    <xf numFmtId="0" fontId="0" fillId="10" borderId="0" xfId="0" applyFill="1" applyBorder="1" applyAlignment="1">
      <alignment/>
    </xf>
    <xf numFmtId="0" fontId="76" fillId="24" borderId="15" xfId="0" applyFont="1" applyFill="1" applyBorder="1" applyAlignment="1">
      <alignment/>
    </xf>
    <xf numFmtId="0" fontId="0" fillId="24" borderId="0" xfId="0" applyFill="1" applyBorder="1" applyAlignment="1">
      <alignment/>
    </xf>
    <xf numFmtId="0" fontId="0" fillId="24" borderId="16" xfId="0" applyFill="1" applyBorder="1" applyAlignment="1">
      <alignment/>
    </xf>
    <xf numFmtId="0" fontId="11" fillId="10" borderId="17" xfId="0" applyFont="1" applyFill="1" applyBorder="1" applyAlignment="1" quotePrefix="1">
      <alignment horizontal="left"/>
    </xf>
    <xf numFmtId="0" fontId="77" fillId="10" borderId="12" xfId="0" applyFont="1" applyFill="1" applyBorder="1" applyAlignment="1">
      <alignment/>
    </xf>
    <xf numFmtId="0" fontId="78" fillId="10" borderId="15" xfId="0" applyFont="1" applyFill="1" applyBorder="1" applyAlignment="1">
      <alignment/>
    </xf>
    <xf numFmtId="0" fontId="77" fillId="10" borderId="15" xfId="0" applyFont="1" applyFill="1" applyBorder="1" applyAlignment="1">
      <alignment/>
    </xf>
    <xf numFmtId="0" fontId="0" fillId="38" borderId="15" xfId="0" applyFill="1" applyBorder="1" applyAlignment="1">
      <alignment/>
    </xf>
    <xf numFmtId="0" fontId="0" fillId="38" borderId="0" xfId="0" applyFill="1" applyBorder="1" applyAlignment="1">
      <alignment/>
    </xf>
    <xf numFmtId="0" fontId="0" fillId="38" borderId="16" xfId="0" applyFill="1" applyBorder="1" applyAlignment="1">
      <alignment/>
    </xf>
    <xf numFmtId="0" fontId="75" fillId="38" borderId="15" xfId="0" applyFont="1" applyFill="1" applyBorder="1" applyAlignment="1">
      <alignment/>
    </xf>
    <xf numFmtId="0" fontId="13" fillId="38" borderId="0" xfId="0" applyFont="1" applyFill="1" applyBorder="1" applyAlignment="1">
      <alignment/>
    </xf>
    <xf numFmtId="0" fontId="79" fillId="38" borderId="15" xfId="0" applyFont="1" applyFill="1" applyBorder="1" applyAlignment="1">
      <alignment/>
    </xf>
    <xf numFmtId="0" fontId="80" fillId="38" borderId="15" xfId="0" applyFont="1" applyFill="1" applyBorder="1" applyAlignment="1">
      <alignment/>
    </xf>
    <xf numFmtId="0" fontId="81" fillId="38" borderId="15" xfId="0" applyFont="1" applyFill="1" applyBorder="1" applyAlignment="1">
      <alignment/>
    </xf>
    <xf numFmtId="0" fontId="76" fillId="38" borderId="15" xfId="0" applyFont="1" applyFill="1" applyBorder="1" applyAlignment="1">
      <alignment/>
    </xf>
    <xf numFmtId="0" fontId="0" fillId="38" borderId="17" xfId="0" applyFill="1" applyBorder="1" applyAlignment="1">
      <alignment/>
    </xf>
    <xf numFmtId="0" fontId="0" fillId="38" borderId="18" xfId="0" applyFill="1" applyBorder="1" applyAlignment="1">
      <alignment/>
    </xf>
    <xf numFmtId="0" fontId="79" fillId="38" borderId="0" xfId="0" applyFont="1" applyFill="1" applyBorder="1" applyAlignment="1">
      <alignment horizontal="right"/>
    </xf>
    <xf numFmtId="0" fontId="81" fillId="38" borderId="0" xfId="0" applyFont="1" applyFill="1" applyBorder="1" applyAlignment="1">
      <alignment/>
    </xf>
    <xf numFmtId="0" fontId="76" fillId="38" borderId="0" xfId="0" applyFont="1" applyFill="1" applyBorder="1" applyAlignment="1">
      <alignment/>
    </xf>
    <xf numFmtId="3" fontId="82" fillId="38" borderId="0" xfId="0" applyNumberFormat="1" applyFont="1" applyFill="1" applyBorder="1" applyAlignment="1" applyProtection="1" quotePrefix="1">
      <alignment horizontal="right"/>
      <protection locked="0"/>
    </xf>
    <xf numFmtId="0" fontId="12" fillId="38" borderId="0" xfId="0" applyFont="1" applyFill="1" applyBorder="1" applyAlignment="1" quotePrefix="1">
      <alignment horizontal="center"/>
    </xf>
    <xf numFmtId="3" fontId="12" fillId="38" borderId="0" xfId="0" applyNumberFormat="1" applyFont="1" applyFill="1" applyBorder="1" applyAlignment="1" applyProtection="1" quotePrefix="1">
      <alignment horizontal="right"/>
      <protection locked="0"/>
    </xf>
    <xf numFmtId="0" fontId="79" fillId="38" borderId="0" xfId="0" applyFont="1" applyFill="1" applyBorder="1" applyAlignment="1">
      <alignment/>
    </xf>
    <xf numFmtId="0" fontId="80" fillId="38" borderId="0" xfId="0" applyFont="1" applyFill="1" applyBorder="1" applyAlignment="1">
      <alignment/>
    </xf>
    <xf numFmtId="0" fontId="0" fillId="38" borderId="0" xfId="0" applyFill="1" applyBorder="1" applyAlignment="1">
      <alignment vertical="center"/>
    </xf>
    <xf numFmtId="3" fontId="12" fillId="38" borderId="20" xfId="0" applyNumberFormat="1" applyFont="1" applyFill="1" applyBorder="1" applyAlignment="1" applyProtection="1" quotePrefix="1">
      <alignment horizontal="right"/>
      <protection locked="0"/>
    </xf>
    <xf numFmtId="0" fontId="83" fillId="38" borderId="0" xfId="0" applyFont="1" applyFill="1" applyBorder="1" applyAlignment="1">
      <alignment/>
    </xf>
    <xf numFmtId="0" fontId="14" fillId="38" borderId="0" xfId="53" applyFont="1" applyFill="1" applyBorder="1" applyAlignment="1" applyProtection="1">
      <alignment horizontal="left"/>
      <protection/>
    </xf>
    <xf numFmtId="0" fontId="0" fillId="38" borderId="0" xfId="0" applyFill="1" applyBorder="1" applyAlignment="1">
      <alignment/>
    </xf>
    <xf numFmtId="0" fontId="0" fillId="38" borderId="19" xfId="0" applyFill="1" applyBorder="1" applyAlignment="1">
      <alignment/>
    </xf>
    <xf numFmtId="0" fontId="84" fillId="38" borderId="15" xfId="0" applyFont="1" applyFill="1" applyBorder="1" applyAlignment="1">
      <alignment/>
    </xf>
    <xf numFmtId="0" fontId="85" fillId="38" borderId="0" xfId="0" applyFont="1" applyFill="1" applyBorder="1" applyAlignment="1">
      <alignment/>
    </xf>
    <xf numFmtId="0" fontId="78" fillId="38" borderId="0" xfId="0" applyFont="1" applyFill="1" applyBorder="1" applyAlignment="1">
      <alignment/>
    </xf>
    <xf numFmtId="3" fontId="78" fillId="38" borderId="0" xfId="0" applyNumberFormat="1" applyFont="1" applyFill="1" applyBorder="1" applyAlignment="1">
      <alignment/>
    </xf>
    <xf numFmtId="0" fontId="77" fillId="38" borderId="0" xfId="0" applyFont="1" applyFill="1" applyBorder="1" applyAlignment="1">
      <alignment/>
    </xf>
    <xf numFmtId="0" fontId="0" fillId="38" borderId="16" xfId="0" applyFill="1" applyBorder="1" applyAlignment="1">
      <alignment/>
    </xf>
    <xf numFmtId="0" fontId="73" fillId="38" borderId="0" xfId="0" applyFont="1" applyFill="1" applyBorder="1" applyAlignment="1">
      <alignment/>
    </xf>
    <xf numFmtId="0" fontId="0" fillId="39" borderId="0" xfId="0" applyFill="1" applyBorder="1" applyAlignment="1">
      <alignment vertical="top"/>
    </xf>
    <xf numFmtId="0" fontId="0" fillId="38" borderId="21" xfId="0" applyFill="1" applyBorder="1" applyAlignment="1">
      <alignment/>
    </xf>
    <xf numFmtId="0" fontId="86" fillId="10" borderId="0" xfId="0" applyFont="1" applyFill="1" applyBorder="1" applyAlignment="1">
      <alignment horizontal="center"/>
    </xf>
    <xf numFmtId="3" fontId="87" fillId="4" borderId="10" xfId="0" applyNumberFormat="1" applyFont="1" applyFill="1" applyBorder="1" applyAlignment="1" applyProtection="1" quotePrefix="1">
      <alignment horizontal="right"/>
      <protection locked="0"/>
    </xf>
    <xf numFmtId="3" fontId="87" fillId="10" borderId="10" xfId="0" applyNumberFormat="1" applyFont="1" applyFill="1" applyBorder="1" applyAlignment="1" applyProtection="1" quotePrefix="1">
      <alignment horizontal="right"/>
      <protection locked="0"/>
    </xf>
    <xf numFmtId="0" fontId="88" fillId="10" borderId="13" xfId="0" applyFont="1" applyFill="1" applyBorder="1" applyAlignment="1">
      <alignment/>
    </xf>
    <xf numFmtId="3" fontId="0" fillId="33" borderId="0" xfId="0" applyNumberFormat="1" applyFill="1" applyAlignment="1">
      <alignment/>
    </xf>
    <xf numFmtId="3" fontId="56" fillId="33" borderId="0" xfId="0" applyNumberFormat="1" applyFont="1" applyFill="1" applyAlignment="1">
      <alignment/>
    </xf>
    <xf numFmtId="0" fontId="56" fillId="33" borderId="0" xfId="0" applyFont="1" applyFill="1" applyAlignment="1">
      <alignment/>
    </xf>
    <xf numFmtId="9" fontId="56" fillId="33" borderId="0" xfId="0" applyNumberFormat="1" applyFont="1" applyFill="1" applyAlignment="1">
      <alignment/>
    </xf>
    <xf numFmtId="3" fontId="78" fillId="38" borderId="22" xfId="0" applyNumberFormat="1" applyFont="1" applyFill="1" applyBorder="1" applyAlignment="1">
      <alignment/>
    </xf>
    <xf numFmtId="0" fontId="0" fillId="38" borderId="22" xfId="0" applyFill="1" applyBorder="1" applyAlignment="1">
      <alignment/>
    </xf>
    <xf numFmtId="3" fontId="78" fillId="38" borderId="23" xfId="0" applyNumberFormat="1" applyFont="1" applyFill="1" applyBorder="1" applyAlignment="1">
      <alignment/>
    </xf>
    <xf numFmtId="0" fontId="0" fillId="38" borderId="23" xfId="0" applyFill="1" applyBorder="1" applyAlignment="1">
      <alignment/>
    </xf>
    <xf numFmtId="0" fontId="77" fillId="38" borderId="23" xfId="0" applyFont="1" applyFill="1" applyBorder="1" applyAlignment="1">
      <alignment horizontal="right"/>
    </xf>
    <xf numFmtId="0" fontId="0" fillId="38" borderId="24" xfId="0" applyFill="1" applyBorder="1" applyAlignment="1">
      <alignment/>
    </xf>
    <xf numFmtId="0" fontId="77" fillId="38" borderId="25" xfId="0" applyFont="1" applyFill="1" applyBorder="1" applyAlignment="1">
      <alignment/>
    </xf>
    <xf numFmtId="0" fontId="78" fillId="38" borderId="22" xfId="0" applyFont="1" applyFill="1" applyBorder="1" applyAlignment="1">
      <alignment/>
    </xf>
    <xf numFmtId="0" fontId="78" fillId="38" borderId="23" xfId="0" applyFont="1" applyFill="1" applyBorder="1" applyAlignment="1">
      <alignment/>
    </xf>
    <xf numFmtId="0" fontId="77" fillId="38" borderId="26" xfId="0" applyFont="1" applyFill="1" applyBorder="1" applyAlignment="1">
      <alignment/>
    </xf>
    <xf numFmtId="0" fontId="71" fillId="38" borderId="15" xfId="0" applyFont="1" applyFill="1" applyBorder="1" applyAlignment="1">
      <alignment/>
    </xf>
    <xf numFmtId="6" fontId="76" fillId="38" borderId="0" xfId="0" applyNumberFormat="1" applyFont="1" applyFill="1" applyBorder="1" applyAlignment="1">
      <alignment/>
    </xf>
    <xf numFmtId="0" fontId="76" fillId="38" borderId="0" xfId="0" applyFont="1" applyFill="1" applyBorder="1" applyAlignment="1">
      <alignment/>
    </xf>
    <xf numFmtId="0" fontId="76" fillId="38" borderId="0" xfId="0" applyFont="1" applyFill="1" applyBorder="1" applyAlignment="1">
      <alignment horizontal="right"/>
    </xf>
    <xf numFmtId="0" fontId="74" fillId="10" borderId="15" xfId="0" applyFont="1" applyFill="1" applyBorder="1" applyAlignment="1">
      <alignment/>
    </xf>
    <xf numFmtId="0" fontId="74" fillId="10" borderId="0" xfId="0" applyFont="1" applyFill="1" applyBorder="1" applyAlignment="1">
      <alignment/>
    </xf>
    <xf numFmtId="0" fontId="17" fillId="40" borderId="27" xfId="57" applyFont="1" applyFill="1" applyBorder="1" applyAlignment="1">
      <alignment horizontal="center"/>
      <protection/>
    </xf>
    <xf numFmtId="0" fontId="17" fillId="0" borderId="28" xfId="57" applyFont="1" applyFill="1" applyBorder="1" applyAlignment="1">
      <alignment wrapText="1"/>
      <protection/>
    </xf>
    <xf numFmtId="0" fontId="17" fillId="0" borderId="28" xfId="57" applyFont="1" applyFill="1" applyBorder="1" applyAlignment="1">
      <alignment horizontal="right" wrapText="1"/>
      <protection/>
    </xf>
    <xf numFmtId="0" fontId="0" fillId="33" borderId="0" xfId="0" applyFont="1" applyFill="1" applyAlignment="1">
      <alignment/>
    </xf>
    <xf numFmtId="0" fontId="73" fillId="33" borderId="0" xfId="0" applyFont="1" applyFill="1" applyAlignment="1">
      <alignment/>
    </xf>
    <xf numFmtId="3" fontId="73" fillId="33" borderId="0" xfId="0" applyNumberFormat="1" applyFont="1" applyFill="1" applyBorder="1" applyAlignment="1">
      <alignment/>
    </xf>
    <xf numFmtId="0" fontId="73" fillId="33" borderId="0" xfId="0" applyFont="1" applyFill="1" applyBorder="1" applyAlignment="1">
      <alignment/>
    </xf>
    <xf numFmtId="3" fontId="73" fillId="33" borderId="0" xfId="0" applyNumberFormat="1" applyFont="1" applyFill="1" applyAlignment="1">
      <alignment/>
    </xf>
    <xf numFmtId="3" fontId="0" fillId="38" borderId="26" xfId="0" applyNumberFormat="1" applyFill="1" applyBorder="1" applyAlignment="1">
      <alignment/>
    </xf>
    <xf numFmtId="0" fontId="72" fillId="38" borderId="0" xfId="0" applyFont="1" applyFill="1" applyBorder="1" applyAlignment="1">
      <alignment/>
    </xf>
    <xf numFmtId="49" fontId="0" fillId="0" borderId="0" xfId="0" applyNumberFormat="1" applyAlignment="1">
      <alignment/>
    </xf>
    <xf numFmtId="0" fontId="72" fillId="33" borderId="0" xfId="0" applyFont="1" applyFill="1" applyAlignment="1">
      <alignment/>
    </xf>
    <xf numFmtId="14" fontId="56" fillId="33" borderId="0" xfId="0" applyNumberFormat="1" applyFont="1" applyFill="1" applyAlignment="1">
      <alignment/>
    </xf>
    <xf numFmtId="0" fontId="59" fillId="33" borderId="0" xfId="0" applyFont="1" applyFill="1" applyAlignment="1">
      <alignment/>
    </xf>
    <xf numFmtId="0" fontId="89" fillId="33" borderId="0" xfId="0" applyFont="1" applyFill="1" applyAlignment="1" applyProtection="1">
      <alignment/>
      <protection locked="0"/>
    </xf>
    <xf numFmtId="0" fontId="89" fillId="33" borderId="0" xfId="0" applyFont="1" applyFill="1" applyAlignment="1">
      <alignment/>
    </xf>
    <xf numFmtId="0" fontId="89" fillId="33" borderId="0" xfId="0" applyFont="1" applyFill="1" applyAlignment="1" quotePrefix="1">
      <alignment horizontal="left"/>
    </xf>
    <xf numFmtId="0" fontId="89" fillId="33" borderId="0" xfId="0" applyFont="1" applyFill="1" applyBorder="1" applyAlignment="1" quotePrefix="1">
      <alignment horizontal="center"/>
    </xf>
    <xf numFmtId="0" fontId="89" fillId="33" borderId="0" xfId="0" applyFont="1" applyFill="1" applyAlignment="1">
      <alignment horizontal="center"/>
    </xf>
    <xf numFmtId="0" fontId="89" fillId="33" borderId="0" xfId="0" applyFont="1" applyFill="1" applyBorder="1" applyAlignment="1" quotePrefix="1">
      <alignment horizontal="left"/>
    </xf>
    <xf numFmtId="17" fontId="89" fillId="33" borderId="0" xfId="0" applyNumberFormat="1" applyFont="1" applyFill="1" applyAlignment="1" quotePrefix="1">
      <alignment horizontal="left"/>
    </xf>
    <xf numFmtId="15" fontId="89" fillId="33" borderId="0" xfId="0" applyNumberFormat="1" applyFont="1" applyFill="1" applyAlignment="1" quotePrefix="1">
      <alignment horizontal="left"/>
    </xf>
    <xf numFmtId="0" fontId="0" fillId="10" borderId="0" xfId="0" applyFont="1" applyFill="1" applyAlignment="1">
      <alignment wrapText="1"/>
    </xf>
    <xf numFmtId="0" fontId="0" fillId="10" borderId="0" xfId="0" applyFill="1" applyAlignment="1">
      <alignment wrapText="1"/>
    </xf>
    <xf numFmtId="0" fontId="4" fillId="10" borderId="15" xfId="53" applyFont="1" applyFill="1" applyBorder="1" applyAlignment="1" applyProtection="1" quotePrefix="1">
      <alignment horizontal="left"/>
      <protection hidden="1"/>
    </xf>
    <xf numFmtId="0" fontId="4" fillId="10" borderId="0" xfId="53" applyFont="1" applyFill="1" applyBorder="1" applyAlignment="1" applyProtection="1">
      <alignment/>
      <protection/>
    </xf>
    <xf numFmtId="0" fontId="0" fillId="10" borderId="0" xfId="0" applyFont="1" applyFill="1" applyAlignment="1">
      <alignment vertical="top" wrapText="1"/>
    </xf>
    <xf numFmtId="0" fontId="0" fillId="10" borderId="0" xfId="0" applyFill="1" applyAlignment="1">
      <alignment/>
    </xf>
    <xf numFmtId="0" fontId="4" fillId="10" borderId="0" xfId="53" applyFont="1" applyFill="1" applyBorder="1" applyAlignment="1" applyProtection="1" quotePrefix="1">
      <alignment horizontal="left"/>
      <protection hidden="1"/>
    </xf>
    <xf numFmtId="0" fontId="0" fillId="10" borderId="15" xfId="0" applyFill="1" applyBorder="1" applyAlignment="1">
      <alignment wrapText="1"/>
    </xf>
    <xf numFmtId="0" fontId="0" fillId="10" borderId="0" xfId="0" applyFill="1" applyBorder="1" applyAlignment="1">
      <alignment wrapText="1"/>
    </xf>
    <xf numFmtId="0" fontId="0" fillId="10" borderId="0" xfId="0" applyFont="1" applyFill="1" applyBorder="1" applyAlignment="1">
      <alignment wrapText="1"/>
    </xf>
    <xf numFmtId="0" fontId="0" fillId="10" borderId="15" xfId="0" applyFont="1" applyFill="1" applyBorder="1" applyAlignment="1">
      <alignment horizontal="left" wrapText="1"/>
    </xf>
    <xf numFmtId="0" fontId="0" fillId="10" borderId="0" xfId="0" applyFont="1" applyFill="1" applyBorder="1" applyAlignment="1">
      <alignment horizontal="left" wrapText="1"/>
    </xf>
    <xf numFmtId="0" fontId="0" fillId="10" borderId="16" xfId="0" applyFont="1" applyFill="1" applyBorder="1" applyAlignment="1">
      <alignment horizontal="left" wrapText="1"/>
    </xf>
    <xf numFmtId="0" fontId="0" fillId="10" borderId="15" xfId="0" applyFill="1" applyBorder="1" applyAlignment="1" quotePrefix="1">
      <alignment wrapText="1"/>
    </xf>
    <xf numFmtId="0" fontId="0" fillId="10" borderId="15" xfId="0" applyFont="1" applyFill="1" applyBorder="1" applyAlignment="1">
      <alignment horizontal="left" vertical="top" wrapText="1"/>
    </xf>
    <xf numFmtId="0" fontId="0" fillId="10" borderId="0" xfId="0" applyFont="1" applyFill="1" applyBorder="1" applyAlignment="1">
      <alignment horizontal="left" vertical="top" wrapText="1"/>
    </xf>
    <xf numFmtId="0" fontId="0" fillId="10" borderId="16" xfId="0" applyFont="1" applyFill="1" applyBorder="1" applyAlignment="1">
      <alignment horizontal="left" vertical="top" wrapText="1"/>
    </xf>
    <xf numFmtId="0" fontId="0" fillId="0" borderId="29" xfId="0" applyFill="1" applyBorder="1" applyAlignment="1">
      <alignment vertical="top"/>
    </xf>
    <xf numFmtId="0" fontId="0" fillId="0" borderId="30" xfId="0" applyFill="1" applyBorder="1" applyAlignment="1">
      <alignment vertical="top"/>
    </xf>
    <xf numFmtId="0" fontId="0" fillId="0" borderId="31" xfId="0" applyFill="1" applyBorder="1" applyAlignment="1">
      <alignment vertical="top"/>
    </xf>
    <xf numFmtId="0" fontId="0" fillId="0" borderId="23" xfId="0" applyFill="1" applyBorder="1" applyAlignment="1">
      <alignment vertical="top"/>
    </xf>
    <xf numFmtId="0" fontId="0" fillId="0" borderId="0" xfId="0" applyFill="1" applyBorder="1" applyAlignment="1">
      <alignment vertical="top"/>
    </xf>
    <xf numFmtId="0" fontId="0" fillId="0" borderId="20" xfId="0" applyFill="1" applyBorder="1" applyAlignment="1">
      <alignment vertical="top"/>
    </xf>
    <xf numFmtId="0" fontId="0" fillId="0" borderId="24" xfId="0" applyFill="1" applyBorder="1" applyAlignment="1">
      <alignment vertical="top"/>
    </xf>
    <xf numFmtId="0" fontId="0" fillId="0" borderId="32" xfId="0" applyFill="1" applyBorder="1" applyAlignment="1">
      <alignment vertical="top"/>
    </xf>
    <xf numFmtId="0" fontId="0" fillId="0" borderId="33" xfId="0" applyFill="1" applyBorder="1" applyAlignment="1">
      <alignment vertical="top"/>
    </xf>
    <xf numFmtId="0" fontId="0" fillId="33" borderId="34" xfId="0" applyFill="1" applyBorder="1" applyAlignment="1">
      <alignment/>
    </xf>
    <xf numFmtId="0" fontId="0" fillId="33" borderId="11" xfId="0" applyFill="1" applyBorder="1" applyAlignment="1">
      <alignment/>
    </xf>
    <xf numFmtId="0" fontId="90" fillId="10" borderId="15" xfId="0" applyFont="1" applyFill="1" applyBorder="1" applyAlignment="1">
      <alignment/>
    </xf>
    <xf numFmtId="0" fontId="90" fillId="10" borderId="0" xfId="0" applyFont="1" applyFill="1" applyBorder="1" applyAlignment="1">
      <alignment/>
    </xf>
    <xf numFmtId="0" fontId="0" fillId="0" borderId="10" xfId="0" applyBorder="1" applyAlignment="1">
      <alignment/>
    </xf>
    <xf numFmtId="0" fontId="0" fillId="0" borderId="34" xfId="0" applyBorder="1" applyAlignment="1">
      <alignment horizontal="left"/>
    </xf>
    <xf numFmtId="0" fontId="0" fillId="0" borderId="35" xfId="0" applyBorder="1" applyAlignment="1">
      <alignment horizontal="left"/>
    </xf>
    <xf numFmtId="0" fontId="0" fillId="0" borderId="11" xfId="0" applyBorder="1" applyAlignment="1">
      <alignment horizontal="left"/>
    </xf>
    <xf numFmtId="0" fontId="76" fillId="10" borderId="0" xfId="0" applyFont="1" applyFill="1" applyBorder="1" applyAlignment="1">
      <alignment/>
    </xf>
    <xf numFmtId="0" fontId="0" fillId="0" borderId="0" xfId="0" applyAlignment="1">
      <alignment/>
    </xf>
    <xf numFmtId="0" fontId="81" fillId="38" borderId="0" xfId="0" applyFont="1" applyFill="1" applyBorder="1" applyAlignment="1">
      <alignment horizontal="left" wrapText="1"/>
    </xf>
    <xf numFmtId="0" fontId="81" fillId="38" borderId="16" xfId="0" applyFont="1" applyFill="1" applyBorder="1" applyAlignment="1">
      <alignment horizontal="left" wrapText="1"/>
    </xf>
    <xf numFmtId="0" fontId="76" fillId="38" borderId="0" xfId="0" applyFont="1" applyFill="1" applyBorder="1" applyAlignment="1">
      <alignment horizontal="left" wrapText="1"/>
    </xf>
    <xf numFmtId="0" fontId="78" fillId="24" borderId="36" xfId="0" applyFont="1" applyFill="1" applyBorder="1" applyAlignment="1">
      <alignment/>
    </xf>
    <xf numFmtId="0" fontId="78" fillId="24" borderId="37" xfId="0" applyFont="1" applyFill="1" applyBorder="1" applyAlignment="1">
      <alignment/>
    </xf>
    <xf numFmtId="0" fontId="0" fillId="38" borderId="0"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9" xfId="0" applyFill="1" applyBorder="1" applyAlignment="1">
      <alignment/>
    </xf>
    <xf numFmtId="3" fontId="78" fillId="24" borderId="36" xfId="0" applyNumberFormat="1" applyFont="1" applyFill="1" applyBorder="1" applyAlignment="1">
      <alignment/>
    </xf>
    <xf numFmtId="3" fontId="78" fillId="24" borderId="37" xfId="0" applyNumberFormat="1" applyFont="1" applyFill="1" applyBorder="1" applyAlignment="1">
      <alignment/>
    </xf>
    <xf numFmtId="0" fontId="0" fillId="0" borderId="12"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Underlying Data" xfId="57"/>
    <cellStyle name="Note" xfId="58"/>
    <cellStyle name="Output" xfId="59"/>
    <cellStyle name="Percent" xfId="60"/>
    <cellStyle name="Title" xfId="61"/>
    <cellStyle name="Total" xfId="62"/>
    <cellStyle name="Warning Text" xfId="63"/>
  </cellStyles>
  <dxfs count="160">
    <dxf>
      <fill>
        <patternFill>
          <bgColor rgb="FFFF0000"/>
        </patternFill>
      </fill>
    </dxf>
    <dxf>
      <font>
        <color auto="1"/>
      </font>
      <fill>
        <patternFill>
          <bgColor rgb="FFFF000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ill>
        <patternFill>
          <bgColor rgb="FFFF0000"/>
        </patternFill>
      </fill>
    </dxf>
    <dxf>
      <fill>
        <patternFill>
          <bgColor rgb="FFFF0000"/>
        </patternFill>
      </fill>
    </dxf>
    <dxf/>
    <dxf>
      <font>
        <color auto="1"/>
      </font>
      <fill>
        <patternFill>
          <bgColor rgb="FFFF0000"/>
        </patternFill>
      </fill>
    </dxf>
    <dxf>
      <fill>
        <patternFill>
          <bgColor indexed="10"/>
        </patternFill>
      </fill>
    </dxf>
    <dxf/>
    <dxf>
      <fill>
        <patternFill>
          <bgColor indexed="13"/>
        </patternFill>
      </fill>
    </dxf>
    <dxf>
      <fill>
        <patternFill>
          <bgColor indexed="10"/>
        </patternFill>
      </fill>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indexed="1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rgb="FFFF0000"/>
        </patternFill>
      </fill>
    </dxf>
    <dxf/>
    <dxf>
      <font>
        <color auto="1"/>
      </font>
      <fill>
        <patternFill>
          <bgColor rgb="FFFF0000"/>
        </patternFill>
      </fill>
    </dxf>
    <dxf>
      <fill>
        <patternFill>
          <bgColor rgb="FFFF0000"/>
        </patternFill>
      </fill>
    </dxf>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ont>
        <color auto="1"/>
      </font>
      <fill>
        <patternFill>
          <bgColor rgb="FFFF0000"/>
        </patternFill>
      </fill>
    </dxf>
    <dxf/>
    <dxf>
      <fill>
        <patternFill>
          <bgColor rgb="FFFF0000"/>
        </patternFill>
      </fill>
    </dxf>
    <dxf>
      <fill>
        <patternFill>
          <bgColor indexed="10"/>
        </patternFill>
      </fill>
    </dxf>
    <dxf/>
    <dxf>
      <fill>
        <patternFill>
          <bgColor rgb="FFFF0000"/>
        </patternFill>
      </fill>
    </dxf>
    <dxf>
      <font>
        <color auto="1"/>
      </font>
      <fill>
        <patternFill>
          <bgColor rgb="FFFF0000"/>
        </patternFill>
      </fill>
    </dxf>
    <dxf>
      <fill>
        <patternFill>
          <bgColor indexed="10"/>
        </patternFill>
      </fill>
    </dxf>
    <dxf/>
    <dxf>
      <font>
        <color auto="1"/>
      </font>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ont>
        <color rgb="FFFF0000"/>
      </font>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34"/>
        </patternFill>
      </fill>
    </dxf>
    <dxf>
      <font>
        <color rgb="FFFF0000"/>
      </font>
      <fill>
        <patternFill patternType="none">
          <bgColor indexed="65"/>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cs.gov.uk/press_Release/CurrentReleases.asp" TargetMode="External" /><Relationship Id="rId2" Type="http://schemas.openxmlformats.org/officeDocument/2006/relationships/hyperlink" Target="http://www.ons.gov.uk/ons/rel/psa/public-sector-finances/february-2015/tsd---public-sector-finances.html" TargetMode="External" /><Relationship Id="rId3" Type="http://schemas.openxmlformats.org/officeDocument/2006/relationships/hyperlink" Target="http://www.bankofengland.co.uk/pra/Pages/authorisations/banksbuildingsocietieslist.asp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england.co.uk/pra/Pages/authorisations/banksbuildingsocietieslist.asp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
    </sheetView>
  </sheetViews>
  <sheetFormatPr defaultColWidth="8.88671875" defaultRowHeight="15"/>
  <cols>
    <col min="1" max="16384" width="8.88671875" style="1" customWidth="1"/>
  </cols>
  <sheetData>
    <row r="1" spans="1:11" ht="18">
      <c r="A1" s="36" t="s">
        <v>0</v>
      </c>
      <c r="B1" s="37"/>
      <c r="C1" s="37"/>
      <c r="D1" s="37"/>
      <c r="E1" s="37"/>
      <c r="F1" s="35"/>
      <c r="G1" s="35"/>
      <c r="H1" s="35"/>
      <c r="I1" s="35"/>
      <c r="J1" s="35"/>
      <c r="K1" s="35"/>
    </row>
    <row r="2" spans="1:11" ht="15">
      <c r="A2" s="35"/>
      <c r="B2" s="35"/>
      <c r="C2" s="35"/>
      <c r="D2" s="35"/>
      <c r="E2" s="35"/>
      <c r="F2" s="35"/>
      <c r="G2" s="35"/>
      <c r="H2" s="35"/>
      <c r="I2" s="35"/>
      <c r="J2" s="35"/>
      <c r="K2" s="35"/>
    </row>
    <row r="3" spans="1:11" ht="15">
      <c r="A3" s="35"/>
      <c r="B3" s="35"/>
      <c r="C3" s="35"/>
      <c r="D3" s="35"/>
      <c r="E3" s="35"/>
      <c r="F3" s="35"/>
      <c r="G3" s="35"/>
      <c r="H3" s="35"/>
      <c r="I3" s="35"/>
      <c r="J3" s="35"/>
      <c r="K3" s="35"/>
    </row>
    <row r="4" spans="1:11" ht="15">
      <c r="A4" s="38" t="s">
        <v>1</v>
      </c>
      <c r="B4" s="35"/>
      <c r="C4" s="35"/>
      <c r="D4" s="35"/>
      <c r="E4" s="35"/>
      <c r="F4" s="35"/>
      <c r="G4" s="35"/>
      <c r="H4" s="35"/>
      <c r="I4" s="35"/>
      <c r="J4" s="35"/>
      <c r="K4" s="35"/>
    </row>
    <row r="5" spans="1:11" ht="15.75">
      <c r="A5" s="39" t="s">
        <v>2</v>
      </c>
      <c r="B5" s="35"/>
      <c r="C5" s="35"/>
      <c r="D5" s="35"/>
      <c r="E5" s="35"/>
      <c r="F5" s="39" t="str">
        <f>Form!O10</f>
        <v>Friday 5 August 2016</v>
      </c>
      <c r="G5" s="35"/>
      <c r="H5" s="35"/>
      <c r="I5" s="35"/>
      <c r="J5" s="35"/>
      <c r="K5" s="35"/>
    </row>
    <row r="6" spans="1:11" ht="15">
      <c r="A6" s="35"/>
      <c r="B6" s="35"/>
      <c r="C6" s="35"/>
      <c r="D6" s="35"/>
      <c r="E6" s="35"/>
      <c r="F6" s="35"/>
      <c r="G6" s="35"/>
      <c r="H6" s="35"/>
      <c r="I6" s="35"/>
      <c r="J6" s="35"/>
      <c r="K6" s="35"/>
    </row>
    <row r="7" spans="1:11" ht="15">
      <c r="A7" s="38" t="s">
        <v>3</v>
      </c>
      <c r="B7" s="35"/>
      <c r="C7" s="35"/>
      <c r="D7" s="35"/>
      <c r="E7" s="35"/>
      <c r="F7" s="35"/>
      <c r="G7" s="35"/>
      <c r="H7" s="35"/>
      <c r="I7" s="35"/>
      <c r="J7" s="35"/>
      <c r="K7" s="35"/>
    </row>
    <row r="8" spans="1:11" ht="15">
      <c r="A8" s="35"/>
      <c r="B8" s="35"/>
      <c r="C8" s="35"/>
      <c r="D8" s="35"/>
      <c r="E8" s="35"/>
      <c r="F8" s="35"/>
      <c r="G8" s="35"/>
      <c r="H8" s="35"/>
      <c r="I8" s="35"/>
      <c r="J8" s="35"/>
      <c r="K8" s="35"/>
    </row>
    <row r="9" spans="1:11" ht="15">
      <c r="A9" s="151" t="s">
        <v>4</v>
      </c>
      <c r="B9" s="151"/>
      <c r="C9" s="151"/>
      <c r="D9" s="151"/>
      <c r="E9" s="151"/>
      <c r="F9" s="151"/>
      <c r="G9" s="151"/>
      <c r="H9" s="151"/>
      <c r="I9" s="151"/>
      <c r="J9" s="35"/>
      <c r="K9" s="35"/>
    </row>
    <row r="10" spans="1:11" ht="15">
      <c r="A10" s="151"/>
      <c r="B10" s="151"/>
      <c r="C10" s="151"/>
      <c r="D10" s="151"/>
      <c r="E10" s="151"/>
      <c r="F10" s="151"/>
      <c r="G10" s="151"/>
      <c r="H10" s="151"/>
      <c r="I10" s="151"/>
      <c r="J10" s="35"/>
      <c r="K10" s="35"/>
    </row>
    <row r="11" spans="1:11" ht="15">
      <c r="A11" s="151"/>
      <c r="B11" s="151"/>
      <c r="C11" s="151"/>
      <c r="D11" s="151"/>
      <c r="E11" s="151"/>
      <c r="F11" s="151"/>
      <c r="G11" s="151"/>
      <c r="H11" s="151"/>
      <c r="I11" s="151"/>
      <c r="J11" s="35"/>
      <c r="K11" s="35"/>
    </row>
    <row r="12" spans="1:11" ht="15">
      <c r="A12" s="151"/>
      <c r="B12" s="151"/>
      <c r="C12" s="151"/>
      <c r="D12" s="151"/>
      <c r="E12" s="151"/>
      <c r="F12" s="151"/>
      <c r="G12" s="151"/>
      <c r="H12" s="151"/>
      <c r="I12" s="151"/>
      <c r="J12" s="35"/>
      <c r="K12" s="35"/>
    </row>
    <row r="13" spans="1:11" ht="15">
      <c r="A13" s="151"/>
      <c r="B13" s="151"/>
      <c r="C13" s="151"/>
      <c r="D13" s="151"/>
      <c r="E13" s="151"/>
      <c r="F13" s="151"/>
      <c r="G13" s="151"/>
      <c r="H13" s="151"/>
      <c r="I13" s="151"/>
      <c r="J13" s="35"/>
      <c r="K13" s="35"/>
    </row>
    <row r="14" spans="1:11" ht="15">
      <c r="A14" s="152"/>
      <c r="B14" s="152"/>
      <c r="C14" s="152"/>
      <c r="D14" s="152"/>
      <c r="E14" s="152"/>
      <c r="F14" s="152"/>
      <c r="G14" s="152"/>
      <c r="H14" s="152"/>
      <c r="I14" s="152"/>
      <c r="J14" s="35"/>
      <c r="K14" s="35"/>
    </row>
    <row r="15" spans="1:11" ht="15">
      <c r="A15" s="152"/>
      <c r="B15" s="152"/>
      <c r="C15" s="152"/>
      <c r="D15" s="152"/>
      <c r="E15" s="152"/>
      <c r="F15" s="152"/>
      <c r="G15" s="152"/>
      <c r="H15" s="152"/>
      <c r="I15" s="152"/>
      <c r="J15" s="35"/>
      <c r="K15" s="35"/>
    </row>
    <row r="16" spans="1:11" ht="15.75">
      <c r="A16" s="153" t="s">
        <v>5</v>
      </c>
      <c r="B16" s="154"/>
      <c r="C16" s="154"/>
      <c r="D16" s="154"/>
      <c r="E16" s="154"/>
      <c r="F16" s="154"/>
      <c r="G16" s="35"/>
      <c r="H16" s="35"/>
      <c r="I16" s="35"/>
      <c r="J16" s="35"/>
      <c r="K16" s="35"/>
    </row>
    <row r="17" spans="1:11" ht="15">
      <c r="A17" s="35"/>
      <c r="B17" s="35"/>
      <c r="C17" s="35"/>
      <c r="D17" s="35"/>
      <c r="E17" s="35"/>
      <c r="F17" s="35"/>
      <c r="G17" s="35"/>
      <c r="H17" s="35"/>
      <c r="I17" s="35"/>
      <c r="J17" s="35"/>
      <c r="K17" s="35"/>
    </row>
    <row r="18" spans="1:11" ht="15">
      <c r="A18" s="155" t="s">
        <v>6</v>
      </c>
      <c r="B18" s="155"/>
      <c r="C18" s="155"/>
      <c r="D18" s="155"/>
      <c r="E18" s="155"/>
      <c r="F18" s="155"/>
      <c r="G18" s="155"/>
      <c r="H18" s="155"/>
      <c r="I18" s="155"/>
      <c r="J18" s="35"/>
      <c r="K18" s="35"/>
    </row>
    <row r="19" spans="1:11" ht="15">
      <c r="A19" s="155"/>
      <c r="B19" s="155"/>
      <c r="C19" s="155"/>
      <c r="D19" s="155"/>
      <c r="E19" s="155"/>
      <c r="F19" s="155"/>
      <c r="G19" s="155"/>
      <c r="H19" s="155"/>
      <c r="I19" s="155"/>
      <c r="J19" s="35"/>
      <c r="K19" s="35"/>
    </row>
    <row r="20" spans="1:11" ht="15">
      <c r="A20" s="155"/>
      <c r="B20" s="155"/>
      <c r="C20" s="155"/>
      <c r="D20" s="155"/>
      <c r="E20" s="155"/>
      <c r="F20" s="155"/>
      <c r="G20" s="155"/>
      <c r="H20" s="155"/>
      <c r="I20" s="155"/>
      <c r="J20" s="35"/>
      <c r="K20" s="35"/>
    </row>
    <row r="21" spans="1:11" ht="15">
      <c r="A21" s="156"/>
      <c r="B21" s="156"/>
      <c r="C21" s="156"/>
      <c r="D21" s="156"/>
      <c r="E21" s="156"/>
      <c r="F21" s="156"/>
      <c r="G21" s="156"/>
      <c r="H21" s="156"/>
      <c r="I21" s="156"/>
      <c r="J21" s="35"/>
      <c r="K21" s="35"/>
    </row>
    <row r="22" spans="1:11" ht="15">
      <c r="A22" s="35"/>
      <c r="B22" s="35"/>
      <c r="C22" s="35"/>
      <c r="D22" s="35"/>
      <c r="E22" s="35"/>
      <c r="F22" s="35"/>
      <c r="G22" s="35"/>
      <c r="H22" s="35"/>
      <c r="I22" s="35"/>
      <c r="J22" s="35"/>
      <c r="K22" s="35"/>
    </row>
    <row r="23" spans="1:11" ht="15.75">
      <c r="A23" s="37" t="s">
        <v>7</v>
      </c>
      <c r="B23" s="35"/>
      <c r="C23" s="35"/>
      <c r="D23" s="35"/>
      <c r="E23" s="35"/>
      <c r="F23" s="35"/>
      <c r="G23" s="35"/>
      <c r="H23" s="35"/>
      <c r="I23" s="35"/>
      <c r="J23" s="35"/>
      <c r="K23" s="35"/>
    </row>
    <row r="24" spans="1:11" ht="15">
      <c r="A24" s="35"/>
      <c r="B24" s="35"/>
      <c r="C24" s="35"/>
      <c r="D24" s="35"/>
      <c r="E24" s="35"/>
      <c r="F24" s="35"/>
      <c r="G24" s="35"/>
      <c r="H24" s="35"/>
      <c r="I24" s="35"/>
      <c r="J24" s="35"/>
      <c r="K24" s="35"/>
    </row>
    <row r="25" spans="1:11" ht="15.75">
      <c r="A25" s="38" t="s">
        <v>8</v>
      </c>
      <c r="B25" s="35"/>
      <c r="C25" s="35"/>
      <c r="D25" s="157" t="s">
        <v>9</v>
      </c>
      <c r="E25" s="154"/>
      <c r="F25" s="154"/>
      <c r="G25" s="154"/>
      <c r="H25" s="154"/>
      <c r="I25" s="154"/>
      <c r="J25" s="35"/>
      <c r="K25" s="35"/>
    </row>
    <row r="26" spans="1:11" ht="15">
      <c r="A26" s="35"/>
      <c r="B26" s="35"/>
      <c r="C26" s="35"/>
      <c r="D26" s="35"/>
      <c r="E26" s="35"/>
      <c r="F26" s="35"/>
      <c r="G26" s="35"/>
      <c r="H26" s="35"/>
      <c r="I26" s="35"/>
      <c r="J26" s="35"/>
      <c r="K26" s="35"/>
    </row>
    <row r="27" spans="1:11" ht="15.75">
      <c r="A27" s="35"/>
      <c r="B27" s="38" t="s">
        <v>19</v>
      </c>
      <c r="C27" s="40"/>
      <c r="D27" s="40"/>
      <c r="E27" s="40"/>
      <c r="F27" s="40"/>
      <c r="G27" s="40"/>
      <c r="H27" s="40"/>
      <c r="I27" s="40"/>
      <c r="J27" s="40"/>
      <c r="K27" s="40"/>
    </row>
    <row r="28" spans="1:11" ht="15">
      <c r="A28" s="35"/>
      <c r="B28" s="151" t="s">
        <v>20</v>
      </c>
      <c r="C28" s="151"/>
      <c r="D28" s="151"/>
      <c r="E28" s="151"/>
      <c r="F28" s="151"/>
      <c r="G28" s="151"/>
      <c r="H28" s="151"/>
      <c r="I28" s="151"/>
      <c r="J28" s="35"/>
      <c r="K28" s="35"/>
    </row>
    <row r="29" spans="1:11" ht="15">
      <c r="A29" s="35"/>
      <c r="B29" s="151"/>
      <c r="C29" s="151"/>
      <c r="D29" s="151"/>
      <c r="E29" s="151"/>
      <c r="F29" s="151"/>
      <c r="G29" s="151"/>
      <c r="H29" s="151"/>
      <c r="I29" s="151"/>
      <c r="J29" s="35"/>
      <c r="K29" s="35"/>
    </row>
    <row r="30" spans="1:11" ht="15">
      <c r="A30" s="35"/>
      <c r="B30" s="152"/>
      <c r="C30" s="152"/>
      <c r="D30" s="152"/>
      <c r="E30" s="152"/>
      <c r="F30" s="152"/>
      <c r="G30" s="152"/>
      <c r="H30" s="152"/>
      <c r="I30" s="152"/>
      <c r="J30" s="35"/>
      <c r="K30" s="35"/>
    </row>
    <row r="31" spans="1:11" ht="15">
      <c r="A31" s="35"/>
      <c r="B31" s="151" t="s">
        <v>21</v>
      </c>
      <c r="C31" s="151"/>
      <c r="D31" s="151"/>
      <c r="E31" s="151"/>
      <c r="F31" s="151"/>
      <c r="G31" s="151"/>
      <c r="H31" s="151"/>
      <c r="I31" s="151"/>
      <c r="J31" s="35"/>
      <c r="K31" s="35"/>
    </row>
    <row r="32" spans="1:11" ht="15">
      <c r="A32" s="35"/>
      <c r="B32" s="151"/>
      <c r="C32" s="151"/>
      <c r="D32" s="151"/>
      <c r="E32" s="151"/>
      <c r="F32" s="151"/>
      <c r="G32" s="151"/>
      <c r="H32" s="151"/>
      <c r="I32" s="151"/>
      <c r="J32" s="35"/>
      <c r="K32" s="35"/>
    </row>
    <row r="33" spans="1:11" ht="15">
      <c r="A33" s="35"/>
      <c r="B33" s="35"/>
      <c r="C33" s="35"/>
      <c r="D33" s="35"/>
      <c r="E33" s="35"/>
      <c r="F33" s="35"/>
      <c r="G33" s="35"/>
      <c r="H33" s="35"/>
      <c r="I33" s="35"/>
      <c r="J33" s="35"/>
      <c r="K33" s="35"/>
    </row>
    <row r="34" spans="1:11" ht="15">
      <c r="A34" s="151" t="s">
        <v>10</v>
      </c>
      <c r="B34" s="151"/>
      <c r="C34" s="151"/>
      <c r="D34" s="151"/>
      <c r="E34" s="151"/>
      <c r="F34" s="151"/>
      <c r="G34" s="151"/>
      <c r="H34" s="151"/>
      <c r="I34" s="151"/>
      <c r="J34" s="35"/>
      <c r="K34" s="35"/>
    </row>
    <row r="35" spans="1:11" ht="15">
      <c r="A35" s="151"/>
      <c r="B35" s="151"/>
      <c r="C35" s="151"/>
      <c r="D35" s="151"/>
      <c r="E35" s="151"/>
      <c r="F35" s="151"/>
      <c r="G35" s="151"/>
      <c r="H35" s="151"/>
      <c r="I35" s="151"/>
      <c r="J35" s="35"/>
      <c r="K35" s="35"/>
    </row>
    <row r="36" spans="1:11" ht="15">
      <c r="A36" s="152"/>
      <c r="B36" s="152"/>
      <c r="C36" s="152"/>
      <c r="D36" s="152"/>
      <c r="E36" s="152"/>
      <c r="F36" s="152"/>
      <c r="G36" s="152"/>
      <c r="H36" s="152"/>
      <c r="I36" s="152"/>
      <c r="J36" s="35"/>
      <c r="K36" s="35"/>
    </row>
    <row r="37" spans="1:11" ht="15">
      <c r="A37" s="35"/>
      <c r="B37" s="35"/>
      <c r="C37" s="35"/>
      <c r="D37" s="35"/>
      <c r="E37" s="35"/>
      <c r="F37" s="35"/>
      <c r="G37" s="35"/>
      <c r="H37" s="35"/>
      <c r="I37" s="35"/>
      <c r="J37" s="35"/>
      <c r="K37" s="35"/>
    </row>
    <row r="38" spans="1:11" ht="15.75">
      <c r="A38" s="38" t="s">
        <v>22</v>
      </c>
      <c r="B38" s="40"/>
      <c r="C38" s="40"/>
      <c r="D38" s="40"/>
      <c r="E38" s="40"/>
      <c r="F38" s="40"/>
      <c r="G38" s="40"/>
      <c r="H38" s="40"/>
      <c r="I38" s="40"/>
      <c r="J38" s="40"/>
      <c r="K38" s="40"/>
    </row>
    <row r="39" spans="1:11" ht="15">
      <c r="A39" s="35"/>
      <c r="B39" s="35"/>
      <c r="C39" s="35"/>
      <c r="D39" s="35"/>
      <c r="E39" s="35"/>
      <c r="F39" s="35"/>
      <c r="G39" s="35"/>
      <c r="H39" s="35"/>
      <c r="I39" s="35"/>
      <c r="J39" s="35"/>
      <c r="K39" s="35"/>
    </row>
    <row r="40" spans="1:11" ht="15">
      <c r="A40" s="35"/>
      <c r="B40" s="35"/>
      <c r="C40" s="35"/>
      <c r="D40" s="35"/>
      <c r="E40" s="35"/>
      <c r="F40" s="35"/>
      <c r="G40" s="35"/>
      <c r="H40" s="35"/>
      <c r="I40" s="35"/>
      <c r="J40" s="35"/>
      <c r="K40" s="35"/>
    </row>
    <row r="41" spans="1:11" ht="15.75">
      <c r="A41" s="37" t="s">
        <v>11</v>
      </c>
      <c r="B41" s="37"/>
      <c r="C41" s="37"/>
      <c r="D41" s="37"/>
      <c r="E41" s="37"/>
      <c r="F41" s="37"/>
      <c r="G41" s="37"/>
      <c r="H41" s="37"/>
      <c r="I41" s="37"/>
      <c r="J41" s="37"/>
      <c r="K41" s="37"/>
    </row>
    <row r="42" spans="1:11" ht="15">
      <c r="A42" s="35"/>
      <c r="B42" s="35"/>
      <c r="C42" s="35"/>
      <c r="D42" s="35"/>
      <c r="E42" s="35"/>
      <c r="F42" s="35"/>
      <c r="G42" s="35"/>
      <c r="H42" s="35"/>
      <c r="I42" s="35"/>
      <c r="J42" s="35"/>
      <c r="K42" s="35"/>
    </row>
    <row r="43" spans="1:11" ht="15">
      <c r="A43" s="151" t="s">
        <v>12</v>
      </c>
      <c r="B43" s="151"/>
      <c r="C43" s="151"/>
      <c r="D43" s="151"/>
      <c r="E43" s="151"/>
      <c r="F43" s="151"/>
      <c r="G43" s="151"/>
      <c r="H43" s="151"/>
      <c r="I43" s="151"/>
      <c r="J43" s="35"/>
      <c r="K43" s="35"/>
    </row>
    <row r="44" spans="1:11" ht="15">
      <c r="A44" s="151"/>
      <c r="B44" s="151"/>
      <c r="C44" s="151"/>
      <c r="D44" s="151"/>
      <c r="E44" s="151"/>
      <c r="F44" s="151"/>
      <c r="G44" s="151"/>
      <c r="H44" s="151"/>
      <c r="I44" s="151"/>
      <c r="J44" s="35"/>
      <c r="K44" s="35"/>
    </row>
    <row r="45" spans="1:11" ht="15">
      <c r="A45" s="35"/>
      <c r="B45" s="35"/>
      <c r="C45" s="35"/>
      <c r="D45" s="35"/>
      <c r="E45" s="35"/>
      <c r="F45" s="35"/>
      <c r="G45" s="35"/>
      <c r="H45" s="35"/>
      <c r="I45" s="35"/>
      <c r="J45" s="35"/>
      <c r="K45" s="35"/>
    </row>
    <row r="46" spans="1:11" ht="15">
      <c r="A46" s="38" t="s">
        <v>13</v>
      </c>
      <c r="B46" s="40"/>
      <c r="C46" s="40"/>
      <c r="D46" s="40"/>
      <c r="E46" s="40"/>
      <c r="F46" s="40"/>
      <c r="G46" s="40"/>
      <c r="H46" s="40"/>
      <c r="I46" s="40"/>
      <c r="J46" s="40"/>
      <c r="K46" s="40"/>
    </row>
    <row r="47" spans="1:11" ht="15">
      <c r="A47" s="38" t="s">
        <v>14</v>
      </c>
      <c r="B47" s="40"/>
      <c r="C47" s="40"/>
      <c r="D47" s="40"/>
      <c r="E47" s="40"/>
      <c r="F47" s="40"/>
      <c r="G47" s="40"/>
      <c r="H47" s="40"/>
      <c r="I47" s="40"/>
      <c r="J47" s="40"/>
      <c r="K47" s="40"/>
    </row>
    <row r="48" spans="1:11" ht="15">
      <c r="A48" s="38" t="s">
        <v>15</v>
      </c>
      <c r="B48" s="40"/>
      <c r="C48" s="40"/>
      <c r="D48" s="40"/>
      <c r="E48" s="40"/>
      <c r="F48" s="40"/>
      <c r="G48" s="40"/>
      <c r="H48" s="40"/>
      <c r="I48" s="40"/>
      <c r="J48" s="40"/>
      <c r="K48" s="40"/>
    </row>
    <row r="49" spans="1:11" ht="15">
      <c r="A49" s="38" t="s">
        <v>16</v>
      </c>
      <c r="B49" s="40"/>
      <c r="C49" s="40"/>
      <c r="D49" s="40"/>
      <c r="E49" s="40"/>
      <c r="F49" s="40"/>
      <c r="G49" s="40"/>
      <c r="H49" s="40"/>
      <c r="I49" s="40"/>
      <c r="J49" s="40"/>
      <c r="K49" s="40"/>
    </row>
    <row r="50" spans="1:11" ht="15">
      <c r="A50" s="38" t="s">
        <v>17</v>
      </c>
      <c r="B50" s="40"/>
      <c r="C50" s="40"/>
      <c r="D50" s="40"/>
      <c r="E50" s="40"/>
      <c r="F50" s="40"/>
      <c r="G50" s="40"/>
      <c r="H50" s="40"/>
      <c r="I50" s="40"/>
      <c r="J50" s="40"/>
      <c r="K50" s="40"/>
    </row>
    <row r="51" spans="1:11" ht="15">
      <c r="A51" s="38" t="s">
        <v>18</v>
      </c>
      <c r="B51" s="40"/>
      <c r="C51" s="40"/>
      <c r="D51" s="40"/>
      <c r="E51" s="40"/>
      <c r="F51" s="40"/>
      <c r="G51" s="40"/>
      <c r="H51" s="40"/>
      <c r="I51" s="40"/>
      <c r="J51" s="40"/>
      <c r="K51" s="40"/>
    </row>
    <row r="52" spans="1:11" ht="15">
      <c r="A52" s="35"/>
      <c r="B52" s="35"/>
      <c r="C52" s="35"/>
      <c r="D52" s="35"/>
      <c r="E52" s="35"/>
      <c r="F52" s="35"/>
      <c r="G52" s="35"/>
      <c r="H52" s="35"/>
      <c r="I52" s="35"/>
      <c r="J52" s="35"/>
      <c r="K52" s="35"/>
    </row>
  </sheetData>
  <sheetProtection/>
  <mergeCells count="8">
    <mergeCell ref="A43:I44"/>
    <mergeCell ref="B28:I30"/>
    <mergeCell ref="A34:I36"/>
    <mergeCell ref="A16:F16"/>
    <mergeCell ref="A9:I15"/>
    <mergeCell ref="A18:I21"/>
    <mergeCell ref="D25:I25"/>
    <mergeCell ref="B31:I32"/>
  </mergeCells>
  <hyperlinks>
    <hyperlink ref="A16" r:id="rId1" display="http://www.statistics.gov.uk/press_Release/CurrentReleases.asp"/>
    <hyperlink ref="A16:F16" r:id="rId2" display="http://www.ons.gov.uk/ons/rel/psa/public-sector-finances/february-2015/tsd---public-sector-finances.html"/>
    <hyperlink ref="D25:I25" r:id="rId3" display="www.bankofengland.co.uk/pra/Pages/authorisations/banksbuildingsocietieslist.aspx"/>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K214"/>
  <sheetViews>
    <sheetView zoomScalePageLayoutView="0" workbookViewId="0" topLeftCell="A1">
      <selection activeCell="A1" sqref="A1"/>
    </sheetView>
  </sheetViews>
  <sheetFormatPr defaultColWidth="8.88671875" defaultRowHeight="15"/>
  <cols>
    <col min="1" max="16384" width="8.88671875" style="1" customWidth="1"/>
  </cols>
  <sheetData>
    <row r="1" spans="1:11" ht="18">
      <c r="A1" s="41" t="s">
        <v>23</v>
      </c>
      <c r="B1" s="42"/>
      <c r="C1" s="42"/>
      <c r="D1" s="42"/>
      <c r="E1" s="42"/>
      <c r="F1" s="42"/>
      <c r="G1" s="42"/>
      <c r="H1" s="42"/>
      <c r="I1" s="42"/>
      <c r="J1" s="43"/>
      <c r="K1" s="44"/>
    </row>
    <row r="2" spans="1:11" ht="18">
      <c r="A2" s="127"/>
      <c r="B2" s="128"/>
      <c r="C2" s="128"/>
      <c r="D2" s="128"/>
      <c r="E2" s="128"/>
      <c r="F2" s="128"/>
      <c r="G2" s="128"/>
      <c r="H2" s="128"/>
      <c r="I2" s="128"/>
      <c r="J2" s="46"/>
      <c r="K2" s="47"/>
    </row>
    <row r="3" spans="1:11" ht="18">
      <c r="A3" s="127" t="s">
        <v>720</v>
      </c>
      <c r="B3" s="128"/>
      <c r="C3" s="128"/>
      <c r="D3" s="128"/>
      <c r="E3" s="128"/>
      <c r="F3" s="128"/>
      <c r="G3" s="128"/>
      <c r="H3" s="128"/>
      <c r="I3" s="128"/>
      <c r="J3" s="46"/>
      <c r="K3" s="47"/>
    </row>
    <row r="4" spans="1:11" ht="18">
      <c r="A4" s="127" t="s">
        <v>388</v>
      </c>
      <c r="B4" s="128"/>
      <c r="C4" s="128"/>
      <c r="D4" s="128"/>
      <c r="E4" s="128"/>
      <c r="F4" s="128"/>
      <c r="G4" s="128"/>
      <c r="H4" s="128"/>
      <c r="I4" s="128"/>
      <c r="J4" s="46"/>
      <c r="K4" s="47"/>
    </row>
    <row r="5" spans="1:11" ht="18" customHeight="1">
      <c r="A5" s="161" t="s">
        <v>728</v>
      </c>
      <c r="B5" s="162"/>
      <c r="C5" s="162"/>
      <c r="D5" s="162"/>
      <c r="E5" s="162"/>
      <c r="F5" s="162"/>
      <c r="G5" s="162"/>
      <c r="H5" s="162"/>
      <c r="I5" s="162"/>
      <c r="J5" s="162"/>
      <c r="K5" s="163"/>
    </row>
    <row r="6" spans="1:11" ht="18" customHeight="1">
      <c r="A6" s="161"/>
      <c r="B6" s="162"/>
      <c r="C6" s="162"/>
      <c r="D6" s="162"/>
      <c r="E6" s="162"/>
      <c r="F6" s="162"/>
      <c r="G6" s="162"/>
      <c r="H6" s="162"/>
      <c r="I6" s="162"/>
      <c r="J6" s="162"/>
      <c r="K6" s="163"/>
    </row>
    <row r="7" spans="1:11" ht="18">
      <c r="A7" s="127"/>
      <c r="B7" s="128"/>
      <c r="C7" s="128"/>
      <c r="D7" s="128"/>
      <c r="E7" s="128"/>
      <c r="F7" s="128"/>
      <c r="G7" s="128"/>
      <c r="H7" s="128"/>
      <c r="I7" s="128"/>
      <c r="J7" s="46"/>
      <c r="K7" s="47"/>
    </row>
    <row r="8" spans="1:11" ht="18">
      <c r="A8" s="127" t="s">
        <v>721</v>
      </c>
      <c r="B8" s="128"/>
      <c r="C8" s="128"/>
      <c r="D8" s="128"/>
      <c r="E8" s="128"/>
      <c r="F8" s="128"/>
      <c r="G8" s="128"/>
      <c r="H8" s="128"/>
      <c r="I8" s="128"/>
      <c r="J8" s="46"/>
      <c r="K8" s="47"/>
    </row>
    <row r="9" spans="1:11" ht="52.5" customHeight="1">
      <c r="A9" s="165" t="s">
        <v>727</v>
      </c>
      <c r="B9" s="166"/>
      <c r="C9" s="166"/>
      <c r="D9" s="166"/>
      <c r="E9" s="166"/>
      <c r="F9" s="166"/>
      <c r="G9" s="166"/>
      <c r="H9" s="166"/>
      <c r="I9" s="166"/>
      <c r="J9" s="166"/>
      <c r="K9" s="167"/>
    </row>
    <row r="10" spans="1:11" ht="18">
      <c r="A10" s="127"/>
      <c r="B10" s="128"/>
      <c r="C10" s="128"/>
      <c r="D10" s="128"/>
      <c r="E10" s="128"/>
      <c r="F10" s="128"/>
      <c r="G10" s="128"/>
      <c r="H10" s="128"/>
      <c r="I10" s="128"/>
      <c r="J10" s="46"/>
      <c r="K10" s="47"/>
    </row>
    <row r="11" spans="1:11" ht="18">
      <c r="A11" s="127" t="s">
        <v>722</v>
      </c>
      <c r="B11" s="128"/>
      <c r="C11" s="128"/>
      <c r="D11" s="128"/>
      <c r="E11" s="128"/>
      <c r="F11" s="128"/>
      <c r="G11" s="128"/>
      <c r="H11" s="128"/>
      <c r="I11" s="128"/>
      <c r="J11" s="46"/>
      <c r="K11" s="47"/>
    </row>
    <row r="12" spans="1:11" ht="45" customHeight="1">
      <c r="A12" s="165" t="s">
        <v>723</v>
      </c>
      <c r="B12" s="166"/>
      <c r="C12" s="166"/>
      <c r="D12" s="166"/>
      <c r="E12" s="166"/>
      <c r="F12" s="166"/>
      <c r="G12" s="166"/>
      <c r="H12" s="166"/>
      <c r="I12" s="166"/>
      <c r="J12" s="166"/>
      <c r="K12" s="167"/>
    </row>
    <row r="13" spans="1:11" ht="36" customHeight="1">
      <c r="A13" s="161" t="s">
        <v>732</v>
      </c>
      <c r="B13" s="162"/>
      <c r="C13" s="162"/>
      <c r="D13" s="162"/>
      <c r="E13" s="162"/>
      <c r="F13" s="162"/>
      <c r="G13" s="162"/>
      <c r="H13" s="162"/>
      <c r="I13" s="162"/>
      <c r="J13" s="162"/>
      <c r="K13" s="163"/>
    </row>
    <row r="14" spans="1:11" ht="18" customHeight="1">
      <c r="A14" s="161" t="s">
        <v>731</v>
      </c>
      <c r="B14" s="162"/>
      <c r="C14" s="162"/>
      <c r="D14" s="162"/>
      <c r="E14" s="162"/>
      <c r="F14" s="162"/>
      <c r="G14" s="162"/>
      <c r="H14" s="162"/>
      <c r="I14" s="162"/>
      <c r="J14" s="162"/>
      <c r="K14" s="163"/>
    </row>
    <row r="15" spans="1:11" ht="23.25" customHeight="1">
      <c r="A15" s="161" t="s">
        <v>730</v>
      </c>
      <c r="B15" s="162"/>
      <c r="C15" s="162"/>
      <c r="D15" s="162"/>
      <c r="E15" s="162"/>
      <c r="F15" s="162"/>
      <c r="G15" s="162"/>
      <c r="H15" s="162"/>
      <c r="I15" s="162"/>
      <c r="J15" s="162"/>
      <c r="K15" s="163"/>
    </row>
    <row r="16" spans="1:11" ht="35.25" customHeight="1">
      <c r="A16" s="161" t="s">
        <v>729</v>
      </c>
      <c r="B16" s="162"/>
      <c r="C16" s="162"/>
      <c r="D16" s="162"/>
      <c r="E16" s="162"/>
      <c r="F16" s="162"/>
      <c r="G16" s="162"/>
      <c r="H16" s="162"/>
      <c r="I16" s="162"/>
      <c r="J16" s="162"/>
      <c r="K16" s="163"/>
    </row>
    <row r="17" spans="1:11" ht="15">
      <c r="A17" s="45"/>
      <c r="B17" s="46"/>
      <c r="C17" s="46"/>
      <c r="D17" s="46"/>
      <c r="E17" s="46"/>
      <c r="F17" s="46"/>
      <c r="G17" s="46"/>
      <c r="H17" s="46"/>
      <c r="I17" s="46"/>
      <c r="J17" s="46"/>
      <c r="K17" s="47"/>
    </row>
    <row r="18" spans="1:11" ht="15.75">
      <c r="A18" s="48" t="s">
        <v>24</v>
      </c>
      <c r="B18" s="46"/>
      <c r="C18" s="46"/>
      <c r="D18" s="46"/>
      <c r="E18" s="46"/>
      <c r="F18" s="46"/>
      <c r="G18" s="46"/>
      <c r="H18" s="46"/>
      <c r="I18" s="46"/>
      <c r="J18" s="46"/>
      <c r="K18" s="47"/>
    </row>
    <row r="19" spans="1:11" ht="15">
      <c r="A19" s="45"/>
      <c r="B19" s="46"/>
      <c r="C19" s="46"/>
      <c r="D19" s="46"/>
      <c r="E19" s="46"/>
      <c r="F19" s="46"/>
      <c r="G19" s="46"/>
      <c r="H19" s="46"/>
      <c r="I19" s="46"/>
      <c r="J19" s="46"/>
      <c r="K19" s="47"/>
    </row>
    <row r="20" spans="1:11" ht="15.75">
      <c r="A20" s="48" t="s">
        <v>25</v>
      </c>
      <c r="B20" s="46"/>
      <c r="C20" s="46"/>
      <c r="D20" s="46"/>
      <c r="E20" s="46"/>
      <c r="F20" s="46"/>
      <c r="G20" s="46"/>
      <c r="H20" s="46"/>
      <c r="I20" s="46"/>
      <c r="J20" s="46"/>
      <c r="K20" s="47"/>
    </row>
    <row r="21" spans="1:11" ht="35.25" customHeight="1">
      <c r="A21" s="158" t="s">
        <v>37</v>
      </c>
      <c r="B21" s="159"/>
      <c r="C21" s="159"/>
      <c r="D21" s="159"/>
      <c r="E21" s="159"/>
      <c r="F21" s="159"/>
      <c r="G21" s="159"/>
      <c r="H21" s="159"/>
      <c r="I21" s="159"/>
      <c r="J21" s="46"/>
      <c r="K21" s="47"/>
    </row>
    <row r="22" spans="1:11" ht="15">
      <c r="A22" s="158"/>
      <c r="B22" s="159"/>
      <c r="C22" s="159"/>
      <c r="D22" s="159"/>
      <c r="E22" s="159"/>
      <c r="F22" s="159"/>
      <c r="G22" s="159"/>
      <c r="H22" s="159"/>
      <c r="I22" s="159"/>
      <c r="J22" s="46"/>
      <c r="K22" s="47"/>
    </row>
    <row r="23" spans="1:11" ht="15">
      <c r="A23" s="45"/>
      <c r="B23" s="46"/>
      <c r="C23" s="46"/>
      <c r="D23" s="46"/>
      <c r="E23" s="46"/>
      <c r="F23" s="46"/>
      <c r="G23" s="46"/>
      <c r="H23" s="46"/>
      <c r="I23" s="46"/>
      <c r="J23" s="46"/>
      <c r="K23" s="47"/>
    </row>
    <row r="24" spans="1:11" ht="15">
      <c r="A24" s="164" t="s">
        <v>26</v>
      </c>
      <c r="B24" s="159"/>
      <c r="C24" s="159"/>
      <c r="D24" s="159"/>
      <c r="E24" s="159"/>
      <c r="F24" s="159"/>
      <c r="G24" s="159"/>
      <c r="H24" s="159"/>
      <c r="I24" s="159"/>
      <c r="J24" s="46"/>
      <c r="K24" s="47"/>
    </row>
    <row r="25" spans="1:11" ht="15">
      <c r="A25" s="158"/>
      <c r="B25" s="159"/>
      <c r="C25" s="159"/>
      <c r="D25" s="159"/>
      <c r="E25" s="159"/>
      <c r="F25" s="159"/>
      <c r="G25" s="159"/>
      <c r="H25" s="159"/>
      <c r="I25" s="159"/>
      <c r="J25" s="46"/>
      <c r="K25" s="47"/>
    </row>
    <row r="26" spans="1:11" ht="15">
      <c r="A26" s="45"/>
      <c r="B26" s="46"/>
      <c r="C26" s="46"/>
      <c r="D26" s="46"/>
      <c r="E26" s="46"/>
      <c r="F26" s="46"/>
      <c r="G26" s="46"/>
      <c r="H26" s="46"/>
      <c r="I26" s="46"/>
      <c r="J26" s="46"/>
      <c r="K26" s="47"/>
    </row>
    <row r="27" spans="1:11" ht="15">
      <c r="A27" s="164" t="s">
        <v>27</v>
      </c>
      <c r="B27" s="159"/>
      <c r="C27" s="159"/>
      <c r="D27" s="159"/>
      <c r="E27" s="159"/>
      <c r="F27" s="159"/>
      <c r="G27" s="159"/>
      <c r="H27" s="159"/>
      <c r="I27" s="159"/>
      <c r="J27" s="46"/>
      <c r="K27" s="47"/>
    </row>
    <row r="28" spans="1:11" ht="15">
      <c r="A28" s="158"/>
      <c r="B28" s="159"/>
      <c r="C28" s="159"/>
      <c r="D28" s="159"/>
      <c r="E28" s="159"/>
      <c r="F28" s="159"/>
      <c r="G28" s="159"/>
      <c r="H28" s="159"/>
      <c r="I28" s="159"/>
      <c r="J28" s="46"/>
      <c r="K28" s="47"/>
    </row>
    <row r="29" spans="1:11" ht="15">
      <c r="A29" s="158"/>
      <c r="B29" s="159"/>
      <c r="C29" s="159"/>
      <c r="D29" s="159"/>
      <c r="E29" s="159"/>
      <c r="F29" s="159"/>
      <c r="G29" s="159"/>
      <c r="H29" s="159"/>
      <c r="I29" s="159"/>
      <c r="J29" s="46"/>
      <c r="K29" s="47"/>
    </row>
    <row r="30" spans="1:11" ht="15">
      <c r="A30" s="158"/>
      <c r="B30" s="159"/>
      <c r="C30" s="159"/>
      <c r="D30" s="159"/>
      <c r="E30" s="159"/>
      <c r="F30" s="159"/>
      <c r="G30" s="159"/>
      <c r="H30" s="159"/>
      <c r="I30" s="159"/>
      <c r="J30" s="46"/>
      <c r="K30" s="47"/>
    </row>
    <row r="31" spans="1:11" ht="15">
      <c r="A31" s="45"/>
      <c r="B31" s="46"/>
      <c r="C31" s="46"/>
      <c r="D31" s="46"/>
      <c r="E31" s="46"/>
      <c r="F31" s="46"/>
      <c r="G31" s="46"/>
      <c r="H31" s="46"/>
      <c r="I31" s="46"/>
      <c r="J31" s="46"/>
      <c r="K31" s="47"/>
    </row>
    <row r="32" spans="1:11" ht="15">
      <c r="A32" s="164" t="s">
        <v>28</v>
      </c>
      <c r="B32" s="159"/>
      <c r="C32" s="159"/>
      <c r="D32" s="159"/>
      <c r="E32" s="159"/>
      <c r="F32" s="159"/>
      <c r="G32" s="159"/>
      <c r="H32" s="159"/>
      <c r="I32" s="159"/>
      <c r="J32" s="46"/>
      <c r="K32" s="47"/>
    </row>
    <row r="33" spans="1:11" ht="15">
      <c r="A33" s="158"/>
      <c r="B33" s="159"/>
      <c r="C33" s="159"/>
      <c r="D33" s="159"/>
      <c r="E33" s="159"/>
      <c r="F33" s="159"/>
      <c r="G33" s="159"/>
      <c r="H33" s="159"/>
      <c r="I33" s="159"/>
      <c r="J33" s="46"/>
      <c r="K33" s="47"/>
    </row>
    <row r="34" spans="1:11" ht="15">
      <c r="A34" s="45"/>
      <c r="B34" s="46"/>
      <c r="C34" s="46"/>
      <c r="D34" s="46"/>
      <c r="E34" s="46"/>
      <c r="F34" s="46"/>
      <c r="G34" s="46"/>
      <c r="H34" s="46"/>
      <c r="I34" s="46"/>
      <c r="J34" s="46"/>
      <c r="K34" s="47"/>
    </row>
    <row r="35" spans="1:11" ht="15.75">
      <c r="A35" s="45" t="s">
        <v>29</v>
      </c>
      <c r="B35" s="46"/>
      <c r="C35" s="46"/>
      <c r="D35" s="46"/>
      <c r="E35" s="46"/>
      <c r="F35" s="46"/>
      <c r="G35" s="46"/>
      <c r="H35" s="46"/>
      <c r="I35" s="46"/>
      <c r="J35" s="46"/>
      <c r="K35" s="47"/>
    </row>
    <row r="36" spans="1:11" ht="15">
      <c r="A36" s="45"/>
      <c r="B36" s="46"/>
      <c r="C36" s="46"/>
      <c r="D36" s="46"/>
      <c r="E36" s="46"/>
      <c r="F36" s="46"/>
      <c r="G36" s="46"/>
      <c r="H36" s="46"/>
      <c r="I36" s="46"/>
      <c r="J36" s="46"/>
      <c r="K36" s="47"/>
    </row>
    <row r="37" spans="1:11" ht="15">
      <c r="A37" s="49" t="s">
        <v>31</v>
      </c>
      <c r="B37" s="46"/>
      <c r="C37" s="46"/>
      <c r="D37" s="46"/>
      <c r="E37" s="46"/>
      <c r="F37" s="46"/>
      <c r="G37" s="46"/>
      <c r="H37" s="46"/>
      <c r="I37" s="46"/>
      <c r="J37" s="46"/>
      <c r="K37" s="47"/>
    </row>
    <row r="38" spans="1:11" ht="15">
      <c r="A38" s="45"/>
      <c r="B38" s="46"/>
      <c r="C38" s="46"/>
      <c r="D38" s="46"/>
      <c r="E38" s="46"/>
      <c r="F38" s="46"/>
      <c r="G38" s="46"/>
      <c r="H38" s="46"/>
      <c r="I38" s="46"/>
      <c r="J38" s="46"/>
      <c r="K38" s="47"/>
    </row>
    <row r="39" spans="1:11" ht="15">
      <c r="A39" s="49" t="s">
        <v>32</v>
      </c>
      <c r="B39" s="46"/>
      <c r="C39" s="46"/>
      <c r="D39" s="46"/>
      <c r="E39" s="46"/>
      <c r="F39" s="46"/>
      <c r="G39" s="46"/>
      <c r="H39" s="46"/>
      <c r="I39" s="46"/>
      <c r="J39" s="46"/>
      <c r="K39" s="47"/>
    </row>
    <row r="40" spans="1:11" ht="15">
      <c r="A40" s="45"/>
      <c r="B40" s="46"/>
      <c r="C40" s="46"/>
      <c r="D40" s="46"/>
      <c r="E40" s="46"/>
      <c r="F40" s="46"/>
      <c r="G40" s="46"/>
      <c r="H40" s="46"/>
      <c r="I40" s="46"/>
      <c r="J40" s="46"/>
      <c r="K40" s="47"/>
    </row>
    <row r="41" spans="1:11" ht="15.75">
      <c r="A41" s="45" t="s">
        <v>30</v>
      </c>
      <c r="B41" s="46"/>
      <c r="C41" s="46"/>
      <c r="D41" s="46"/>
      <c r="E41" s="46"/>
      <c r="F41" s="46"/>
      <c r="G41" s="46"/>
      <c r="H41" s="46"/>
      <c r="I41" s="46"/>
      <c r="J41" s="46"/>
      <c r="K41" s="47"/>
    </row>
    <row r="42" spans="1:11" ht="15">
      <c r="A42" s="45"/>
      <c r="B42" s="46"/>
      <c r="C42" s="46"/>
      <c r="D42" s="46"/>
      <c r="E42" s="46"/>
      <c r="F42" s="46"/>
      <c r="G42" s="46"/>
      <c r="H42" s="46"/>
      <c r="I42" s="46"/>
      <c r="J42" s="46"/>
      <c r="K42" s="47"/>
    </row>
    <row r="43" spans="1:11" ht="15">
      <c r="A43" s="49" t="s">
        <v>33</v>
      </c>
      <c r="B43" s="46"/>
      <c r="C43" s="46"/>
      <c r="D43" s="46"/>
      <c r="E43" s="46"/>
      <c r="F43" s="46"/>
      <c r="G43" s="46"/>
      <c r="H43" s="46"/>
      <c r="I43" s="46"/>
      <c r="J43" s="46"/>
      <c r="K43" s="47"/>
    </row>
    <row r="44" spans="1:11" ht="15">
      <c r="A44" s="45"/>
      <c r="B44" s="46"/>
      <c r="C44" s="46"/>
      <c r="D44" s="46"/>
      <c r="E44" s="46"/>
      <c r="F44" s="46"/>
      <c r="G44" s="46"/>
      <c r="H44" s="46"/>
      <c r="I44" s="46"/>
      <c r="J44" s="46"/>
      <c r="K44" s="47"/>
    </row>
    <row r="45" spans="1:11" ht="15">
      <c r="A45" s="164" t="s">
        <v>34</v>
      </c>
      <c r="B45" s="159"/>
      <c r="C45" s="159"/>
      <c r="D45" s="159"/>
      <c r="E45" s="159"/>
      <c r="F45" s="159"/>
      <c r="G45" s="159"/>
      <c r="H45" s="159"/>
      <c r="I45" s="159"/>
      <c r="J45" s="46"/>
      <c r="K45" s="47"/>
    </row>
    <row r="46" spans="1:11" ht="15">
      <c r="A46" s="158"/>
      <c r="B46" s="159"/>
      <c r="C46" s="159"/>
      <c r="D46" s="159"/>
      <c r="E46" s="159"/>
      <c r="F46" s="159"/>
      <c r="G46" s="159"/>
      <c r="H46" s="159"/>
      <c r="I46" s="159"/>
      <c r="J46" s="46"/>
      <c r="K46" s="47"/>
    </row>
    <row r="47" spans="1:11" ht="15">
      <c r="A47" s="45"/>
      <c r="B47" s="46"/>
      <c r="C47" s="46"/>
      <c r="D47" s="46"/>
      <c r="E47" s="46"/>
      <c r="F47" s="46"/>
      <c r="G47" s="46"/>
      <c r="H47" s="46"/>
      <c r="I47" s="46"/>
      <c r="J47" s="46"/>
      <c r="K47" s="47"/>
    </row>
    <row r="48" spans="1:11" ht="15">
      <c r="A48" s="164" t="s">
        <v>35</v>
      </c>
      <c r="B48" s="159"/>
      <c r="C48" s="159"/>
      <c r="D48" s="159"/>
      <c r="E48" s="159"/>
      <c r="F48" s="159"/>
      <c r="G48" s="159"/>
      <c r="H48" s="159"/>
      <c r="I48" s="159"/>
      <c r="J48" s="46"/>
      <c r="K48" s="47"/>
    </row>
    <row r="49" spans="1:11" ht="15">
      <c r="A49" s="158"/>
      <c r="B49" s="159"/>
      <c r="C49" s="159"/>
      <c r="D49" s="159"/>
      <c r="E49" s="159"/>
      <c r="F49" s="159"/>
      <c r="G49" s="159"/>
      <c r="H49" s="159"/>
      <c r="I49" s="159"/>
      <c r="J49" s="46"/>
      <c r="K49" s="47"/>
    </row>
    <row r="50" spans="1:11" ht="15">
      <c r="A50" s="45"/>
      <c r="B50" s="46"/>
      <c r="C50" s="46"/>
      <c r="D50" s="46"/>
      <c r="E50" s="46"/>
      <c r="F50" s="46"/>
      <c r="G50" s="46"/>
      <c r="H50" s="46"/>
      <c r="I50" s="46"/>
      <c r="J50" s="46"/>
      <c r="K50" s="47"/>
    </row>
    <row r="51" spans="1:11" ht="15.75">
      <c r="A51" s="48" t="s">
        <v>36</v>
      </c>
      <c r="B51" s="46"/>
      <c r="C51" s="46"/>
      <c r="D51" s="46"/>
      <c r="E51" s="46"/>
      <c r="F51" s="46"/>
      <c r="G51" s="46"/>
      <c r="H51" s="46"/>
      <c r="I51" s="46"/>
      <c r="J51" s="46"/>
      <c r="K51" s="47"/>
    </row>
    <row r="52" spans="1:11" ht="15">
      <c r="A52" s="45"/>
      <c r="B52" s="46"/>
      <c r="C52" s="46"/>
      <c r="D52" s="46"/>
      <c r="E52" s="46"/>
      <c r="F52" s="46"/>
      <c r="G52" s="46"/>
      <c r="H52" s="46"/>
      <c r="I52" s="46"/>
      <c r="J52" s="46"/>
      <c r="K52" s="47"/>
    </row>
    <row r="53" spans="1:11" ht="15">
      <c r="A53" s="158" t="s">
        <v>38</v>
      </c>
      <c r="B53" s="159"/>
      <c r="C53" s="159"/>
      <c r="D53" s="159"/>
      <c r="E53" s="159"/>
      <c r="F53" s="159"/>
      <c r="G53" s="159"/>
      <c r="H53" s="159"/>
      <c r="I53" s="159"/>
      <c r="J53" s="46"/>
      <c r="K53" s="47"/>
    </row>
    <row r="54" spans="1:11" ht="15">
      <c r="A54" s="158"/>
      <c r="B54" s="159"/>
      <c r="C54" s="159"/>
      <c r="D54" s="159"/>
      <c r="E54" s="159"/>
      <c r="F54" s="159"/>
      <c r="G54" s="159"/>
      <c r="H54" s="159"/>
      <c r="I54" s="159"/>
      <c r="J54" s="46"/>
      <c r="K54" s="47"/>
    </row>
    <row r="55" spans="1:11" ht="15">
      <c r="A55" s="158"/>
      <c r="B55" s="159"/>
      <c r="C55" s="159"/>
      <c r="D55" s="159"/>
      <c r="E55" s="159"/>
      <c r="F55" s="159"/>
      <c r="G55" s="159"/>
      <c r="H55" s="159"/>
      <c r="I55" s="159"/>
      <c r="J55" s="46"/>
      <c r="K55" s="47"/>
    </row>
    <row r="56" spans="1:11" ht="15">
      <c r="A56" s="158"/>
      <c r="B56" s="159"/>
      <c r="C56" s="159"/>
      <c r="D56" s="159"/>
      <c r="E56" s="159"/>
      <c r="F56" s="159"/>
      <c r="G56" s="159"/>
      <c r="H56" s="159"/>
      <c r="I56" s="159"/>
      <c r="J56" s="46"/>
      <c r="K56" s="47"/>
    </row>
    <row r="57" spans="1:11" ht="15">
      <c r="A57" s="158"/>
      <c r="B57" s="159"/>
      <c r="C57" s="159"/>
      <c r="D57" s="159"/>
      <c r="E57" s="159"/>
      <c r="F57" s="159"/>
      <c r="G57" s="159"/>
      <c r="H57" s="159"/>
      <c r="I57" s="159"/>
      <c r="J57" s="46"/>
      <c r="K57" s="47"/>
    </row>
    <row r="58" spans="1:11" ht="15">
      <c r="A58" s="158"/>
      <c r="B58" s="159"/>
      <c r="C58" s="159"/>
      <c r="D58" s="159"/>
      <c r="E58" s="159"/>
      <c r="F58" s="159"/>
      <c r="G58" s="159"/>
      <c r="H58" s="159"/>
      <c r="I58" s="159"/>
      <c r="J58" s="46"/>
      <c r="K58" s="47"/>
    </row>
    <row r="59" spans="1:11" ht="15">
      <c r="A59" s="45"/>
      <c r="B59" s="46"/>
      <c r="C59" s="46"/>
      <c r="D59" s="46"/>
      <c r="E59" s="46"/>
      <c r="F59" s="46"/>
      <c r="G59" s="46"/>
      <c r="H59" s="46"/>
      <c r="I59" s="46"/>
      <c r="J59" s="46"/>
      <c r="K59" s="47"/>
    </row>
    <row r="60" spans="1:11" ht="15">
      <c r="A60" s="45"/>
      <c r="B60" s="46"/>
      <c r="C60" s="46"/>
      <c r="D60" s="46"/>
      <c r="E60" s="46"/>
      <c r="F60" s="46"/>
      <c r="G60" s="46"/>
      <c r="H60" s="46"/>
      <c r="I60" s="46"/>
      <c r="J60" s="46"/>
      <c r="K60" s="47"/>
    </row>
    <row r="61" spans="1:11" ht="15.75">
      <c r="A61" s="48" t="s">
        <v>39</v>
      </c>
      <c r="B61" s="46"/>
      <c r="C61" s="46"/>
      <c r="D61" s="46"/>
      <c r="E61" s="46"/>
      <c r="F61" s="46"/>
      <c r="G61" s="46"/>
      <c r="H61" s="46"/>
      <c r="I61" s="46"/>
      <c r="J61" s="46"/>
      <c r="K61" s="47"/>
    </row>
    <row r="62" spans="1:11" ht="15">
      <c r="A62" s="45"/>
      <c r="B62" s="46"/>
      <c r="C62" s="46"/>
      <c r="D62" s="46"/>
      <c r="E62" s="46"/>
      <c r="F62" s="46"/>
      <c r="G62" s="46"/>
      <c r="H62" s="46"/>
      <c r="I62" s="46"/>
      <c r="J62" s="46"/>
      <c r="K62" s="47"/>
    </row>
    <row r="63" spans="1:11" ht="15.75">
      <c r="A63" s="48" t="s">
        <v>40</v>
      </c>
      <c r="B63" s="46"/>
      <c r="C63" s="46"/>
      <c r="D63" s="46"/>
      <c r="E63" s="46"/>
      <c r="F63" s="46"/>
      <c r="G63" s="46"/>
      <c r="H63" s="46"/>
      <c r="I63" s="46"/>
      <c r="J63" s="46"/>
      <c r="K63" s="47"/>
    </row>
    <row r="64" spans="1:11" ht="15">
      <c r="A64" s="45"/>
      <c r="B64" s="46"/>
      <c r="C64" s="46"/>
      <c r="D64" s="46"/>
      <c r="E64" s="46"/>
      <c r="F64" s="46"/>
      <c r="G64" s="46"/>
      <c r="H64" s="46"/>
      <c r="I64" s="46"/>
      <c r="J64" s="46"/>
      <c r="K64" s="47"/>
    </row>
    <row r="65" spans="1:11" ht="15.75">
      <c r="A65" s="50" t="s">
        <v>41</v>
      </c>
      <c r="B65" s="46"/>
      <c r="C65" s="46"/>
      <c r="D65" s="46"/>
      <c r="E65" s="157" t="s">
        <v>9</v>
      </c>
      <c r="F65" s="154"/>
      <c r="G65" s="154"/>
      <c r="H65" s="154"/>
      <c r="I65" s="154"/>
      <c r="J65" s="154"/>
      <c r="K65" s="47"/>
    </row>
    <row r="66" spans="1:11" ht="15">
      <c r="A66" s="45"/>
      <c r="B66" s="46"/>
      <c r="C66" s="46"/>
      <c r="D66" s="46"/>
      <c r="E66" s="46"/>
      <c r="F66" s="46"/>
      <c r="G66" s="46"/>
      <c r="H66" s="46"/>
      <c r="I66" s="46"/>
      <c r="J66" s="46"/>
      <c r="K66" s="47"/>
    </row>
    <row r="67" spans="1:11" ht="15.75">
      <c r="A67" s="45"/>
      <c r="B67" s="51" t="s">
        <v>19</v>
      </c>
      <c r="C67" s="52"/>
      <c r="D67" s="52"/>
      <c r="E67" s="52"/>
      <c r="F67" s="52"/>
      <c r="G67" s="52"/>
      <c r="H67" s="52"/>
      <c r="I67" s="52"/>
      <c r="J67" s="46"/>
      <c r="K67" s="47"/>
    </row>
    <row r="68" spans="1:11" ht="15">
      <c r="A68" s="45"/>
      <c r="B68" s="160" t="s">
        <v>20</v>
      </c>
      <c r="C68" s="160"/>
      <c r="D68" s="160"/>
      <c r="E68" s="160"/>
      <c r="F68" s="160"/>
      <c r="G68" s="160"/>
      <c r="H68" s="160"/>
      <c r="I68" s="160"/>
      <c r="J68" s="46"/>
      <c r="K68" s="47"/>
    </row>
    <row r="69" spans="1:11" ht="15">
      <c r="A69" s="45"/>
      <c r="B69" s="160"/>
      <c r="C69" s="160"/>
      <c r="D69" s="160"/>
      <c r="E69" s="160"/>
      <c r="F69" s="160"/>
      <c r="G69" s="160"/>
      <c r="H69" s="160"/>
      <c r="I69" s="160"/>
      <c r="J69" s="46"/>
      <c r="K69" s="47"/>
    </row>
    <row r="70" spans="1:11" ht="15">
      <c r="A70" s="45"/>
      <c r="B70" s="159"/>
      <c r="C70" s="159"/>
      <c r="D70" s="159"/>
      <c r="E70" s="159"/>
      <c r="F70" s="159"/>
      <c r="G70" s="159"/>
      <c r="H70" s="159"/>
      <c r="I70" s="159"/>
      <c r="J70" s="46"/>
      <c r="K70" s="47"/>
    </row>
    <row r="71" spans="1:11" ht="15">
      <c r="A71" s="45"/>
      <c r="B71" s="160" t="s">
        <v>21</v>
      </c>
      <c r="C71" s="160"/>
      <c r="D71" s="160"/>
      <c r="E71" s="160"/>
      <c r="F71" s="160"/>
      <c r="G71" s="160"/>
      <c r="H71" s="160"/>
      <c r="I71" s="160"/>
      <c r="J71" s="46"/>
      <c r="K71" s="47"/>
    </row>
    <row r="72" spans="1:11" ht="15">
      <c r="A72" s="45"/>
      <c r="B72" s="160"/>
      <c r="C72" s="160"/>
      <c r="D72" s="160"/>
      <c r="E72" s="160"/>
      <c r="F72" s="160"/>
      <c r="G72" s="160"/>
      <c r="H72" s="160"/>
      <c r="I72" s="160"/>
      <c r="J72" s="46"/>
      <c r="K72" s="47"/>
    </row>
    <row r="73" spans="1:11" ht="15">
      <c r="A73" s="45"/>
      <c r="B73" s="46"/>
      <c r="C73" s="46"/>
      <c r="D73" s="46"/>
      <c r="E73" s="46"/>
      <c r="F73" s="46"/>
      <c r="G73" s="46"/>
      <c r="H73" s="46"/>
      <c r="I73" s="46"/>
      <c r="J73" s="46"/>
      <c r="K73" s="47"/>
    </row>
    <row r="74" spans="1:11" ht="15.75">
      <c r="A74" s="48" t="s">
        <v>42</v>
      </c>
      <c r="B74" s="46"/>
      <c r="C74" s="46"/>
      <c r="D74" s="46"/>
      <c r="E74" s="46"/>
      <c r="F74" s="46"/>
      <c r="G74" s="46"/>
      <c r="H74" s="46"/>
      <c r="I74" s="46"/>
      <c r="J74" s="46"/>
      <c r="K74" s="47"/>
    </row>
    <row r="75" spans="1:11" ht="15">
      <c r="A75" s="45"/>
      <c r="B75" s="46"/>
      <c r="C75" s="46"/>
      <c r="D75" s="46"/>
      <c r="E75" s="46"/>
      <c r="F75" s="46"/>
      <c r="G75" s="46"/>
      <c r="H75" s="46"/>
      <c r="I75" s="46"/>
      <c r="J75" s="46"/>
      <c r="K75" s="47"/>
    </row>
    <row r="76" spans="1:11" ht="15">
      <c r="A76" s="158" t="s">
        <v>43</v>
      </c>
      <c r="B76" s="159"/>
      <c r="C76" s="159"/>
      <c r="D76" s="159"/>
      <c r="E76" s="159"/>
      <c r="F76" s="159"/>
      <c r="G76" s="159"/>
      <c r="H76" s="159"/>
      <c r="I76" s="159"/>
      <c r="J76" s="46"/>
      <c r="K76" s="47"/>
    </row>
    <row r="77" spans="1:11" ht="15">
      <c r="A77" s="158"/>
      <c r="B77" s="159"/>
      <c r="C77" s="159"/>
      <c r="D77" s="159"/>
      <c r="E77" s="159"/>
      <c r="F77" s="159"/>
      <c r="G77" s="159"/>
      <c r="H77" s="159"/>
      <c r="I77" s="159"/>
      <c r="J77" s="46"/>
      <c r="K77" s="47"/>
    </row>
    <row r="78" spans="1:11" ht="15">
      <c r="A78" s="158"/>
      <c r="B78" s="159"/>
      <c r="C78" s="159"/>
      <c r="D78" s="159"/>
      <c r="E78" s="159"/>
      <c r="F78" s="159"/>
      <c r="G78" s="159"/>
      <c r="H78" s="159"/>
      <c r="I78" s="159"/>
      <c r="J78" s="46"/>
      <c r="K78" s="47"/>
    </row>
    <row r="79" spans="1:11" ht="15">
      <c r="A79" s="45"/>
      <c r="B79" s="46"/>
      <c r="C79" s="46"/>
      <c r="D79" s="46"/>
      <c r="E79" s="46"/>
      <c r="F79" s="46"/>
      <c r="G79" s="46"/>
      <c r="H79" s="46"/>
      <c r="I79" s="46"/>
      <c r="J79" s="46"/>
      <c r="K79" s="47"/>
    </row>
    <row r="80" spans="1:11" ht="15.75">
      <c r="A80" s="48" t="s">
        <v>44</v>
      </c>
      <c r="B80" s="46"/>
      <c r="C80" s="46"/>
      <c r="D80" s="46"/>
      <c r="E80" s="46"/>
      <c r="F80" s="46"/>
      <c r="G80" s="46"/>
      <c r="H80" s="46"/>
      <c r="I80" s="46"/>
      <c r="J80" s="46"/>
      <c r="K80" s="47"/>
    </row>
    <row r="81" spans="1:11" ht="15">
      <c r="A81" s="45"/>
      <c r="B81" s="46"/>
      <c r="C81" s="46"/>
      <c r="D81" s="46"/>
      <c r="E81" s="46"/>
      <c r="F81" s="46"/>
      <c r="G81" s="46"/>
      <c r="H81" s="46"/>
      <c r="I81" s="46"/>
      <c r="J81" s="46"/>
      <c r="K81" s="47"/>
    </row>
    <row r="82" spans="1:11" ht="15">
      <c r="A82" s="158" t="s">
        <v>45</v>
      </c>
      <c r="B82" s="159"/>
      <c r="C82" s="159"/>
      <c r="D82" s="159"/>
      <c r="E82" s="159"/>
      <c r="F82" s="159"/>
      <c r="G82" s="159"/>
      <c r="H82" s="159"/>
      <c r="I82" s="159"/>
      <c r="J82" s="46"/>
      <c r="K82" s="47"/>
    </row>
    <row r="83" spans="1:11" ht="15">
      <c r="A83" s="158"/>
      <c r="B83" s="159"/>
      <c r="C83" s="159"/>
      <c r="D83" s="159"/>
      <c r="E83" s="159"/>
      <c r="F83" s="159"/>
      <c r="G83" s="159"/>
      <c r="H83" s="159"/>
      <c r="I83" s="159"/>
      <c r="J83" s="46"/>
      <c r="K83" s="47"/>
    </row>
    <row r="84" spans="1:11" ht="15">
      <c r="A84" s="158"/>
      <c r="B84" s="159"/>
      <c r="C84" s="159"/>
      <c r="D84" s="159"/>
      <c r="E84" s="159"/>
      <c r="F84" s="159"/>
      <c r="G84" s="159"/>
      <c r="H84" s="159"/>
      <c r="I84" s="159"/>
      <c r="J84" s="46"/>
      <c r="K84" s="47"/>
    </row>
    <row r="85" spans="1:11" ht="15">
      <c r="A85" s="45"/>
      <c r="B85" s="46"/>
      <c r="C85" s="46"/>
      <c r="D85" s="46"/>
      <c r="E85" s="46"/>
      <c r="F85" s="46"/>
      <c r="G85" s="46"/>
      <c r="H85" s="46"/>
      <c r="I85" s="46"/>
      <c r="J85" s="46"/>
      <c r="K85" s="47"/>
    </row>
    <row r="86" spans="1:11" ht="15.75">
      <c r="A86" s="48" t="s">
        <v>46</v>
      </c>
      <c r="B86" s="46"/>
      <c r="C86" s="46"/>
      <c r="D86" s="46"/>
      <c r="E86" s="46"/>
      <c r="F86" s="46"/>
      <c r="G86" s="46"/>
      <c r="H86" s="46"/>
      <c r="I86" s="46"/>
      <c r="J86" s="46"/>
      <c r="K86" s="47"/>
    </row>
    <row r="87" spans="1:11" ht="15">
      <c r="A87" s="45"/>
      <c r="B87" s="46"/>
      <c r="C87" s="46"/>
      <c r="D87" s="46"/>
      <c r="E87" s="46"/>
      <c r="F87" s="46"/>
      <c r="G87" s="46"/>
      <c r="H87" s="46"/>
      <c r="I87" s="46"/>
      <c r="J87" s="46"/>
      <c r="K87" s="47"/>
    </row>
    <row r="88" spans="1:11" ht="15">
      <c r="A88" s="158" t="s">
        <v>733</v>
      </c>
      <c r="B88" s="159"/>
      <c r="C88" s="159"/>
      <c r="D88" s="159"/>
      <c r="E88" s="159"/>
      <c r="F88" s="159"/>
      <c r="G88" s="159"/>
      <c r="H88" s="159"/>
      <c r="I88" s="159"/>
      <c r="J88" s="46"/>
      <c r="K88" s="47"/>
    </row>
    <row r="89" spans="1:11" ht="15">
      <c r="A89" s="158"/>
      <c r="B89" s="159"/>
      <c r="C89" s="159"/>
      <c r="D89" s="159"/>
      <c r="E89" s="159"/>
      <c r="F89" s="159"/>
      <c r="G89" s="159"/>
      <c r="H89" s="159"/>
      <c r="I89" s="159"/>
      <c r="J89" s="46"/>
      <c r="K89" s="47"/>
    </row>
    <row r="90" spans="1:11" ht="15">
      <c r="A90" s="158"/>
      <c r="B90" s="159"/>
      <c r="C90" s="159"/>
      <c r="D90" s="159"/>
      <c r="E90" s="159"/>
      <c r="F90" s="159"/>
      <c r="G90" s="159"/>
      <c r="H90" s="159"/>
      <c r="I90" s="159"/>
      <c r="J90" s="46"/>
      <c r="K90" s="47"/>
    </row>
    <row r="91" spans="1:11" ht="15">
      <c r="A91" s="158"/>
      <c r="B91" s="159"/>
      <c r="C91" s="159"/>
      <c r="D91" s="159"/>
      <c r="E91" s="159"/>
      <c r="F91" s="159"/>
      <c r="G91" s="159"/>
      <c r="H91" s="159"/>
      <c r="I91" s="159"/>
      <c r="J91" s="46"/>
      <c r="K91" s="47"/>
    </row>
    <row r="92" spans="1:11" ht="15">
      <c r="A92" s="158"/>
      <c r="B92" s="159"/>
      <c r="C92" s="159"/>
      <c r="D92" s="159"/>
      <c r="E92" s="159"/>
      <c r="F92" s="159"/>
      <c r="G92" s="159"/>
      <c r="H92" s="159"/>
      <c r="I92" s="159"/>
      <c r="J92" s="46"/>
      <c r="K92" s="47"/>
    </row>
    <row r="93" spans="1:11" ht="15">
      <c r="A93" s="158"/>
      <c r="B93" s="159"/>
      <c r="C93" s="159"/>
      <c r="D93" s="159"/>
      <c r="E93" s="159"/>
      <c r="F93" s="159"/>
      <c r="G93" s="159"/>
      <c r="H93" s="159"/>
      <c r="I93" s="159"/>
      <c r="J93" s="46"/>
      <c r="K93" s="47"/>
    </row>
    <row r="94" spans="1:11" ht="15">
      <c r="A94" s="45"/>
      <c r="B94" s="46"/>
      <c r="C94" s="46"/>
      <c r="D94" s="46"/>
      <c r="E94" s="46"/>
      <c r="F94" s="46"/>
      <c r="G94" s="46"/>
      <c r="H94" s="46"/>
      <c r="I94" s="46"/>
      <c r="J94" s="46"/>
      <c r="K94" s="47"/>
    </row>
    <row r="95" spans="1:11" ht="15.75">
      <c r="A95" s="48" t="s">
        <v>47</v>
      </c>
      <c r="B95" s="46"/>
      <c r="C95" s="46"/>
      <c r="D95" s="46"/>
      <c r="E95" s="46"/>
      <c r="F95" s="46"/>
      <c r="G95" s="46"/>
      <c r="H95" s="46"/>
      <c r="I95" s="46"/>
      <c r="J95" s="46"/>
      <c r="K95" s="47"/>
    </row>
    <row r="96" spans="1:11" ht="15">
      <c r="A96" s="45"/>
      <c r="B96" s="46"/>
      <c r="C96" s="46"/>
      <c r="D96" s="46"/>
      <c r="E96" s="46"/>
      <c r="F96" s="46"/>
      <c r="G96" s="46"/>
      <c r="H96" s="46"/>
      <c r="I96" s="46"/>
      <c r="J96" s="46"/>
      <c r="K96" s="47"/>
    </row>
    <row r="97" spans="1:11" ht="15">
      <c r="A97" s="158" t="s">
        <v>48</v>
      </c>
      <c r="B97" s="159"/>
      <c r="C97" s="159"/>
      <c r="D97" s="159"/>
      <c r="E97" s="159"/>
      <c r="F97" s="159"/>
      <c r="G97" s="159"/>
      <c r="H97" s="159"/>
      <c r="I97" s="159"/>
      <c r="J97" s="46"/>
      <c r="K97" s="47"/>
    </row>
    <row r="98" spans="1:11" ht="15">
      <c r="A98" s="158"/>
      <c r="B98" s="159"/>
      <c r="C98" s="159"/>
      <c r="D98" s="159"/>
      <c r="E98" s="159"/>
      <c r="F98" s="159"/>
      <c r="G98" s="159"/>
      <c r="H98" s="159"/>
      <c r="I98" s="159"/>
      <c r="J98" s="46"/>
      <c r="K98" s="47"/>
    </row>
    <row r="99" spans="1:11" ht="15">
      <c r="A99" s="158"/>
      <c r="B99" s="159"/>
      <c r="C99" s="159"/>
      <c r="D99" s="159"/>
      <c r="E99" s="159"/>
      <c r="F99" s="159"/>
      <c r="G99" s="159"/>
      <c r="H99" s="159"/>
      <c r="I99" s="159"/>
      <c r="J99" s="46"/>
      <c r="K99" s="47"/>
    </row>
    <row r="100" spans="1:11" ht="15">
      <c r="A100" s="45"/>
      <c r="B100" s="46"/>
      <c r="C100" s="46"/>
      <c r="D100" s="46"/>
      <c r="E100" s="46"/>
      <c r="F100" s="46"/>
      <c r="G100" s="46"/>
      <c r="H100" s="46"/>
      <c r="I100" s="46"/>
      <c r="J100" s="46"/>
      <c r="K100" s="47"/>
    </row>
    <row r="101" spans="1:11" ht="15.75">
      <c r="A101" s="48" t="s">
        <v>49</v>
      </c>
      <c r="B101" s="46"/>
      <c r="C101" s="46"/>
      <c r="D101" s="46"/>
      <c r="E101" s="46"/>
      <c r="F101" s="46"/>
      <c r="G101" s="46"/>
      <c r="H101" s="46"/>
      <c r="I101" s="46"/>
      <c r="J101" s="46"/>
      <c r="K101" s="47"/>
    </row>
    <row r="102" spans="1:11" ht="15">
      <c r="A102" s="45"/>
      <c r="B102" s="46"/>
      <c r="C102" s="46"/>
      <c r="D102" s="46"/>
      <c r="E102" s="46"/>
      <c r="F102" s="46"/>
      <c r="G102" s="46"/>
      <c r="H102" s="46"/>
      <c r="I102" s="46"/>
      <c r="J102" s="46"/>
      <c r="K102" s="47"/>
    </row>
    <row r="103" spans="1:11" ht="15">
      <c r="A103" s="158" t="s">
        <v>50</v>
      </c>
      <c r="B103" s="159"/>
      <c r="C103" s="159"/>
      <c r="D103" s="159"/>
      <c r="E103" s="159"/>
      <c r="F103" s="159"/>
      <c r="G103" s="159"/>
      <c r="H103" s="159"/>
      <c r="I103" s="159"/>
      <c r="J103" s="46"/>
      <c r="K103" s="47"/>
    </row>
    <row r="104" spans="1:11" ht="15">
      <c r="A104" s="158"/>
      <c r="B104" s="159"/>
      <c r="C104" s="159"/>
      <c r="D104" s="159"/>
      <c r="E104" s="159"/>
      <c r="F104" s="159"/>
      <c r="G104" s="159"/>
      <c r="H104" s="159"/>
      <c r="I104" s="159"/>
      <c r="J104" s="46"/>
      <c r="K104" s="47"/>
    </row>
    <row r="105" spans="1:11" ht="15">
      <c r="A105" s="45"/>
      <c r="B105" s="46"/>
      <c r="C105" s="46"/>
      <c r="D105" s="46"/>
      <c r="E105" s="46"/>
      <c r="F105" s="46"/>
      <c r="G105" s="46"/>
      <c r="H105" s="46"/>
      <c r="I105" s="46"/>
      <c r="J105" s="46"/>
      <c r="K105" s="47"/>
    </row>
    <row r="106" spans="1:11" ht="15.75">
      <c r="A106" s="48" t="s">
        <v>51</v>
      </c>
      <c r="B106" s="46"/>
      <c r="C106" s="46"/>
      <c r="D106" s="46"/>
      <c r="E106" s="46"/>
      <c r="F106" s="46"/>
      <c r="G106" s="46"/>
      <c r="H106" s="46"/>
      <c r="I106" s="46"/>
      <c r="J106" s="46"/>
      <c r="K106" s="47"/>
    </row>
    <row r="107" spans="1:11" ht="15">
      <c r="A107" s="45"/>
      <c r="B107" s="46"/>
      <c r="C107" s="46"/>
      <c r="D107" s="46"/>
      <c r="E107" s="46"/>
      <c r="F107" s="46"/>
      <c r="G107" s="46"/>
      <c r="H107" s="46"/>
      <c r="I107" s="46"/>
      <c r="J107" s="46"/>
      <c r="K107" s="47"/>
    </row>
    <row r="108" spans="1:11" ht="15">
      <c r="A108" s="158" t="s">
        <v>52</v>
      </c>
      <c r="B108" s="159"/>
      <c r="C108" s="159"/>
      <c r="D108" s="159"/>
      <c r="E108" s="159"/>
      <c r="F108" s="159"/>
      <c r="G108" s="159"/>
      <c r="H108" s="159"/>
      <c r="I108" s="159"/>
      <c r="J108" s="46"/>
      <c r="K108" s="47"/>
    </row>
    <row r="109" spans="1:11" ht="15">
      <c r="A109" s="158"/>
      <c r="B109" s="159"/>
      <c r="C109" s="159"/>
      <c r="D109" s="159"/>
      <c r="E109" s="159"/>
      <c r="F109" s="159"/>
      <c r="G109" s="159"/>
      <c r="H109" s="159"/>
      <c r="I109" s="159"/>
      <c r="J109" s="46"/>
      <c r="K109" s="47"/>
    </row>
    <row r="110" spans="1:11" ht="15">
      <c r="A110" s="158"/>
      <c r="B110" s="159"/>
      <c r="C110" s="159"/>
      <c r="D110" s="159"/>
      <c r="E110" s="159"/>
      <c r="F110" s="159"/>
      <c r="G110" s="159"/>
      <c r="H110" s="159"/>
      <c r="I110" s="159"/>
      <c r="J110" s="46"/>
      <c r="K110" s="47"/>
    </row>
    <row r="111" spans="1:11" ht="15">
      <c r="A111" s="158"/>
      <c r="B111" s="159"/>
      <c r="C111" s="159"/>
      <c r="D111" s="159"/>
      <c r="E111" s="159"/>
      <c r="F111" s="159"/>
      <c r="G111" s="159"/>
      <c r="H111" s="159"/>
      <c r="I111" s="159"/>
      <c r="J111" s="46"/>
      <c r="K111" s="47"/>
    </row>
    <row r="112" spans="1:11" ht="15">
      <c r="A112" s="158"/>
      <c r="B112" s="159"/>
      <c r="C112" s="159"/>
      <c r="D112" s="159"/>
      <c r="E112" s="159"/>
      <c r="F112" s="159"/>
      <c r="G112" s="159"/>
      <c r="H112" s="159"/>
      <c r="I112" s="159"/>
      <c r="J112" s="46"/>
      <c r="K112" s="47"/>
    </row>
    <row r="113" spans="1:11" ht="15">
      <c r="A113" s="158"/>
      <c r="B113" s="159"/>
      <c r="C113" s="159"/>
      <c r="D113" s="159"/>
      <c r="E113" s="159"/>
      <c r="F113" s="159"/>
      <c r="G113" s="159"/>
      <c r="H113" s="159"/>
      <c r="I113" s="159"/>
      <c r="J113" s="46"/>
      <c r="K113" s="47"/>
    </row>
    <row r="114" spans="1:11" ht="15">
      <c r="A114" s="158"/>
      <c r="B114" s="159"/>
      <c r="C114" s="159"/>
      <c r="D114" s="159"/>
      <c r="E114" s="159"/>
      <c r="F114" s="159"/>
      <c r="G114" s="159"/>
      <c r="H114" s="159"/>
      <c r="I114" s="159"/>
      <c r="J114" s="46"/>
      <c r="K114" s="47"/>
    </row>
    <row r="115" spans="1:11" ht="15">
      <c r="A115" s="45"/>
      <c r="B115" s="46"/>
      <c r="C115" s="46"/>
      <c r="D115" s="46"/>
      <c r="E115" s="46"/>
      <c r="F115" s="46"/>
      <c r="G115" s="46"/>
      <c r="H115" s="46"/>
      <c r="I115" s="46"/>
      <c r="J115" s="46"/>
      <c r="K115" s="47"/>
    </row>
    <row r="116" spans="1:11" ht="15.75">
      <c r="A116" s="48" t="s">
        <v>53</v>
      </c>
      <c r="B116" s="46"/>
      <c r="C116" s="46"/>
      <c r="D116" s="46"/>
      <c r="E116" s="46"/>
      <c r="F116" s="46"/>
      <c r="G116" s="46"/>
      <c r="H116" s="46"/>
      <c r="I116" s="46"/>
      <c r="J116" s="46"/>
      <c r="K116" s="47"/>
    </row>
    <row r="117" spans="1:11" ht="15">
      <c r="A117" s="45"/>
      <c r="B117" s="46"/>
      <c r="C117" s="46"/>
      <c r="D117" s="46"/>
      <c r="E117" s="46"/>
      <c r="F117" s="46"/>
      <c r="G117" s="46"/>
      <c r="H117" s="46"/>
      <c r="I117" s="46"/>
      <c r="J117" s="46"/>
      <c r="K117" s="47"/>
    </row>
    <row r="118" spans="1:11" ht="15">
      <c r="A118" s="158" t="s">
        <v>54</v>
      </c>
      <c r="B118" s="159"/>
      <c r="C118" s="159"/>
      <c r="D118" s="159"/>
      <c r="E118" s="159"/>
      <c r="F118" s="159"/>
      <c r="G118" s="159"/>
      <c r="H118" s="159"/>
      <c r="I118" s="159"/>
      <c r="J118" s="46"/>
      <c r="K118" s="47"/>
    </row>
    <row r="119" spans="1:11" ht="15">
      <c r="A119" s="158"/>
      <c r="B119" s="159"/>
      <c r="C119" s="159"/>
      <c r="D119" s="159"/>
      <c r="E119" s="159"/>
      <c r="F119" s="159"/>
      <c r="G119" s="159"/>
      <c r="H119" s="159"/>
      <c r="I119" s="159"/>
      <c r="J119" s="46"/>
      <c r="K119" s="47"/>
    </row>
    <row r="120" spans="1:11" ht="15">
      <c r="A120" s="158"/>
      <c r="B120" s="159"/>
      <c r="C120" s="159"/>
      <c r="D120" s="159"/>
      <c r="E120" s="159"/>
      <c r="F120" s="159"/>
      <c r="G120" s="159"/>
      <c r="H120" s="159"/>
      <c r="I120" s="159"/>
      <c r="J120" s="46"/>
      <c r="K120" s="47"/>
    </row>
    <row r="121" spans="1:11" ht="15">
      <c r="A121" s="45"/>
      <c r="B121" s="46"/>
      <c r="C121" s="46"/>
      <c r="D121" s="46"/>
      <c r="E121" s="46"/>
      <c r="F121" s="46"/>
      <c r="G121" s="46"/>
      <c r="H121" s="46"/>
      <c r="I121" s="46"/>
      <c r="J121" s="46"/>
      <c r="K121" s="47"/>
    </row>
    <row r="122" spans="1:11" ht="15.75">
      <c r="A122" s="48" t="s">
        <v>55</v>
      </c>
      <c r="B122" s="46"/>
      <c r="C122" s="46"/>
      <c r="D122" s="46"/>
      <c r="E122" s="46"/>
      <c r="F122" s="46"/>
      <c r="G122" s="46"/>
      <c r="H122" s="46"/>
      <c r="I122" s="46"/>
      <c r="J122" s="46"/>
      <c r="K122" s="47"/>
    </row>
    <row r="123" spans="1:11" ht="15">
      <c r="A123" s="45"/>
      <c r="B123" s="46"/>
      <c r="C123" s="46"/>
      <c r="D123" s="46"/>
      <c r="E123" s="46"/>
      <c r="F123" s="46"/>
      <c r="G123" s="46"/>
      <c r="H123" s="46"/>
      <c r="I123" s="46"/>
      <c r="J123" s="46"/>
      <c r="K123" s="47"/>
    </row>
    <row r="124" spans="1:11" ht="15">
      <c r="A124" s="158" t="s">
        <v>56</v>
      </c>
      <c r="B124" s="159"/>
      <c r="C124" s="159"/>
      <c r="D124" s="159"/>
      <c r="E124" s="159"/>
      <c r="F124" s="159"/>
      <c r="G124" s="159"/>
      <c r="H124" s="159"/>
      <c r="I124" s="159"/>
      <c r="J124" s="46"/>
      <c r="K124" s="47"/>
    </row>
    <row r="125" spans="1:11" ht="15">
      <c r="A125" s="158"/>
      <c r="B125" s="159"/>
      <c r="C125" s="159"/>
      <c r="D125" s="159"/>
      <c r="E125" s="159"/>
      <c r="F125" s="159"/>
      <c r="G125" s="159"/>
      <c r="H125" s="159"/>
      <c r="I125" s="159"/>
      <c r="J125" s="46"/>
      <c r="K125" s="47"/>
    </row>
    <row r="126" spans="1:11" ht="15">
      <c r="A126" s="158"/>
      <c r="B126" s="159"/>
      <c r="C126" s="159"/>
      <c r="D126" s="159"/>
      <c r="E126" s="159"/>
      <c r="F126" s="159"/>
      <c r="G126" s="159"/>
      <c r="H126" s="159"/>
      <c r="I126" s="159"/>
      <c r="J126" s="46"/>
      <c r="K126" s="47"/>
    </row>
    <row r="127" spans="1:11" ht="15">
      <c r="A127" s="158"/>
      <c r="B127" s="159"/>
      <c r="C127" s="159"/>
      <c r="D127" s="159"/>
      <c r="E127" s="159"/>
      <c r="F127" s="159"/>
      <c r="G127" s="159"/>
      <c r="H127" s="159"/>
      <c r="I127" s="159"/>
      <c r="J127" s="46"/>
      <c r="K127" s="47"/>
    </row>
    <row r="128" spans="1:11" ht="15">
      <c r="A128" s="158"/>
      <c r="B128" s="159"/>
      <c r="C128" s="159"/>
      <c r="D128" s="159"/>
      <c r="E128" s="159"/>
      <c r="F128" s="159"/>
      <c r="G128" s="159"/>
      <c r="H128" s="159"/>
      <c r="I128" s="159"/>
      <c r="J128" s="46"/>
      <c r="K128" s="47"/>
    </row>
    <row r="129" spans="1:11" ht="15">
      <c r="A129" s="45"/>
      <c r="B129" s="46"/>
      <c r="C129" s="46"/>
      <c r="D129" s="46"/>
      <c r="E129" s="46"/>
      <c r="F129" s="46"/>
      <c r="G129" s="46"/>
      <c r="H129" s="46"/>
      <c r="I129" s="46"/>
      <c r="J129" s="46"/>
      <c r="K129" s="47"/>
    </row>
    <row r="130" spans="1:11" ht="15.75">
      <c r="A130" s="48" t="s">
        <v>57</v>
      </c>
      <c r="B130" s="46"/>
      <c r="C130" s="46"/>
      <c r="D130" s="46"/>
      <c r="E130" s="46"/>
      <c r="F130" s="46"/>
      <c r="G130" s="46"/>
      <c r="H130" s="46"/>
      <c r="I130" s="46"/>
      <c r="J130" s="46"/>
      <c r="K130" s="47"/>
    </row>
    <row r="131" spans="1:11" ht="15">
      <c r="A131" s="45"/>
      <c r="B131" s="46"/>
      <c r="C131" s="46"/>
      <c r="D131" s="46"/>
      <c r="E131" s="46"/>
      <c r="F131" s="46"/>
      <c r="G131" s="46"/>
      <c r="H131" s="46"/>
      <c r="I131" s="46"/>
      <c r="J131" s="46"/>
      <c r="K131" s="47"/>
    </row>
    <row r="132" spans="1:11" ht="15">
      <c r="A132" s="158" t="s">
        <v>58</v>
      </c>
      <c r="B132" s="159"/>
      <c r="C132" s="159"/>
      <c r="D132" s="159"/>
      <c r="E132" s="159"/>
      <c r="F132" s="159"/>
      <c r="G132" s="159"/>
      <c r="H132" s="159"/>
      <c r="I132" s="159"/>
      <c r="J132" s="46"/>
      <c r="K132" s="47"/>
    </row>
    <row r="133" spans="1:11" ht="15">
      <c r="A133" s="158"/>
      <c r="B133" s="159"/>
      <c r="C133" s="159"/>
      <c r="D133" s="159"/>
      <c r="E133" s="159"/>
      <c r="F133" s="159"/>
      <c r="G133" s="159"/>
      <c r="H133" s="159"/>
      <c r="I133" s="159"/>
      <c r="J133" s="46"/>
      <c r="K133" s="47"/>
    </row>
    <row r="134" spans="1:11" ht="15">
      <c r="A134" s="158"/>
      <c r="B134" s="159"/>
      <c r="C134" s="159"/>
      <c r="D134" s="159"/>
      <c r="E134" s="159"/>
      <c r="F134" s="159"/>
      <c r="G134" s="159"/>
      <c r="H134" s="159"/>
      <c r="I134" s="159"/>
      <c r="J134" s="46"/>
      <c r="K134" s="47"/>
    </row>
    <row r="135" spans="1:11" ht="15">
      <c r="A135" s="158"/>
      <c r="B135" s="159"/>
      <c r="C135" s="159"/>
      <c r="D135" s="159"/>
      <c r="E135" s="159"/>
      <c r="F135" s="159"/>
      <c r="G135" s="159"/>
      <c r="H135" s="159"/>
      <c r="I135" s="159"/>
      <c r="J135" s="46"/>
      <c r="K135" s="47"/>
    </row>
    <row r="136" spans="1:11" ht="15">
      <c r="A136" s="45"/>
      <c r="B136" s="46"/>
      <c r="C136" s="46"/>
      <c r="D136" s="46"/>
      <c r="E136" s="46"/>
      <c r="F136" s="46"/>
      <c r="G136" s="46"/>
      <c r="H136" s="46"/>
      <c r="I136" s="46"/>
      <c r="J136" s="46"/>
      <c r="K136" s="47"/>
    </row>
    <row r="137" spans="1:11" ht="15">
      <c r="A137" s="45"/>
      <c r="B137" s="46"/>
      <c r="C137" s="46"/>
      <c r="D137" s="46"/>
      <c r="E137" s="46"/>
      <c r="F137" s="46"/>
      <c r="G137" s="46"/>
      <c r="H137" s="46"/>
      <c r="I137" s="46"/>
      <c r="J137" s="46"/>
      <c r="K137" s="47"/>
    </row>
    <row r="138" spans="1:11" ht="15.75">
      <c r="A138" s="48" t="s">
        <v>59</v>
      </c>
      <c r="B138" s="46"/>
      <c r="C138" s="46"/>
      <c r="D138" s="46"/>
      <c r="E138" s="46"/>
      <c r="F138" s="46"/>
      <c r="G138" s="46"/>
      <c r="H138" s="46"/>
      <c r="I138" s="46"/>
      <c r="J138" s="46"/>
      <c r="K138" s="47"/>
    </row>
    <row r="139" spans="1:11" ht="15">
      <c r="A139" s="45"/>
      <c r="B139" s="46"/>
      <c r="C139" s="46"/>
      <c r="D139" s="46"/>
      <c r="E139" s="46"/>
      <c r="F139" s="46"/>
      <c r="G139" s="46"/>
      <c r="H139" s="46"/>
      <c r="I139" s="46"/>
      <c r="J139" s="46"/>
      <c r="K139" s="47"/>
    </row>
    <row r="140" spans="1:11" ht="15.75">
      <c r="A140" s="48" t="s">
        <v>60</v>
      </c>
      <c r="B140" s="46"/>
      <c r="C140" s="46"/>
      <c r="D140" s="46"/>
      <c r="E140" s="46"/>
      <c r="F140" s="46"/>
      <c r="G140" s="46"/>
      <c r="H140" s="46"/>
      <c r="I140" s="46"/>
      <c r="J140" s="46"/>
      <c r="K140" s="47"/>
    </row>
    <row r="141" spans="1:11" ht="15">
      <c r="A141" s="45"/>
      <c r="B141" s="46"/>
      <c r="C141" s="46"/>
      <c r="D141" s="46"/>
      <c r="E141" s="46"/>
      <c r="F141" s="46"/>
      <c r="G141" s="46"/>
      <c r="H141" s="46"/>
      <c r="I141" s="46"/>
      <c r="J141" s="46"/>
      <c r="K141" s="47"/>
    </row>
    <row r="142" spans="1:11" ht="15.75">
      <c r="A142" s="45" t="s">
        <v>65</v>
      </c>
      <c r="B142" s="46"/>
      <c r="C142" s="46"/>
      <c r="D142" s="46"/>
      <c r="E142" s="46"/>
      <c r="F142" s="46"/>
      <c r="G142" s="46"/>
      <c r="H142" s="46"/>
      <c r="I142" s="46"/>
      <c r="J142" s="46"/>
      <c r="K142" s="47"/>
    </row>
    <row r="143" spans="1:11" ht="15">
      <c r="A143" s="45"/>
      <c r="B143" s="46"/>
      <c r="C143" s="46"/>
      <c r="D143" s="46"/>
      <c r="E143" s="46"/>
      <c r="F143" s="46"/>
      <c r="G143" s="46"/>
      <c r="H143" s="46"/>
      <c r="I143" s="46"/>
      <c r="J143" s="46"/>
      <c r="K143" s="47"/>
    </row>
    <row r="144" spans="1:11" ht="15.75">
      <c r="A144" s="48" t="s">
        <v>61</v>
      </c>
      <c r="B144" s="46"/>
      <c r="C144" s="46"/>
      <c r="D144" s="46"/>
      <c r="E144" s="46"/>
      <c r="F144" s="46"/>
      <c r="G144" s="46"/>
      <c r="H144" s="46"/>
      <c r="I144" s="46"/>
      <c r="J144" s="46"/>
      <c r="K144" s="47"/>
    </row>
    <row r="145" spans="1:11" ht="15">
      <c r="A145" s="45"/>
      <c r="B145" s="46"/>
      <c r="C145" s="46"/>
      <c r="D145" s="46"/>
      <c r="E145" s="46"/>
      <c r="F145" s="46"/>
      <c r="G145" s="46"/>
      <c r="H145" s="46"/>
      <c r="I145" s="46"/>
      <c r="J145" s="46"/>
      <c r="K145" s="47"/>
    </row>
    <row r="146" spans="1:11" ht="15.75">
      <c r="A146" s="45" t="s">
        <v>66</v>
      </c>
      <c r="B146" s="46"/>
      <c r="C146" s="46"/>
      <c r="D146" s="46"/>
      <c r="E146" s="46"/>
      <c r="F146" s="46"/>
      <c r="G146" s="46"/>
      <c r="H146" s="46"/>
      <c r="I146" s="46"/>
      <c r="J146" s="46"/>
      <c r="K146" s="47"/>
    </row>
    <row r="147" spans="1:11" ht="15">
      <c r="A147" s="45"/>
      <c r="B147" s="46"/>
      <c r="C147" s="46"/>
      <c r="D147" s="46"/>
      <c r="E147" s="46"/>
      <c r="F147" s="46"/>
      <c r="G147" s="46"/>
      <c r="H147" s="46"/>
      <c r="I147" s="46"/>
      <c r="J147" s="46"/>
      <c r="K147" s="47"/>
    </row>
    <row r="148" spans="1:11" ht="15.75">
      <c r="A148" s="48" t="s">
        <v>62</v>
      </c>
      <c r="B148" s="46"/>
      <c r="C148" s="46"/>
      <c r="D148" s="46"/>
      <c r="E148" s="46"/>
      <c r="F148" s="46"/>
      <c r="G148" s="46"/>
      <c r="H148" s="46"/>
      <c r="I148" s="46"/>
      <c r="J148" s="46"/>
      <c r="K148" s="47"/>
    </row>
    <row r="149" spans="1:11" ht="15">
      <c r="A149" s="45"/>
      <c r="B149" s="46"/>
      <c r="C149" s="46"/>
      <c r="D149" s="46"/>
      <c r="E149" s="46"/>
      <c r="F149" s="46"/>
      <c r="G149" s="46"/>
      <c r="H149" s="46"/>
      <c r="I149" s="46"/>
      <c r="J149" s="46"/>
      <c r="K149" s="47"/>
    </row>
    <row r="150" spans="1:11" ht="15.75">
      <c r="A150" s="45" t="s">
        <v>67</v>
      </c>
      <c r="B150" s="46"/>
      <c r="C150" s="46"/>
      <c r="D150" s="46"/>
      <c r="E150" s="46"/>
      <c r="F150" s="46"/>
      <c r="G150" s="46"/>
      <c r="H150" s="46"/>
      <c r="I150" s="46"/>
      <c r="J150" s="46"/>
      <c r="K150" s="47"/>
    </row>
    <row r="151" spans="1:11" ht="15">
      <c r="A151" s="45"/>
      <c r="B151" s="46"/>
      <c r="C151" s="46"/>
      <c r="D151" s="46"/>
      <c r="E151" s="46"/>
      <c r="F151" s="46"/>
      <c r="G151" s="46"/>
      <c r="H151" s="46"/>
      <c r="I151" s="46"/>
      <c r="J151" s="46"/>
      <c r="K151" s="47"/>
    </row>
    <row r="152" spans="1:11" ht="15.75">
      <c r="A152" s="48" t="s">
        <v>63</v>
      </c>
      <c r="B152" s="46"/>
      <c r="C152" s="46"/>
      <c r="D152" s="46"/>
      <c r="E152" s="46"/>
      <c r="F152" s="46"/>
      <c r="G152" s="46"/>
      <c r="H152" s="46"/>
      <c r="I152" s="46"/>
      <c r="J152" s="46"/>
      <c r="K152" s="47"/>
    </row>
    <row r="153" spans="1:11" ht="15">
      <c r="A153" s="45"/>
      <c r="B153" s="46"/>
      <c r="C153" s="46"/>
      <c r="D153" s="46"/>
      <c r="E153" s="46"/>
      <c r="F153" s="46"/>
      <c r="G153" s="46"/>
      <c r="H153" s="46"/>
      <c r="I153" s="46"/>
      <c r="J153" s="46"/>
      <c r="K153" s="47"/>
    </row>
    <row r="154" spans="1:11" ht="15.75">
      <c r="A154" s="45" t="s">
        <v>68</v>
      </c>
      <c r="B154" s="46"/>
      <c r="C154" s="46"/>
      <c r="D154" s="46"/>
      <c r="E154" s="46"/>
      <c r="F154" s="46"/>
      <c r="G154" s="46"/>
      <c r="H154" s="46"/>
      <c r="I154" s="46"/>
      <c r="J154" s="46"/>
      <c r="K154" s="47"/>
    </row>
    <row r="155" spans="1:11" ht="15">
      <c r="A155" s="45"/>
      <c r="B155" s="46"/>
      <c r="C155" s="46"/>
      <c r="D155" s="46"/>
      <c r="E155" s="46"/>
      <c r="F155" s="46"/>
      <c r="G155" s="46"/>
      <c r="H155" s="46"/>
      <c r="I155" s="46"/>
      <c r="J155" s="46"/>
      <c r="K155" s="47"/>
    </row>
    <row r="156" spans="1:11" ht="15.75">
      <c r="A156" s="48" t="s">
        <v>64</v>
      </c>
      <c r="B156" s="46"/>
      <c r="C156" s="46"/>
      <c r="D156" s="46"/>
      <c r="E156" s="46"/>
      <c r="F156" s="46"/>
      <c r="G156" s="46"/>
      <c r="H156" s="46"/>
      <c r="I156" s="46"/>
      <c r="J156" s="46"/>
      <c r="K156" s="47"/>
    </row>
    <row r="157" spans="1:11" ht="15">
      <c r="A157" s="45"/>
      <c r="B157" s="46"/>
      <c r="C157" s="46"/>
      <c r="D157" s="46"/>
      <c r="E157" s="46"/>
      <c r="F157" s="46"/>
      <c r="G157" s="46"/>
      <c r="H157" s="46"/>
      <c r="I157" s="46"/>
      <c r="J157" s="46"/>
      <c r="K157" s="47"/>
    </row>
    <row r="158" spans="1:11" ht="15">
      <c r="A158" s="158" t="s">
        <v>69</v>
      </c>
      <c r="B158" s="159"/>
      <c r="C158" s="159"/>
      <c r="D158" s="159"/>
      <c r="E158" s="159"/>
      <c r="F158" s="159"/>
      <c r="G158" s="159"/>
      <c r="H158" s="159"/>
      <c r="I158" s="159"/>
      <c r="J158" s="46"/>
      <c r="K158" s="47"/>
    </row>
    <row r="159" spans="1:11" ht="15">
      <c r="A159" s="158"/>
      <c r="B159" s="159"/>
      <c r="C159" s="159"/>
      <c r="D159" s="159"/>
      <c r="E159" s="159"/>
      <c r="F159" s="159"/>
      <c r="G159" s="159"/>
      <c r="H159" s="159"/>
      <c r="I159" s="159"/>
      <c r="J159" s="46"/>
      <c r="K159" s="47"/>
    </row>
    <row r="160" spans="1:11" ht="15">
      <c r="A160" s="158"/>
      <c r="B160" s="159"/>
      <c r="C160" s="159"/>
      <c r="D160" s="159"/>
      <c r="E160" s="159"/>
      <c r="F160" s="159"/>
      <c r="G160" s="159"/>
      <c r="H160" s="159"/>
      <c r="I160" s="159"/>
      <c r="J160" s="46"/>
      <c r="K160" s="47"/>
    </row>
    <row r="161" spans="1:11" ht="15">
      <c r="A161" s="45"/>
      <c r="B161" s="46"/>
      <c r="C161" s="46"/>
      <c r="D161" s="46"/>
      <c r="E161" s="46"/>
      <c r="F161" s="46"/>
      <c r="G161" s="46"/>
      <c r="H161" s="46"/>
      <c r="I161" s="46"/>
      <c r="J161" s="46"/>
      <c r="K161" s="47"/>
    </row>
    <row r="162" spans="1:11" ht="15">
      <c r="A162" s="45"/>
      <c r="B162" s="46"/>
      <c r="C162" s="46"/>
      <c r="D162" s="46"/>
      <c r="E162" s="46"/>
      <c r="F162" s="46"/>
      <c r="G162" s="46"/>
      <c r="H162" s="46"/>
      <c r="I162" s="46"/>
      <c r="J162" s="46"/>
      <c r="K162" s="47"/>
    </row>
    <row r="163" spans="1:11" ht="15.75">
      <c r="A163" s="48" t="s">
        <v>70</v>
      </c>
      <c r="B163" s="46"/>
      <c r="C163" s="46"/>
      <c r="D163" s="46"/>
      <c r="E163" s="46"/>
      <c r="F163" s="46"/>
      <c r="G163" s="46"/>
      <c r="H163" s="46"/>
      <c r="I163" s="46"/>
      <c r="J163" s="46"/>
      <c r="K163" s="47"/>
    </row>
    <row r="164" spans="1:11" ht="15">
      <c r="A164" s="45"/>
      <c r="B164" s="46"/>
      <c r="C164" s="46"/>
      <c r="D164" s="46"/>
      <c r="E164" s="46"/>
      <c r="F164" s="46"/>
      <c r="G164" s="46"/>
      <c r="H164" s="46"/>
      <c r="I164" s="46"/>
      <c r="J164" s="46"/>
      <c r="K164" s="47"/>
    </row>
    <row r="165" spans="1:11" ht="15.75">
      <c r="A165" s="48" t="s">
        <v>71</v>
      </c>
      <c r="B165" s="46"/>
      <c r="C165" s="46"/>
      <c r="D165" s="46"/>
      <c r="E165" s="46"/>
      <c r="F165" s="46"/>
      <c r="G165" s="46"/>
      <c r="H165" s="46"/>
      <c r="I165" s="46"/>
      <c r="J165" s="46"/>
      <c r="K165" s="47"/>
    </row>
    <row r="166" spans="1:11" ht="15" customHeight="1">
      <c r="A166" s="45"/>
      <c r="B166" s="46"/>
      <c r="C166" s="46"/>
      <c r="D166" s="46"/>
      <c r="E166" s="46"/>
      <c r="F166" s="46"/>
      <c r="G166" s="46"/>
      <c r="H166" s="46"/>
      <c r="I166" s="46"/>
      <c r="J166" s="46"/>
      <c r="K166" s="47"/>
    </row>
    <row r="167" spans="1:11" ht="15">
      <c r="A167" s="158" t="s">
        <v>72</v>
      </c>
      <c r="B167" s="159"/>
      <c r="C167" s="159"/>
      <c r="D167" s="159"/>
      <c r="E167" s="159"/>
      <c r="F167" s="159"/>
      <c r="G167" s="159"/>
      <c r="H167" s="159"/>
      <c r="I167" s="159"/>
      <c r="J167" s="46"/>
      <c r="K167" s="47"/>
    </row>
    <row r="168" spans="1:11" ht="15">
      <c r="A168" s="158"/>
      <c r="B168" s="159"/>
      <c r="C168" s="159"/>
      <c r="D168" s="159"/>
      <c r="E168" s="159"/>
      <c r="F168" s="159"/>
      <c r="G168" s="159"/>
      <c r="H168" s="159"/>
      <c r="I168" s="159"/>
      <c r="J168" s="46"/>
      <c r="K168" s="47"/>
    </row>
    <row r="169" spans="1:11" ht="15">
      <c r="A169" s="158"/>
      <c r="B169" s="159"/>
      <c r="C169" s="159"/>
      <c r="D169" s="159"/>
      <c r="E169" s="159"/>
      <c r="F169" s="159"/>
      <c r="G169" s="159"/>
      <c r="H169" s="159"/>
      <c r="I169" s="159"/>
      <c r="J169" s="46"/>
      <c r="K169" s="47"/>
    </row>
    <row r="170" spans="1:11" ht="15">
      <c r="A170" s="158"/>
      <c r="B170" s="159"/>
      <c r="C170" s="159"/>
      <c r="D170" s="159"/>
      <c r="E170" s="159"/>
      <c r="F170" s="159"/>
      <c r="G170" s="159"/>
      <c r="H170" s="159"/>
      <c r="I170" s="159"/>
      <c r="J170" s="46"/>
      <c r="K170" s="47"/>
    </row>
    <row r="171" spans="1:11" ht="15">
      <c r="A171" s="158"/>
      <c r="B171" s="159"/>
      <c r="C171" s="159"/>
      <c r="D171" s="159"/>
      <c r="E171" s="159"/>
      <c r="F171" s="159"/>
      <c r="G171" s="159"/>
      <c r="H171" s="159"/>
      <c r="I171" s="159"/>
      <c r="J171" s="46"/>
      <c r="K171" s="47"/>
    </row>
    <row r="172" spans="1:11" ht="15">
      <c r="A172" s="158"/>
      <c r="B172" s="159"/>
      <c r="C172" s="159"/>
      <c r="D172" s="159"/>
      <c r="E172" s="159"/>
      <c r="F172" s="159"/>
      <c r="G172" s="159"/>
      <c r="H172" s="159"/>
      <c r="I172" s="159"/>
      <c r="J172" s="46"/>
      <c r="K172" s="47"/>
    </row>
    <row r="173" spans="1:11" ht="15">
      <c r="A173" s="158"/>
      <c r="B173" s="159"/>
      <c r="C173" s="159"/>
      <c r="D173" s="159"/>
      <c r="E173" s="159"/>
      <c r="F173" s="159"/>
      <c r="G173" s="159"/>
      <c r="H173" s="159"/>
      <c r="I173" s="159"/>
      <c r="J173" s="46"/>
      <c r="K173" s="47"/>
    </row>
    <row r="174" spans="1:11" ht="15">
      <c r="A174" s="45"/>
      <c r="B174" s="46"/>
      <c r="C174" s="46"/>
      <c r="D174" s="46"/>
      <c r="E174" s="46"/>
      <c r="F174" s="46"/>
      <c r="G174" s="46"/>
      <c r="H174" s="46"/>
      <c r="I174" s="46"/>
      <c r="J174" s="46"/>
      <c r="K174" s="47"/>
    </row>
    <row r="175" spans="1:11" ht="15">
      <c r="A175" s="158" t="s">
        <v>73</v>
      </c>
      <c r="B175" s="159"/>
      <c r="C175" s="159"/>
      <c r="D175" s="159"/>
      <c r="E175" s="159"/>
      <c r="F175" s="159"/>
      <c r="G175" s="159"/>
      <c r="H175" s="159"/>
      <c r="I175" s="159"/>
      <c r="J175" s="46"/>
      <c r="K175" s="47"/>
    </row>
    <row r="176" spans="1:11" ht="15">
      <c r="A176" s="158"/>
      <c r="B176" s="159"/>
      <c r="C176" s="159"/>
      <c r="D176" s="159"/>
      <c r="E176" s="159"/>
      <c r="F176" s="159"/>
      <c r="G176" s="159"/>
      <c r="H176" s="159"/>
      <c r="I176" s="159"/>
      <c r="J176" s="46"/>
      <c r="K176" s="47"/>
    </row>
    <row r="177" spans="1:11" ht="15">
      <c r="A177" s="158"/>
      <c r="B177" s="159"/>
      <c r="C177" s="159"/>
      <c r="D177" s="159"/>
      <c r="E177" s="159"/>
      <c r="F177" s="159"/>
      <c r="G177" s="159"/>
      <c r="H177" s="159"/>
      <c r="I177" s="159"/>
      <c r="J177" s="46"/>
      <c r="K177" s="47"/>
    </row>
    <row r="178" spans="1:11" ht="15">
      <c r="A178" s="158"/>
      <c r="B178" s="159"/>
      <c r="C178" s="159"/>
      <c r="D178" s="159"/>
      <c r="E178" s="159"/>
      <c r="F178" s="159"/>
      <c r="G178" s="159"/>
      <c r="H178" s="159"/>
      <c r="I178" s="159"/>
      <c r="J178" s="46"/>
      <c r="K178" s="47"/>
    </row>
    <row r="179" spans="1:11" ht="15">
      <c r="A179" s="45"/>
      <c r="B179" s="46"/>
      <c r="C179" s="46"/>
      <c r="D179" s="46"/>
      <c r="E179" s="46"/>
      <c r="F179" s="46"/>
      <c r="G179" s="46"/>
      <c r="H179" s="46"/>
      <c r="I179" s="46"/>
      <c r="J179" s="46"/>
      <c r="K179" s="47"/>
    </row>
    <row r="180" spans="1:11" ht="15">
      <c r="A180" s="158" t="s">
        <v>74</v>
      </c>
      <c r="B180" s="159"/>
      <c r="C180" s="159"/>
      <c r="D180" s="159"/>
      <c r="E180" s="159"/>
      <c r="F180" s="159"/>
      <c r="G180" s="159"/>
      <c r="H180" s="159"/>
      <c r="I180" s="159"/>
      <c r="J180" s="46"/>
      <c r="K180" s="47"/>
    </row>
    <row r="181" spans="1:11" ht="15">
      <c r="A181" s="158"/>
      <c r="B181" s="159"/>
      <c r="C181" s="159"/>
      <c r="D181" s="159"/>
      <c r="E181" s="159"/>
      <c r="F181" s="159"/>
      <c r="G181" s="159"/>
      <c r="H181" s="159"/>
      <c r="I181" s="159"/>
      <c r="J181" s="46"/>
      <c r="K181" s="47"/>
    </row>
    <row r="182" spans="1:11" ht="15">
      <c r="A182" s="45"/>
      <c r="B182" s="46"/>
      <c r="C182" s="46"/>
      <c r="D182" s="46"/>
      <c r="E182" s="46"/>
      <c r="F182" s="46"/>
      <c r="G182" s="46"/>
      <c r="H182" s="46"/>
      <c r="I182" s="46"/>
      <c r="J182" s="46"/>
      <c r="K182" s="47"/>
    </row>
    <row r="183" spans="1:11" ht="15">
      <c r="A183" s="158" t="s">
        <v>75</v>
      </c>
      <c r="B183" s="159"/>
      <c r="C183" s="159"/>
      <c r="D183" s="159"/>
      <c r="E183" s="159"/>
      <c r="F183" s="159"/>
      <c r="G183" s="159"/>
      <c r="H183" s="159"/>
      <c r="I183" s="159"/>
      <c r="J183" s="46"/>
      <c r="K183" s="47"/>
    </row>
    <row r="184" spans="1:11" ht="15">
      <c r="A184" s="158"/>
      <c r="B184" s="159"/>
      <c r="C184" s="159"/>
      <c r="D184" s="159"/>
      <c r="E184" s="159"/>
      <c r="F184" s="159"/>
      <c r="G184" s="159"/>
      <c r="H184" s="159"/>
      <c r="I184" s="159"/>
      <c r="J184" s="46"/>
      <c r="K184" s="47"/>
    </row>
    <row r="185" spans="1:11" ht="15">
      <c r="A185" s="45"/>
      <c r="B185" s="46"/>
      <c r="C185" s="46"/>
      <c r="D185" s="46"/>
      <c r="E185" s="46"/>
      <c r="F185" s="46"/>
      <c r="G185" s="46"/>
      <c r="H185" s="46"/>
      <c r="I185" s="46"/>
      <c r="J185" s="46"/>
      <c r="K185" s="47"/>
    </row>
    <row r="186" spans="1:11" ht="15">
      <c r="A186" s="158" t="s">
        <v>76</v>
      </c>
      <c r="B186" s="159"/>
      <c r="C186" s="159"/>
      <c r="D186" s="159"/>
      <c r="E186" s="159"/>
      <c r="F186" s="159"/>
      <c r="G186" s="159"/>
      <c r="H186" s="159"/>
      <c r="I186" s="159"/>
      <c r="J186" s="46"/>
      <c r="K186" s="47"/>
    </row>
    <row r="187" spans="1:11" ht="15">
      <c r="A187" s="158"/>
      <c r="B187" s="159"/>
      <c r="C187" s="159"/>
      <c r="D187" s="159"/>
      <c r="E187" s="159"/>
      <c r="F187" s="159"/>
      <c r="G187" s="159"/>
      <c r="H187" s="159"/>
      <c r="I187" s="159"/>
      <c r="J187" s="46"/>
      <c r="K187" s="47"/>
    </row>
    <row r="188" spans="1:11" ht="15">
      <c r="A188" s="158"/>
      <c r="B188" s="159"/>
      <c r="C188" s="159"/>
      <c r="D188" s="159"/>
      <c r="E188" s="159"/>
      <c r="F188" s="159"/>
      <c r="G188" s="159"/>
      <c r="H188" s="159"/>
      <c r="I188" s="159"/>
      <c r="J188" s="46"/>
      <c r="K188" s="47"/>
    </row>
    <row r="189" spans="1:11" ht="15">
      <c r="A189" s="45"/>
      <c r="B189" s="46"/>
      <c r="C189" s="46"/>
      <c r="D189" s="46"/>
      <c r="E189" s="46"/>
      <c r="F189" s="46"/>
      <c r="G189" s="46"/>
      <c r="H189" s="46"/>
      <c r="I189" s="46"/>
      <c r="J189" s="46"/>
      <c r="K189" s="47"/>
    </row>
    <row r="190" spans="1:11" ht="15.75">
      <c r="A190" s="48" t="s">
        <v>77</v>
      </c>
      <c r="B190" s="46"/>
      <c r="C190" s="46"/>
      <c r="D190" s="46"/>
      <c r="E190" s="46"/>
      <c r="F190" s="46"/>
      <c r="G190" s="46"/>
      <c r="H190" s="46"/>
      <c r="I190" s="46"/>
      <c r="J190" s="46"/>
      <c r="K190" s="47"/>
    </row>
    <row r="191" spans="1:11" ht="15">
      <c r="A191" s="45"/>
      <c r="B191" s="46"/>
      <c r="C191" s="46"/>
      <c r="D191" s="46"/>
      <c r="E191" s="46"/>
      <c r="F191" s="46"/>
      <c r="G191" s="46"/>
      <c r="H191" s="46"/>
      <c r="I191" s="46"/>
      <c r="J191" s="46"/>
      <c r="K191" s="47"/>
    </row>
    <row r="192" spans="1:11" ht="15">
      <c r="A192" s="158" t="s">
        <v>78</v>
      </c>
      <c r="B192" s="159"/>
      <c r="C192" s="159"/>
      <c r="D192" s="159"/>
      <c r="E192" s="159"/>
      <c r="F192" s="159"/>
      <c r="G192" s="159"/>
      <c r="H192" s="159"/>
      <c r="I192" s="159"/>
      <c r="J192" s="46"/>
      <c r="K192" s="47"/>
    </row>
    <row r="193" spans="1:11" ht="15">
      <c r="A193" s="158"/>
      <c r="B193" s="159"/>
      <c r="C193" s="159"/>
      <c r="D193" s="159"/>
      <c r="E193" s="159"/>
      <c r="F193" s="159"/>
      <c r="G193" s="159"/>
      <c r="H193" s="159"/>
      <c r="I193" s="159"/>
      <c r="J193" s="46"/>
      <c r="K193" s="47"/>
    </row>
    <row r="194" spans="1:11" ht="15">
      <c r="A194" s="158"/>
      <c r="B194" s="159"/>
      <c r="C194" s="159"/>
      <c r="D194" s="159"/>
      <c r="E194" s="159"/>
      <c r="F194" s="159"/>
      <c r="G194" s="159"/>
      <c r="H194" s="159"/>
      <c r="I194" s="159"/>
      <c r="J194" s="46"/>
      <c r="K194" s="47"/>
    </row>
    <row r="195" spans="1:11" ht="15">
      <c r="A195" s="45"/>
      <c r="B195" s="46"/>
      <c r="C195" s="46"/>
      <c r="D195" s="46"/>
      <c r="E195" s="46"/>
      <c r="F195" s="46"/>
      <c r="G195" s="46"/>
      <c r="H195" s="46"/>
      <c r="I195" s="46"/>
      <c r="J195" s="46"/>
      <c r="K195" s="47"/>
    </row>
    <row r="196" spans="1:11" ht="15">
      <c r="A196" s="158" t="s">
        <v>734</v>
      </c>
      <c r="B196" s="159"/>
      <c r="C196" s="159"/>
      <c r="D196" s="159"/>
      <c r="E196" s="159"/>
      <c r="F196" s="159"/>
      <c r="G196" s="159"/>
      <c r="H196" s="159"/>
      <c r="I196" s="159"/>
      <c r="J196" s="46"/>
      <c r="K196" s="47"/>
    </row>
    <row r="197" spans="1:11" ht="15">
      <c r="A197" s="158"/>
      <c r="B197" s="159"/>
      <c r="C197" s="159"/>
      <c r="D197" s="159"/>
      <c r="E197" s="159"/>
      <c r="F197" s="159"/>
      <c r="G197" s="159"/>
      <c r="H197" s="159"/>
      <c r="I197" s="159"/>
      <c r="J197" s="46"/>
      <c r="K197" s="47"/>
    </row>
    <row r="198" spans="1:11" ht="15">
      <c r="A198" s="158"/>
      <c r="B198" s="159"/>
      <c r="C198" s="159"/>
      <c r="D198" s="159"/>
      <c r="E198" s="159"/>
      <c r="F198" s="159"/>
      <c r="G198" s="159"/>
      <c r="H198" s="159"/>
      <c r="I198" s="159"/>
      <c r="J198" s="46"/>
      <c r="K198" s="47"/>
    </row>
    <row r="199" spans="1:11" ht="15">
      <c r="A199" s="158"/>
      <c r="B199" s="159"/>
      <c r="C199" s="159"/>
      <c r="D199" s="159"/>
      <c r="E199" s="159"/>
      <c r="F199" s="159"/>
      <c r="G199" s="159"/>
      <c r="H199" s="159"/>
      <c r="I199" s="159"/>
      <c r="J199" s="46"/>
      <c r="K199" s="47"/>
    </row>
    <row r="200" spans="1:11" ht="15">
      <c r="A200" s="45"/>
      <c r="B200" s="46"/>
      <c r="C200" s="46"/>
      <c r="D200" s="46"/>
      <c r="E200" s="46"/>
      <c r="F200" s="46"/>
      <c r="G200" s="46"/>
      <c r="H200" s="46"/>
      <c r="I200" s="46"/>
      <c r="J200" s="46"/>
      <c r="K200" s="47"/>
    </row>
    <row r="201" spans="1:11" ht="15">
      <c r="A201" s="158" t="s">
        <v>79</v>
      </c>
      <c r="B201" s="159"/>
      <c r="C201" s="159"/>
      <c r="D201" s="159"/>
      <c r="E201" s="159"/>
      <c r="F201" s="159"/>
      <c r="G201" s="159"/>
      <c r="H201" s="159"/>
      <c r="I201" s="159"/>
      <c r="J201" s="46"/>
      <c r="K201" s="47"/>
    </row>
    <row r="202" spans="1:11" ht="15">
      <c r="A202" s="158"/>
      <c r="B202" s="159"/>
      <c r="C202" s="159"/>
      <c r="D202" s="159"/>
      <c r="E202" s="159"/>
      <c r="F202" s="159"/>
      <c r="G202" s="159"/>
      <c r="H202" s="159"/>
      <c r="I202" s="159"/>
      <c r="J202" s="46"/>
      <c r="K202" s="47"/>
    </row>
    <row r="203" spans="1:11" ht="15">
      <c r="A203" s="158"/>
      <c r="B203" s="159"/>
      <c r="C203" s="159"/>
      <c r="D203" s="159"/>
      <c r="E203" s="159"/>
      <c r="F203" s="159"/>
      <c r="G203" s="159"/>
      <c r="H203" s="159"/>
      <c r="I203" s="159"/>
      <c r="J203" s="46"/>
      <c r="K203" s="47"/>
    </row>
    <row r="204" spans="1:11" ht="15">
      <c r="A204" s="45"/>
      <c r="B204" s="46"/>
      <c r="C204" s="46"/>
      <c r="D204" s="46"/>
      <c r="E204" s="46"/>
      <c r="F204" s="46"/>
      <c r="G204" s="46"/>
      <c r="H204" s="46"/>
      <c r="I204" s="46"/>
      <c r="J204" s="46"/>
      <c r="K204" s="47"/>
    </row>
    <row r="205" spans="1:11" ht="15">
      <c r="A205" s="158" t="s">
        <v>735</v>
      </c>
      <c r="B205" s="159"/>
      <c r="C205" s="159"/>
      <c r="D205" s="159"/>
      <c r="E205" s="159"/>
      <c r="F205" s="159"/>
      <c r="G205" s="159"/>
      <c r="H205" s="159"/>
      <c r="I205" s="159"/>
      <c r="J205" s="46"/>
      <c r="K205" s="47"/>
    </row>
    <row r="206" spans="1:11" ht="15">
      <c r="A206" s="158"/>
      <c r="B206" s="159"/>
      <c r="C206" s="159"/>
      <c r="D206" s="159"/>
      <c r="E206" s="159"/>
      <c r="F206" s="159"/>
      <c r="G206" s="159"/>
      <c r="H206" s="159"/>
      <c r="I206" s="159"/>
      <c r="J206" s="46"/>
      <c r="K206" s="47"/>
    </row>
    <row r="207" spans="1:11" ht="15">
      <c r="A207" s="45"/>
      <c r="B207" s="46"/>
      <c r="C207" s="46"/>
      <c r="D207" s="46"/>
      <c r="E207" s="46"/>
      <c r="F207" s="46"/>
      <c r="G207" s="46"/>
      <c r="H207" s="46"/>
      <c r="I207" s="46"/>
      <c r="J207" s="46"/>
      <c r="K207" s="47"/>
    </row>
    <row r="208" spans="1:11" ht="15.75">
      <c r="A208" s="48" t="s">
        <v>80</v>
      </c>
      <c r="B208" s="46"/>
      <c r="C208" s="46"/>
      <c r="D208" s="46"/>
      <c r="E208" s="46"/>
      <c r="F208" s="46"/>
      <c r="G208" s="46"/>
      <c r="H208" s="46"/>
      <c r="I208" s="46"/>
      <c r="J208" s="46"/>
      <c r="K208" s="47"/>
    </row>
    <row r="209" spans="1:11" ht="15">
      <c r="A209" s="45"/>
      <c r="B209" s="46"/>
      <c r="C209" s="46"/>
      <c r="D209" s="46"/>
      <c r="E209" s="46"/>
      <c r="F209" s="46"/>
      <c r="G209" s="46"/>
      <c r="H209" s="46"/>
      <c r="I209" s="46"/>
      <c r="J209" s="46"/>
      <c r="K209" s="47"/>
    </row>
    <row r="210" spans="1:11" ht="15">
      <c r="A210" s="158" t="s">
        <v>81</v>
      </c>
      <c r="B210" s="159"/>
      <c r="C210" s="159"/>
      <c r="D210" s="159"/>
      <c r="E210" s="159"/>
      <c r="F210" s="159"/>
      <c r="G210" s="159"/>
      <c r="H210" s="159"/>
      <c r="I210" s="159"/>
      <c r="J210" s="46"/>
      <c r="K210" s="47"/>
    </row>
    <row r="211" spans="1:11" ht="15">
      <c r="A211" s="158"/>
      <c r="B211" s="159"/>
      <c r="C211" s="159"/>
      <c r="D211" s="159"/>
      <c r="E211" s="159"/>
      <c r="F211" s="159"/>
      <c r="G211" s="159"/>
      <c r="H211" s="159"/>
      <c r="I211" s="159"/>
      <c r="J211" s="46"/>
      <c r="K211" s="47"/>
    </row>
    <row r="212" spans="1:11" ht="15">
      <c r="A212" s="158"/>
      <c r="B212" s="159"/>
      <c r="C212" s="159"/>
      <c r="D212" s="159"/>
      <c r="E212" s="159"/>
      <c r="F212" s="159"/>
      <c r="G212" s="159"/>
      <c r="H212" s="159"/>
      <c r="I212" s="159"/>
      <c r="J212" s="46"/>
      <c r="K212" s="47"/>
    </row>
    <row r="213" spans="1:11" ht="15">
      <c r="A213" s="158"/>
      <c r="B213" s="159"/>
      <c r="C213" s="159"/>
      <c r="D213" s="159"/>
      <c r="E213" s="159"/>
      <c r="F213" s="159"/>
      <c r="G213" s="159"/>
      <c r="H213" s="159"/>
      <c r="I213" s="159"/>
      <c r="J213" s="46"/>
      <c r="K213" s="47"/>
    </row>
    <row r="214" spans="1:11" ht="15.75" thickBot="1">
      <c r="A214" s="53"/>
      <c r="B214" s="54"/>
      <c r="C214" s="54"/>
      <c r="D214" s="54"/>
      <c r="E214" s="54"/>
      <c r="F214" s="54"/>
      <c r="G214" s="54"/>
      <c r="H214" s="54"/>
      <c r="I214" s="54"/>
      <c r="J214" s="54"/>
      <c r="K214" s="55"/>
    </row>
  </sheetData>
  <sheetProtection/>
  <mergeCells count="37">
    <mergeCell ref="A9:K9"/>
    <mergeCell ref="A12:K12"/>
    <mergeCell ref="A13:K13"/>
    <mergeCell ref="A14:K14"/>
    <mergeCell ref="A15:K15"/>
    <mergeCell ref="A5:K6"/>
    <mergeCell ref="A16:K16"/>
    <mergeCell ref="A21:I22"/>
    <mergeCell ref="A24:I25"/>
    <mergeCell ref="A27:I30"/>
    <mergeCell ref="A32:I33"/>
    <mergeCell ref="A48:I49"/>
    <mergeCell ref="A45:I46"/>
    <mergeCell ref="A53:I58"/>
    <mergeCell ref="E65:J65"/>
    <mergeCell ref="B68:I70"/>
    <mergeCell ref="B71:I72"/>
    <mergeCell ref="A76:I78"/>
    <mergeCell ref="A82:I84"/>
    <mergeCell ref="A88:I93"/>
    <mergeCell ref="A97:I99"/>
    <mergeCell ref="A103:I104"/>
    <mergeCell ref="A108:I114"/>
    <mergeCell ref="A167:I173"/>
    <mergeCell ref="A175:I178"/>
    <mergeCell ref="A180:I181"/>
    <mergeCell ref="A183:I184"/>
    <mergeCell ref="A118:I120"/>
    <mergeCell ref="A124:I128"/>
    <mergeCell ref="A132:I135"/>
    <mergeCell ref="A158:I160"/>
    <mergeCell ref="A205:I206"/>
    <mergeCell ref="A210:I213"/>
    <mergeCell ref="A186:I188"/>
    <mergeCell ref="A192:I194"/>
    <mergeCell ref="A196:I199"/>
    <mergeCell ref="A201:I203"/>
  </mergeCells>
  <hyperlinks>
    <hyperlink ref="E65:J65" r:id="rId1" display="www.bankofengland.co.uk/pra/Pages/authorisations/banksbuildingsocietieslist.aspx"/>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Y302"/>
  <sheetViews>
    <sheetView tabSelected="1" zoomScalePageLayoutView="0" workbookViewId="0" topLeftCell="A1">
      <selection activeCell="K8" sqref="K8:O8"/>
    </sheetView>
  </sheetViews>
  <sheetFormatPr defaultColWidth="8.88671875" defaultRowHeight="15"/>
  <cols>
    <col min="1" max="1" width="12.6640625" style="1" customWidth="1"/>
    <col min="2" max="2" width="13.77734375" style="1" customWidth="1"/>
    <col min="3" max="3" width="8.21484375" style="1" customWidth="1"/>
    <col min="4" max="4" width="2.3359375" style="1" bestFit="1" customWidth="1"/>
    <col min="5" max="5" width="9.88671875" style="1" bestFit="1" customWidth="1"/>
    <col min="6" max="6" width="8.88671875" style="1" customWidth="1"/>
    <col min="7" max="7" width="13.3359375" style="1" customWidth="1"/>
    <col min="8" max="9" width="8.88671875" style="1" customWidth="1"/>
    <col min="10" max="10" width="2.99609375" style="1" bestFit="1" customWidth="1"/>
    <col min="11" max="11" width="10.77734375" style="1" customWidth="1"/>
    <col min="12" max="13" width="8.88671875" style="1" customWidth="1"/>
    <col min="14" max="14" width="2.88671875" style="1" bestFit="1" customWidth="1"/>
    <col min="15" max="15" width="10.77734375" style="1" customWidth="1"/>
    <col min="16" max="16384" width="8.88671875" style="1" customWidth="1"/>
  </cols>
  <sheetData>
    <row r="1" spans="1:16" ht="15">
      <c r="A1" s="59"/>
      <c r="B1" s="43"/>
      <c r="C1" s="43"/>
      <c r="D1" s="43"/>
      <c r="E1" s="43"/>
      <c r="F1" s="43"/>
      <c r="G1" s="43"/>
      <c r="H1" s="43"/>
      <c r="I1" s="43"/>
      <c r="J1" s="108">
        <v>1</v>
      </c>
      <c r="K1" s="43"/>
      <c r="L1" s="43"/>
      <c r="M1" s="43"/>
      <c r="N1" s="43"/>
      <c r="O1" s="43"/>
      <c r="P1" s="44"/>
    </row>
    <row r="2" spans="1:16" ht="15.75">
      <c r="A2" s="45"/>
      <c r="B2" s="46"/>
      <c r="C2" s="46"/>
      <c r="D2" s="46"/>
      <c r="E2" s="46"/>
      <c r="F2" s="46"/>
      <c r="G2" s="46"/>
      <c r="H2" s="46"/>
      <c r="I2" s="46"/>
      <c r="J2" s="46"/>
      <c r="K2" s="46"/>
      <c r="L2" s="46"/>
      <c r="M2" s="46"/>
      <c r="N2" s="46"/>
      <c r="O2" s="60" t="str">
        <f>L140</f>
        <v>JULY 2016</v>
      </c>
      <c r="P2" s="47"/>
    </row>
    <row r="3" spans="1:16" ht="6" customHeight="1">
      <c r="A3" s="45"/>
      <c r="B3" s="46"/>
      <c r="C3" s="46"/>
      <c r="D3" s="46"/>
      <c r="E3" s="46"/>
      <c r="F3" s="46"/>
      <c r="G3" s="46"/>
      <c r="H3" s="46"/>
      <c r="I3" s="46"/>
      <c r="J3" s="46"/>
      <c r="K3" s="46"/>
      <c r="L3" s="46"/>
      <c r="M3" s="46"/>
      <c r="N3" s="46"/>
      <c r="O3" s="46"/>
      <c r="P3" s="47"/>
    </row>
    <row r="4" spans="1:16" ht="18">
      <c r="A4" s="45"/>
      <c r="B4" s="46"/>
      <c r="C4" s="46"/>
      <c r="D4" s="46"/>
      <c r="E4" s="46"/>
      <c r="F4" s="46"/>
      <c r="G4" s="105" t="s">
        <v>113</v>
      </c>
      <c r="H4" s="46"/>
      <c r="I4" s="46"/>
      <c r="J4" s="46"/>
      <c r="K4" s="46"/>
      <c r="L4" s="46"/>
      <c r="M4" s="46"/>
      <c r="N4" s="46"/>
      <c r="O4" s="46"/>
      <c r="P4" s="47"/>
    </row>
    <row r="5" spans="1:16" ht="18">
      <c r="A5" s="45"/>
      <c r="B5" s="46"/>
      <c r="C5" s="46"/>
      <c r="D5" s="46"/>
      <c r="E5" s="46"/>
      <c r="F5" s="46"/>
      <c r="G5" s="105" t="e">
        <f>LA_info!D2</f>
        <v>#N/A</v>
      </c>
      <c r="H5" s="46"/>
      <c r="I5" s="46"/>
      <c r="J5" s="46"/>
      <c r="K5" s="46"/>
      <c r="L5" s="46"/>
      <c r="M5" s="46"/>
      <c r="N5" s="46"/>
      <c r="O5" s="46"/>
      <c r="P5" s="47"/>
    </row>
    <row r="6" spans="1:16" ht="15">
      <c r="A6" s="45"/>
      <c r="B6" s="46"/>
      <c r="C6" s="46"/>
      <c r="D6" s="46"/>
      <c r="E6" s="46"/>
      <c r="F6" s="46"/>
      <c r="G6" s="46"/>
      <c r="H6" s="46"/>
      <c r="I6" s="46"/>
      <c r="J6" s="46"/>
      <c r="K6" s="46"/>
      <c r="L6" s="46"/>
      <c r="M6" s="46"/>
      <c r="N6" s="46"/>
      <c r="O6" s="46"/>
      <c r="P6" s="47"/>
    </row>
    <row r="7" spans="1:16" ht="15.75">
      <c r="A7" s="61"/>
      <c r="B7" s="46"/>
      <c r="C7" s="46"/>
      <c r="D7" s="46"/>
      <c r="E7" s="46"/>
      <c r="F7" s="46"/>
      <c r="G7" s="46"/>
      <c r="H7" s="46"/>
      <c r="I7" s="46"/>
      <c r="J7" s="46"/>
      <c r="K7" s="62" t="s">
        <v>115</v>
      </c>
      <c r="L7" s="46"/>
      <c r="M7" s="46"/>
      <c r="N7" s="46"/>
      <c r="O7" s="46"/>
      <c r="P7" s="47"/>
    </row>
    <row r="8" spans="1:16" ht="15">
      <c r="A8" s="179"/>
      <c r="B8" s="180"/>
      <c r="C8" s="180"/>
      <c r="D8" s="180"/>
      <c r="E8" s="180"/>
      <c r="F8" s="180"/>
      <c r="G8" s="180"/>
      <c r="H8" s="63"/>
      <c r="I8" s="63"/>
      <c r="J8" s="46"/>
      <c r="K8" s="185" t="s">
        <v>753</v>
      </c>
      <c r="L8" s="185"/>
      <c r="M8" s="186"/>
      <c r="N8" s="186"/>
      <c r="O8" s="186"/>
      <c r="P8" s="47"/>
    </row>
    <row r="9" spans="1:25" ht="15">
      <c r="A9" s="45"/>
      <c r="B9" s="46"/>
      <c r="C9" s="46"/>
      <c r="D9" s="46"/>
      <c r="E9" s="46"/>
      <c r="F9" s="46"/>
      <c r="G9" s="46"/>
      <c r="H9" s="46"/>
      <c r="I9" s="46"/>
      <c r="J9" s="46"/>
      <c r="K9" s="46"/>
      <c r="L9" s="46"/>
      <c r="M9" s="46"/>
      <c r="N9" s="46"/>
      <c r="O9" s="46"/>
      <c r="P9" s="47"/>
      <c r="Y9" s="1">
        <f>IF(ISERROR(T38),"",IF(#REF!&gt;0,MAX(Y3:Y7),""))</f>
      </c>
    </row>
    <row r="10" spans="1:16" ht="15">
      <c r="A10" s="56" t="s">
        <v>274</v>
      </c>
      <c r="B10" s="46"/>
      <c r="C10" s="46"/>
      <c r="D10" s="46"/>
      <c r="E10" s="46"/>
      <c r="F10" s="46"/>
      <c r="G10" s="46"/>
      <c r="H10" s="46"/>
      <c r="I10" s="46"/>
      <c r="J10" s="46"/>
      <c r="K10" s="46"/>
      <c r="L10" s="46"/>
      <c r="M10" s="46"/>
      <c r="N10" s="57" t="s">
        <v>275</v>
      </c>
      <c r="O10" s="58" t="str">
        <f>O140</f>
        <v>Friday 5 August 2016</v>
      </c>
      <c r="P10" s="47"/>
    </row>
    <row r="11" spans="1:16" ht="15">
      <c r="A11" s="45"/>
      <c r="B11" s="46"/>
      <c r="C11" s="46"/>
      <c r="D11" s="46"/>
      <c r="E11" s="46"/>
      <c r="F11" s="46"/>
      <c r="G11" s="46"/>
      <c r="H11" s="46"/>
      <c r="I11" s="46"/>
      <c r="J11" s="46"/>
      <c r="K11" s="46"/>
      <c r="L11" s="46"/>
      <c r="M11" s="46"/>
      <c r="N11" s="46"/>
      <c r="O11" s="46"/>
      <c r="P11" s="47"/>
    </row>
    <row r="12" spans="1:16" ht="15">
      <c r="A12" s="50" t="s">
        <v>276</v>
      </c>
      <c r="B12" s="46"/>
      <c r="C12" s="46"/>
      <c r="D12" s="46"/>
      <c r="E12" s="46"/>
      <c r="F12" s="46"/>
      <c r="G12" s="46"/>
      <c r="H12" s="46"/>
      <c r="I12" s="46"/>
      <c r="J12" s="46"/>
      <c r="K12" s="46"/>
      <c r="L12" s="46"/>
      <c r="M12" s="46"/>
      <c r="N12" s="46"/>
      <c r="O12" s="46"/>
      <c r="P12" s="47"/>
    </row>
    <row r="13" spans="1:16" ht="15">
      <c r="A13" s="45"/>
      <c r="B13" s="46"/>
      <c r="C13" s="46"/>
      <c r="D13" s="46"/>
      <c r="E13" s="46"/>
      <c r="F13" s="46"/>
      <c r="G13" s="46"/>
      <c r="H13" s="46"/>
      <c r="I13" s="46"/>
      <c r="J13" s="46"/>
      <c r="K13" s="46"/>
      <c r="L13" s="46"/>
      <c r="M13" s="46"/>
      <c r="N13" s="46"/>
      <c r="O13" s="46"/>
      <c r="P13" s="47"/>
    </row>
    <row r="14" spans="1:16" ht="15">
      <c r="A14" s="64" t="s">
        <v>277</v>
      </c>
      <c r="B14" s="65"/>
      <c r="C14" s="65"/>
      <c r="D14" s="65"/>
      <c r="E14" s="65"/>
      <c r="F14" s="65"/>
      <c r="G14" s="181"/>
      <c r="H14" s="181"/>
      <c r="I14" s="181"/>
      <c r="J14" s="181"/>
      <c r="K14" s="181"/>
      <c r="L14" s="181"/>
      <c r="M14" s="181"/>
      <c r="N14" s="181"/>
      <c r="O14" s="181"/>
      <c r="P14" s="66"/>
    </row>
    <row r="15" spans="1:16" ht="15">
      <c r="A15" s="64" t="s">
        <v>278</v>
      </c>
      <c r="B15" s="65"/>
      <c r="C15" s="65"/>
      <c r="D15" s="65"/>
      <c r="E15" s="65"/>
      <c r="F15" s="65"/>
      <c r="G15" s="182"/>
      <c r="H15" s="183"/>
      <c r="I15" s="183"/>
      <c r="J15" s="183"/>
      <c r="K15" s="183"/>
      <c r="L15" s="183"/>
      <c r="M15" s="183"/>
      <c r="N15" s="183"/>
      <c r="O15" s="184"/>
      <c r="P15" s="66"/>
    </row>
    <row r="16" spans="1:16" ht="15">
      <c r="A16" s="64" t="s">
        <v>279</v>
      </c>
      <c r="B16" s="65"/>
      <c r="C16" s="65"/>
      <c r="D16" s="65"/>
      <c r="E16" s="65"/>
      <c r="F16" s="65"/>
      <c r="G16" s="181"/>
      <c r="H16" s="181"/>
      <c r="I16" s="181"/>
      <c r="J16" s="181"/>
      <c r="K16" s="181"/>
      <c r="L16" s="181"/>
      <c r="M16" s="181"/>
      <c r="N16" s="181"/>
      <c r="O16" s="181"/>
      <c r="P16" s="66"/>
    </row>
    <row r="17" spans="1:19" ht="15">
      <c r="A17" s="45"/>
      <c r="B17" s="46"/>
      <c r="C17" s="46"/>
      <c r="D17" s="46"/>
      <c r="E17" s="46"/>
      <c r="F17" s="46"/>
      <c r="G17" s="46"/>
      <c r="H17" s="46"/>
      <c r="I17" s="46"/>
      <c r="J17" s="46"/>
      <c r="K17" s="46"/>
      <c r="L17" s="46"/>
      <c r="M17" s="46"/>
      <c r="N17" s="46"/>
      <c r="O17" s="46"/>
      <c r="P17" s="47"/>
      <c r="S17" s="109"/>
    </row>
    <row r="18" spans="1:16" ht="15">
      <c r="A18" s="56" t="s">
        <v>717</v>
      </c>
      <c r="B18" s="46"/>
      <c r="C18" s="46"/>
      <c r="D18" s="46"/>
      <c r="E18" s="46"/>
      <c r="F18" s="46"/>
      <c r="G18" s="46"/>
      <c r="H18" s="46"/>
      <c r="I18" s="46"/>
      <c r="J18" s="46"/>
      <c r="K18" s="46"/>
      <c r="L18" s="46"/>
      <c r="M18" s="46"/>
      <c r="N18" s="46"/>
      <c r="O18" s="46"/>
      <c r="P18" s="47"/>
    </row>
    <row r="19" spans="1:16" ht="15.75" thickBot="1">
      <c r="A19" s="67" t="s">
        <v>280</v>
      </c>
      <c r="B19" s="54"/>
      <c r="C19" s="54"/>
      <c r="D19" s="54"/>
      <c r="E19" s="54"/>
      <c r="F19" s="54"/>
      <c r="G19" s="54"/>
      <c r="H19" s="54"/>
      <c r="I19" s="54"/>
      <c r="J19" s="54"/>
      <c r="K19" s="54"/>
      <c r="L19" s="54"/>
      <c r="M19" s="54"/>
      <c r="N19" s="54"/>
      <c r="O19" s="54"/>
      <c r="P19" s="55"/>
    </row>
    <row r="20" spans="1:16" ht="15">
      <c r="A20" s="71"/>
      <c r="B20" s="72"/>
      <c r="C20" s="72"/>
      <c r="D20" s="72"/>
      <c r="E20" s="72"/>
      <c r="F20" s="72"/>
      <c r="G20" s="72"/>
      <c r="H20" s="72"/>
      <c r="I20" s="72"/>
      <c r="J20" s="72"/>
      <c r="K20" s="72"/>
      <c r="L20" s="72"/>
      <c r="M20" s="72"/>
      <c r="N20" s="72"/>
      <c r="O20" s="72"/>
      <c r="P20" s="73"/>
    </row>
    <row r="21" spans="1:16" ht="15.75">
      <c r="A21" s="74" t="str">
        <f>CONCATENATE("BORROWING - AMOUNTS OUTSTANDING AT THE END OF ",LA_info!J2)</f>
        <v>BORROWING - AMOUNTS OUTSTANDING AT THE END OF JULY 2016</v>
      </c>
      <c r="B21" s="72"/>
      <c r="C21" s="72"/>
      <c r="D21" s="72"/>
      <c r="E21" s="72"/>
      <c r="F21" s="72"/>
      <c r="G21" s="72"/>
      <c r="H21" s="72"/>
      <c r="I21" s="72"/>
      <c r="J21" s="72"/>
      <c r="K21" s="72"/>
      <c r="L21" s="72"/>
      <c r="M21" s="72"/>
      <c r="N21" s="72"/>
      <c r="O21" s="72"/>
      <c r="P21" s="73"/>
    </row>
    <row r="22" spans="1:16" ht="15.75">
      <c r="A22" s="123"/>
      <c r="B22" s="72"/>
      <c r="C22" s="72"/>
      <c r="D22" s="72"/>
      <c r="E22" s="72"/>
      <c r="F22" s="72"/>
      <c r="G22" s="72"/>
      <c r="H22" s="72"/>
      <c r="I22" s="72"/>
      <c r="J22" s="72"/>
      <c r="K22" s="72"/>
      <c r="L22" s="72"/>
      <c r="M22" s="72"/>
      <c r="N22" s="72"/>
      <c r="O22" s="72"/>
      <c r="P22" s="73"/>
    </row>
    <row r="23" spans="1:16" ht="15">
      <c r="A23" s="71"/>
      <c r="B23" s="75">
        <f>IF(MIN(E25:E30)&gt;=0,"","ALL FIGURES SHOULD BE POSITIVE WHOLE NUMBERS")</f>
      </c>
      <c r="C23" s="75"/>
      <c r="D23" s="72"/>
      <c r="E23" s="126" t="s">
        <v>719</v>
      </c>
      <c r="F23" s="72"/>
      <c r="G23" s="72"/>
      <c r="H23" s="72"/>
      <c r="I23" s="72"/>
      <c r="J23" s="72"/>
      <c r="K23" s="72"/>
      <c r="L23" s="72"/>
      <c r="M23" s="72"/>
      <c r="N23" s="72"/>
      <c r="O23" s="72"/>
      <c r="P23" s="73"/>
    </row>
    <row r="24" spans="1:16" ht="15">
      <c r="A24" s="76" t="s">
        <v>313</v>
      </c>
      <c r="B24" s="72"/>
      <c r="C24" s="72"/>
      <c r="D24" s="72"/>
      <c r="E24" s="72"/>
      <c r="F24" s="72"/>
      <c r="G24" s="72"/>
      <c r="H24" s="72"/>
      <c r="I24" s="72"/>
      <c r="J24" s="72"/>
      <c r="K24" s="72"/>
      <c r="L24" s="72"/>
      <c r="M24" s="72"/>
      <c r="N24" s="72"/>
      <c r="O24" s="72"/>
      <c r="P24" s="73"/>
    </row>
    <row r="25" spans="1:16" ht="15">
      <c r="A25" s="77" t="s">
        <v>314</v>
      </c>
      <c r="B25" s="72"/>
      <c r="C25" s="106" t="e">
        <f>VLOOKUP(LA_info!$E$2,'Underlying Data'!$A$3:$AX$163,4,FALSE)</f>
        <v>#N/A</v>
      </c>
      <c r="D25" s="12" t="s">
        <v>317</v>
      </c>
      <c r="E25" s="13"/>
      <c r="F25" s="72"/>
      <c r="G25" s="72"/>
      <c r="H25" s="72"/>
      <c r="I25" s="72"/>
      <c r="J25" s="72"/>
      <c r="K25" s="72"/>
      <c r="L25" s="72"/>
      <c r="M25" s="72"/>
      <c r="N25" s="72"/>
      <c r="O25" s="72"/>
      <c r="P25" s="73"/>
    </row>
    <row r="26" spans="1:16" ht="15">
      <c r="A26" s="77" t="s">
        <v>61</v>
      </c>
      <c r="B26" s="72"/>
      <c r="C26" s="106" t="e">
        <f>VLOOKUP(LA_info!$E$2,'Underlying Data'!$A$3:$AX$163,5,FALSE)</f>
        <v>#N/A</v>
      </c>
      <c r="D26" s="12" t="s">
        <v>318</v>
      </c>
      <c r="E26" s="13"/>
      <c r="F26" s="72"/>
      <c r="G26" s="72"/>
      <c r="H26" s="72"/>
      <c r="I26" s="72"/>
      <c r="J26" s="72"/>
      <c r="K26" s="72"/>
      <c r="L26" s="72"/>
      <c r="M26" s="72"/>
      <c r="N26" s="72"/>
      <c r="O26" s="72"/>
      <c r="P26" s="73"/>
    </row>
    <row r="27" spans="1:16" ht="15">
      <c r="A27" s="77" t="s">
        <v>62</v>
      </c>
      <c r="B27" s="72"/>
      <c r="C27" s="106" t="e">
        <f>VLOOKUP(LA_info!$E$2,'Underlying Data'!$A$3:$AX$163,6,FALSE)</f>
        <v>#N/A</v>
      </c>
      <c r="D27" s="12" t="s">
        <v>319</v>
      </c>
      <c r="E27" s="13"/>
      <c r="F27" s="72"/>
      <c r="G27" s="72"/>
      <c r="H27" s="72"/>
      <c r="I27" s="72"/>
      <c r="J27" s="72"/>
      <c r="K27" s="72"/>
      <c r="L27" s="72"/>
      <c r="M27" s="72"/>
      <c r="N27" s="72"/>
      <c r="O27" s="72"/>
      <c r="P27" s="73"/>
    </row>
    <row r="28" spans="1:16" ht="15">
      <c r="A28" s="77" t="s">
        <v>63</v>
      </c>
      <c r="B28" s="72"/>
      <c r="C28" s="106" t="e">
        <f>VLOOKUP(LA_info!$E$2,'Underlying Data'!$A$3:$AX$163,7,FALSE)</f>
        <v>#N/A</v>
      </c>
      <c r="D28" s="12" t="s">
        <v>320</v>
      </c>
      <c r="E28" s="13"/>
      <c r="F28" s="72"/>
      <c r="G28" s="72"/>
      <c r="H28" s="72"/>
      <c r="I28" s="72"/>
      <c r="J28" s="72"/>
      <c r="K28" s="72"/>
      <c r="L28" s="72"/>
      <c r="M28" s="72"/>
      <c r="N28" s="72"/>
      <c r="O28" s="72"/>
      <c r="P28" s="73"/>
    </row>
    <row r="29" spans="1:16" ht="15">
      <c r="A29" s="77" t="s">
        <v>315</v>
      </c>
      <c r="B29" s="72"/>
      <c r="C29" s="106" t="e">
        <f>VLOOKUP(LA_info!$E$2,'Underlying Data'!$A$3:$AX$163,8,FALSE)</f>
        <v>#N/A</v>
      </c>
      <c r="D29" s="12" t="s">
        <v>321</v>
      </c>
      <c r="E29" s="13"/>
      <c r="F29" s="72"/>
      <c r="G29" s="72"/>
      <c r="H29" s="72"/>
      <c r="I29" s="72"/>
      <c r="J29" s="72"/>
      <c r="K29" s="72"/>
      <c r="L29" s="72"/>
      <c r="M29" s="72"/>
      <c r="N29" s="72"/>
      <c r="O29" s="72"/>
      <c r="P29" s="73"/>
    </row>
    <row r="30" spans="1:19" ht="15">
      <c r="A30" s="76" t="s">
        <v>316</v>
      </c>
      <c r="B30" s="72"/>
      <c r="C30" s="107" t="e">
        <f>VLOOKUP(LA_info!$E$2,'Underlying Data'!$A$3:$AX$163,9,FALSE)</f>
        <v>#N/A</v>
      </c>
      <c r="D30" s="30" t="s">
        <v>322</v>
      </c>
      <c r="E30" s="31">
        <f>SUM(E25:E29)</f>
        <v>0</v>
      </c>
      <c r="F30" s="72"/>
      <c r="G30" s="72"/>
      <c r="H30" s="72"/>
      <c r="I30" s="72"/>
      <c r="J30" s="72"/>
      <c r="K30" s="72"/>
      <c r="L30" s="72"/>
      <c r="M30" s="72"/>
      <c r="N30" s="72"/>
      <c r="O30" s="72"/>
      <c r="P30" s="73"/>
      <c r="S30" s="110">
        <f>SUM(E30,E48,I48,E75,O75,E79,E80)</f>
        <v>0</v>
      </c>
    </row>
    <row r="31" spans="1:16" ht="15">
      <c r="A31" s="71"/>
      <c r="B31" s="72"/>
      <c r="C31" s="72"/>
      <c r="D31" s="72"/>
      <c r="E31" s="72"/>
      <c r="F31" s="72"/>
      <c r="G31" s="72"/>
      <c r="H31" s="72"/>
      <c r="I31" s="72"/>
      <c r="J31" s="72"/>
      <c r="K31" s="72"/>
      <c r="L31" s="72"/>
      <c r="M31" s="72"/>
      <c r="N31" s="72"/>
      <c r="O31" s="72"/>
      <c r="P31" s="73"/>
    </row>
    <row r="32" spans="1:16" ht="15">
      <c r="A32" s="71"/>
      <c r="B32" s="72"/>
      <c r="C32" s="72"/>
      <c r="D32" s="72"/>
      <c r="E32" s="72"/>
      <c r="F32" s="72"/>
      <c r="G32" s="83"/>
      <c r="H32" s="72"/>
      <c r="I32" s="72"/>
      <c r="J32" s="72"/>
      <c r="K32" s="72"/>
      <c r="L32" s="72"/>
      <c r="M32" s="72"/>
      <c r="N32" s="72"/>
      <c r="O32" s="72"/>
      <c r="P32" s="73"/>
    </row>
    <row r="33" spans="1:16" ht="15">
      <c r="A33" s="71"/>
      <c r="B33" s="72"/>
      <c r="C33" s="72"/>
      <c r="D33" s="72"/>
      <c r="E33" s="72"/>
      <c r="F33" s="72"/>
      <c r="G33" s="124"/>
      <c r="H33" s="125"/>
      <c r="I33" s="72"/>
      <c r="J33" s="72"/>
      <c r="K33" s="72"/>
      <c r="L33" s="72"/>
      <c r="M33" s="72"/>
      <c r="N33" s="72"/>
      <c r="O33" s="72"/>
      <c r="P33" s="73"/>
    </row>
    <row r="34" spans="1:16" ht="15">
      <c r="A34" s="71"/>
      <c r="B34" s="72"/>
      <c r="C34" s="72"/>
      <c r="D34" s="72"/>
      <c r="E34" s="126" t="s">
        <v>719</v>
      </c>
      <c r="F34" s="72"/>
      <c r="G34" s="72"/>
      <c r="H34" s="72"/>
      <c r="I34" s="126" t="s">
        <v>719</v>
      </c>
      <c r="J34" s="72"/>
      <c r="K34" s="72"/>
      <c r="L34" s="72"/>
      <c r="M34" s="72"/>
      <c r="N34" s="72"/>
      <c r="O34" s="72"/>
      <c r="P34" s="73"/>
    </row>
    <row r="35" spans="1:16" ht="15">
      <c r="A35" s="71"/>
      <c r="B35" s="72"/>
      <c r="C35" s="72"/>
      <c r="D35" s="72"/>
      <c r="E35" s="82" t="s">
        <v>281</v>
      </c>
      <c r="F35" s="72"/>
      <c r="G35" s="72"/>
      <c r="H35" s="72"/>
      <c r="I35" s="82" t="s">
        <v>282</v>
      </c>
      <c r="J35" s="72"/>
      <c r="K35" s="72"/>
      <c r="L35" s="72"/>
      <c r="M35" s="72"/>
      <c r="N35" s="72"/>
      <c r="O35" s="72"/>
      <c r="P35" s="73"/>
    </row>
    <row r="36" spans="1:16" ht="15">
      <c r="A36" s="76" t="s">
        <v>283</v>
      </c>
      <c r="B36" s="72"/>
      <c r="C36" s="72"/>
      <c r="D36" s="72"/>
      <c r="E36" s="72"/>
      <c r="F36" s="72"/>
      <c r="G36" s="72"/>
      <c r="H36" s="72"/>
      <c r="I36" s="72"/>
      <c r="J36" s="72"/>
      <c r="K36" s="72"/>
      <c r="L36" s="72"/>
      <c r="M36" s="72"/>
      <c r="N36" s="72"/>
      <c r="O36" s="72"/>
      <c r="P36" s="73"/>
    </row>
    <row r="37" spans="1:16" ht="15">
      <c r="A37" s="77" t="s">
        <v>284</v>
      </c>
      <c r="B37" s="72"/>
      <c r="C37" s="72"/>
      <c r="D37" s="72"/>
      <c r="E37" s="72"/>
      <c r="F37" s="72"/>
      <c r="G37" s="106" t="e">
        <f>VLOOKUP(LA_info!$E$2,'Underlying Data'!$A$3:$AX$163,21,FALSE)</f>
        <v>#N/A</v>
      </c>
      <c r="H37" s="12" t="s">
        <v>301</v>
      </c>
      <c r="I37" s="13"/>
      <c r="J37" s="72"/>
      <c r="K37" s="72"/>
      <c r="L37" s="72"/>
      <c r="M37" s="72"/>
      <c r="N37" s="72"/>
      <c r="O37" s="72"/>
      <c r="P37" s="73"/>
    </row>
    <row r="38" spans="1:22" ht="15">
      <c r="A38" s="77" t="s">
        <v>285</v>
      </c>
      <c r="B38" s="72"/>
      <c r="C38" s="106" t="e">
        <f>VLOOKUP(LA_info!$E$2,'Underlying Data'!$A$3:$AX$163,10,FALSE)</f>
        <v>#N/A</v>
      </c>
      <c r="D38" s="12" t="s">
        <v>290</v>
      </c>
      <c r="E38" s="13"/>
      <c r="F38" s="72"/>
      <c r="G38" s="106" t="e">
        <f>VLOOKUP(LA_info!$E$2,'Underlying Data'!$A$3:$AX$163,22,FALSE)</f>
        <v>#N/A</v>
      </c>
      <c r="H38" s="12" t="s">
        <v>302</v>
      </c>
      <c r="I38" s="13"/>
      <c r="J38" s="72"/>
      <c r="K38" s="72"/>
      <c r="L38" s="72"/>
      <c r="M38" s="72"/>
      <c r="N38" s="72"/>
      <c r="O38" s="72"/>
      <c r="P38" s="73"/>
      <c r="S38" s="111" t="e">
        <f>(I38-G38)*0.9</f>
        <v>#N/A</v>
      </c>
      <c r="T38" s="112" t="e">
        <f>S38/G38</f>
        <v>#N/A</v>
      </c>
      <c r="U38" s="111" t="e">
        <f>IF(T38&gt;20%,1,0)</f>
        <v>#N/A</v>
      </c>
      <c r="V38" s="111" t="e">
        <f>IF(T38&lt;-20%,1,0)</f>
        <v>#N/A</v>
      </c>
    </row>
    <row r="39" spans="1:16" ht="15">
      <c r="A39" s="77" t="s">
        <v>42</v>
      </c>
      <c r="B39" s="72"/>
      <c r="C39" s="106" t="e">
        <f>VLOOKUP(LA_info!$E$2,'Underlying Data'!$A$3:$AX$163,11,FALSE)</f>
        <v>#N/A</v>
      </c>
      <c r="D39" s="12" t="s">
        <v>291</v>
      </c>
      <c r="E39" s="13"/>
      <c r="F39" s="72"/>
      <c r="G39" s="106" t="e">
        <f>VLOOKUP(LA_info!$E$2,'Underlying Data'!$A$3:$AX$163,23,FALSE)</f>
        <v>#N/A</v>
      </c>
      <c r="H39" s="12" t="s">
        <v>303</v>
      </c>
      <c r="I39" s="13"/>
      <c r="J39" s="72"/>
      <c r="K39" s="72"/>
      <c r="L39" s="72"/>
      <c r="M39" s="72"/>
      <c r="N39" s="72"/>
      <c r="O39" s="72"/>
      <c r="P39" s="73"/>
    </row>
    <row r="40" spans="1:16" ht="15">
      <c r="A40" s="77" t="s">
        <v>44</v>
      </c>
      <c r="B40" s="72"/>
      <c r="C40" s="106" t="e">
        <f>VLOOKUP(LA_info!$E$2,'Underlying Data'!$A$3:$AX$163,12,FALSE)</f>
        <v>#N/A</v>
      </c>
      <c r="D40" s="12" t="s">
        <v>292</v>
      </c>
      <c r="E40" s="13"/>
      <c r="F40" s="72"/>
      <c r="G40" s="106" t="e">
        <f>VLOOKUP(LA_info!$E$2,'Underlying Data'!$A$3:$AX$163,24,FALSE)</f>
        <v>#N/A</v>
      </c>
      <c r="H40" s="12" t="s">
        <v>304</v>
      </c>
      <c r="I40" s="13"/>
      <c r="J40" s="72"/>
      <c r="K40" s="72"/>
      <c r="L40" s="72"/>
      <c r="M40" s="72"/>
      <c r="N40" s="72"/>
      <c r="O40" s="72"/>
      <c r="P40" s="73"/>
    </row>
    <row r="41" spans="1:16" ht="15">
      <c r="A41" s="77" t="s">
        <v>286</v>
      </c>
      <c r="B41" s="72"/>
      <c r="C41" s="106" t="e">
        <f>VLOOKUP(LA_info!$E$2,'Underlying Data'!$A$3:$AX$163,13,FALSE)</f>
        <v>#N/A</v>
      </c>
      <c r="D41" s="12" t="s">
        <v>293</v>
      </c>
      <c r="E41" s="13"/>
      <c r="F41" s="72"/>
      <c r="G41" s="106" t="e">
        <f>VLOOKUP(LA_info!$E$2,'Underlying Data'!$A$3:$AX$163,25,FALSE)</f>
        <v>#N/A</v>
      </c>
      <c r="H41" s="12" t="s">
        <v>305</v>
      </c>
      <c r="I41" s="13"/>
      <c r="J41" s="72"/>
      <c r="K41" s="72"/>
      <c r="L41" s="72"/>
      <c r="M41" s="72"/>
      <c r="N41" s="72"/>
      <c r="O41" s="72"/>
      <c r="P41" s="73"/>
    </row>
    <row r="42" spans="1:16" ht="15">
      <c r="A42" s="77" t="s">
        <v>47</v>
      </c>
      <c r="B42" s="72"/>
      <c r="C42" s="106" t="e">
        <f>VLOOKUP(LA_info!$E$2,'Underlying Data'!$A$3:$AX$163,14,FALSE)</f>
        <v>#N/A</v>
      </c>
      <c r="D42" s="12" t="s">
        <v>294</v>
      </c>
      <c r="E42" s="13"/>
      <c r="F42" s="72"/>
      <c r="G42" s="106" t="e">
        <f>VLOOKUP(LA_info!$E$2,'Underlying Data'!$A$3:$AX$163,26,FALSE)</f>
        <v>#N/A</v>
      </c>
      <c r="H42" s="12" t="s">
        <v>306</v>
      </c>
      <c r="I42" s="13"/>
      <c r="J42" s="72"/>
      <c r="K42" s="72"/>
      <c r="L42" s="72"/>
      <c r="M42" s="72"/>
      <c r="N42" s="72"/>
      <c r="O42" s="72"/>
      <c r="P42" s="73"/>
    </row>
    <row r="43" spans="1:16" ht="15">
      <c r="A43" s="77" t="s">
        <v>49</v>
      </c>
      <c r="B43" s="72"/>
      <c r="C43" s="106" t="e">
        <f>VLOOKUP(LA_info!$E$2,'Underlying Data'!$A$3:$AX$163,15,FALSE)</f>
        <v>#N/A</v>
      </c>
      <c r="D43" s="12" t="s">
        <v>295</v>
      </c>
      <c r="E43" s="13"/>
      <c r="F43" s="72"/>
      <c r="G43" s="106" t="e">
        <f>VLOOKUP(LA_info!$E$2,'Underlying Data'!$A$3:$AX$163,27,FALSE)</f>
        <v>#N/A</v>
      </c>
      <c r="H43" s="12" t="s">
        <v>307</v>
      </c>
      <c r="I43" s="13"/>
      <c r="J43" s="72"/>
      <c r="K43" s="72"/>
      <c r="L43" s="72"/>
      <c r="M43" s="72"/>
      <c r="N43" s="72"/>
      <c r="O43" s="72"/>
      <c r="P43" s="73"/>
    </row>
    <row r="44" spans="1:16" ht="15">
      <c r="A44" s="77" t="s">
        <v>287</v>
      </c>
      <c r="B44" s="72"/>
      <c r="C44" s="106" t="e">
        <f>VLOOKUP(LA_info!$E$2,'Underlying Data'!$A$3:$AX$163,16,FALSE)</f>
        <v>#N/A</v>
      </c>
      <c r="D44" s="12" t="s">
        <v>296</v>
      </c>
      <c r="E44" s="13"/>
      <c r="F44" s="72"/>
      <c r="G44" s="106" t="e">
        <f>VLOOKUP(LA_info!$E$2,'Underlying Data'!$A$3:$AX$163,28,FALSE)</f>
        <v>#N/A</v>
      </c>
      <c r="H44" s="12" t="s">
        <v>308</v>
      </c>
      <c r="I44" s="13"/>
      <c r="J44" s="72"/>
      <c r="K44" s="72"/>
      <c r="L44" s="72"/>
      <c r="M44" s="72"/>
      <c r="N44" s="72"/>
      <c r="O44" s="72"/>
      <c r="P44" s="73"/>
    </row>
    <row r="45" spans="1:16" ht="15">
      <c r="A45" s="77" t="s">
        <v>288</v>
      </c>
      <c r="B45" s="72"/>
      <c r="C45" s="106" t="e">
        <f>VLOOKUP(LA_info!$E$2,'Underlying Data'!$A$3:$AX$163,17,FALSE)</f>
        <v>#N/A</v>
      </c>
      <c r="D45" s="12" t="s">
        <v>297</v>
      </c>
      <c r="E45" s="13"/>
      <c r="F45" s="72"/>
      <c r="G45" s="106" t="e">
        <f>VLOOKUP(LA_info!$E$2,'Underlying Data'!$A$3:$AX$163,29,FALSE)</f>
        <v>#N/A</v>
      </c>
      <c r="H45" s="12" t="s">
        <v>309</v>
      </c>
      <c r="I45" s="13"/>
      <c r="J45" s="72"/>
      <c r="K45" s="72"/>
      <c r="L45" s="72"/>
      <c r="M45" s="72"/>
      <c r="N45" s="72"/>
      <c r="O45" s="72"/>
      <c r="P45" s="73"/>
    </row>
    <row r="46" spans="1:24" ht="15">
      <c r="A46" s="77" t="s">
        <v>55</v>
      </c>
      <c r="B46" s="72"/>
      <c r="C46" s="106" t="e">
        <f>VLOOKUP(LA_info!$E$2,'Underlying Data'!$A$3:$AX$163,18,FALSE)</f>
        <v>#N/A</v>
      </c>
      <c r="D46" s="12" t="s">
        <v>298</v>
      </c>
      <c r="E46" s="13"/>
      <c r="F46" s="72"/>
      <c r="G46" s="106" t="e">
        <f>VLOOKUP(LA_info!$E$2,'Underlying Data'!$A$3:$AX$163,30,FALSE)</f>
        <v>#N/A</v>
      </c>
      <c r="H46" s="12" t="s">
        <v>310</v>
      </c>
      <c r="I46" s="13"/>
      <c r="J46" s="72"/>
      <c r="K46" s="72"/>
      <c r="L46" s="72"/>
      <c r="M46" s="72"/>
      <c r="N46" s="72"/>
      <c r="O46" s="72"/>
      <c r="P46" s="73"/>
      <c r="U46" s="111" t="e">
        <f>IF(I46&lt;(G46-S38),1,0)</f>
        <v>#N/A</v>
      </c>
      <c r="V46" s="111" t="e">
        <f>IF(I46&gt;(G46-S38),1,0)</f>
        <v>#N/A</v>
      </c>
      <c r="W46" s="111" t="e">
        <f>U46+U38</f>
        <v>#N/A</v>
      </c>
      <c r="X46" s="111" t="e">
        <f>V46+V38</f>
        <v>#N/A</v>
      </c>
    </row>
    <row r="47" spans="1:24" ht="15">
      <c r="A47" s="77" t="s">
        <v>57</v>
      </c>
      <c r="B47" s="72"/>
      <c r="C47" s="106" t="e">
        <f>VLOOKUP(LA_info!$E$2,'Underlying Data'!$A$3:$AX$163,19,FALSE)</f>
        <v>#N/A</v>
      </c>
      <c r="D47" s="12" t="s">
        <v>299</v>
      </c>
      <c r="E47" s="13"/>
      <c r="F47" s="72"/>
      <c r="G47" s="106" t="e">
        <f>VLOOKUP(LA_info!$E$2,'Underlying Data'!$A$3:$AX$163,31,FALSE)</f>
        <v>#N/A</v>
      </c>
      <c r="H47" s="12" t="s">
        <v>311</v>
      </c>
      <c r="I47" s="13"/>
      <c r="J47" s="72"/>
      <c r="K47" s="72"/>
      <c r="L47" s="72"/>
      <c r="M47" s="72"/>
      <c r="N47" s="72"/>
      <c r="O47" s="72"/>
      <c r="P47" s="73"/>
      <c r="U47" s="111" t="e">
        <f>IF(I47&lt;(G47-S38),1,0)</f>
        <v>#N/A</v>
      </c>
      <c r="V47" s="111" t="e">
        <f>IF(I47&gt;(G47-S38),1,0)</f>
        <v>#N/A</v>
      </c>
      <c r="W47" s="111" t="e">
        <f>U47+U38</f>
        <v>#N/A</v>
      </c>
      <c r="X47" s="111" t="e">
        <f>V47+V38</f>
        <v>#N/A</v>
      </c>
    </row>
    <row r="48" spans="1:16" ht="15">
      <c r="A48" s="76" t="s">
        <v>289</v>
      </c>
      <c r="B48" s="72"/>
      <c r="C48" s="107" t="e">
        <f>VLOOKUP(LA_info!$E$2,'Underlying Data'!$A$3:$AX$163,20,FALSE)</f>
        <v>#N/A</v>
      </c>
      <c r="D48" s="30" t="s">
        <v>300</v>
      </c>
      <c r="E48" s="32">
        <f>SUM(E38:E47)</f>
        <v>0</v>
      </c>
      <c r="F48" s="72"/>
      <c r="G48" s="107" t="e">
        <f>VLOOKUP(LA_info!$E$2,'Underlying Data'!$A$3:$AX$163,32,FALSE)</f>
        <v>#N/A</v>
      </c>
      <c r="H48" s="30" t="s">
        <v>312</v>
      </c>
      <c r="I48" s="32">
        <f>SUM(I37:I47)</f>
        <v>0</v>
      </c>
      <c r="J48" s="72"/>
      <c r="K48" s="72"/>
      <c r="L48" s="72"/>
      <c r="M48" s="72"/>
      <c r="N48" s="72"/>
      <c r="O48" s="72"/>
      <c r="P48" s="73"/>
    </row>
    <row r="49" spans="1:16" ht="15">
      <c r="A49" s="78"/>
      <c r="B49" s="72"/>
      <c r="C49" s="72"/>
      <c r="D49" s="72"/>
      <c r="E49" s="72"/>
      <c r="F49" s="72"/>
      <c r="G49" s="72"/>
      <c r="H49" s="72"/>
      <c r="I49" s="72"/>
      <c r="J49" s="72"/>
      <c r="K49" s="72"/>
      <c r="L49" s="72"/>
      <c r="M49" s="72"/>
      <c r="N49" s="72"/>
      <c r="O49" s="72"/>
      <c r="P49" s="73"/>
    </row>
    <row r="50" spans="1:16" ht="15">
      <c r="A50" s="71"/>
      <c r="B50" s="72"/>
      <c r="C50" s="72"/>
      <c r="D50" s="72"/>
      <c r="E50" s="72"/>
      <c r="F50" s="72"/>
      <c r="G50" s="83"/>
      <c r="H50" s="72"/>
      <c r="I50" s="72"/>
      <c r="J50" s="72"/>
      <c r="K50" s="72"/>
      <c r="L50" s="72"/>
      <c r="M50" s="72"/>
      <c r="N50" s="72"/>
      <c r="O50" s="72"/>
      <c r="P50" s="73"/>
    </row>
    <row r="51" spans="1:16" ht="15">
      <c r="A51" s="71"/>
      <c r="B51" s="72"/>
      <c r="C51" s="72"/>
      <c r="D51" s="72"/>
      <c r="E51" s="72"/>
      <c r="F51" s="72"/>
      <c r="G51" s="83"/>
      <c r="H51" s="72"/>
      <c r="I51" s="72"/>
      <c r="J51" s="72"/>
      <c r="K51" s="72"/>
      <c r="L51" s="72"/>
      <c r="M51" s="72"/>
      <c r="N51" s="72"/>
      <c r="O51" s="72"/>
      <c r="P51" s="73"/>
    </row>
    <row r="52" spans="1:16" ht="15.75">
      <c r="A52" s="74" t="s">
        <v>323</v>
      </c>
      <c r="B52" s="72"/>
      <c r="C52" s="72"/>
      <c r="D52" s="72"/>
      <c r="E52" s="72"/>
      <c r="F52" s="72"/>
      <c r="G52" s="72"/>
      <c r="H52" s="72"/>
      <c r="I52" s="72"/>
      <c r="J52" s="72"/>
      <c r="K52" s="72"/>
      <c r="L52" s="72"/>
      <c r="M52" s="72"/>
      <c r="N52" s="72"/>
      <c r="O52" s="72"/>
      <c r="P52" s="73"/>
    </row>
    <row r="53" spans="1:16" ht="15">
      <c r="A53" s="79" t="str">
        <f>CONCATENATE("INTERNALLY MANAGED INVESTMENTS - END OF ",LA_info!J2)</f>
        <v>INTERNALLY MANAGED INVESTMENTS - END OF JULY 2016</v>
      </c>
      <c r="B53" s="72"/>
      <c r="C53" s="72"/>
      <c r="D53" s="72"/>
      <c r="E53" s="72"/>
      <c r="F53" s="72"/>
      <c r="G53" s="84">
        <f>IF(OR(LA_info!L2=12,LA_info!L2=3,LA_info!L2=6,LA_info!L2=9),"EXTERNALLY MANAGED FUNDS (OTHER THAN MONEY MARKET FUNDS)","")</f>
      </c>
      <c r="H53" s="72"/>
      <c r="I53" s="72"/>
      <c r="J53" s="72"/>
      <c r="K53" s="72"/>
      <c r="L53" s="72"/>
      <c r="M53" s="72"/>
      <c r="N53" s="72"/>
      <c r="O53" s="72"/>
      <c r="P53" s="73"/>
    </row>
    <row r="54" spans="1:16" ht="15">
      <c r="A54" s="71"/>
      <c r="B54" s="72"/>
      <c r="C54" s="72"/>
      <c r="D54" s="72"/>
      <c r="E54" s="72"/>
      <c r="F54" s="72"/>
      <c r="G54" s="84">
        <f>IF(G53="","",CONCATENATE("ANALYSIS OF INVESTMENTS IN THE FUNDS AT END OF ",O2))</f>
      </c>
      <c r="H54" s="72"/>
      <c r="I54" s="72"/>
      <c r="J54" s="72"/>
      <c r="K54" s="72"/>
      <c r="L54" s="72"/>
      <c r="M54" s="72"/>
      <c r="N54" s="72"/>
      <c r="O54" s="72"/>
      <c r="P54" s="73"/>
    </row>
    <row r="55" spans="1:16" ht="15">
      <c r="A55" s="71"/>
      <c r="B55" s="72">
        <f>IF(MIN(E57:E80,O57:O75)&gt;=0,"","ALL FIGURES SHOULD BE POSITIVE WHOLE NUMBERS")</f>
      </c>
      <c r="C55" s="72"/>
      <c r="D55" s="72"/>
      <c r="E55" s="126" t="s">
        <v>719</v>
      </c>
      <c r="F55" s="72"/>
      <c r="G55" s="84"/>
      <c r="H55" s="72"/>
      <c r="I55" s="72"/>
      <c r="J55" s="72"/>
      <c r="K55" s="72"/>
      <c r="L55" s="72"/>
      <c r="M55" s="72"/>
      <c r="N55" s="72"/>
      <c r="O55" s="126" t="s">
        <v>719</v>
      </c>
      <c r="P55" s="73"/>
    </row>
    <row r="56" spans="1:16" ht="15">
      <c r="A56" s="76" t="s">
        <v>324</v>
      </c>
      <c r="B56" s="72"/>
      <c r="C56" s="72"/>
      <c r="D56" s="72"/>
      <c r="E56" s="72"/>
      <c r="F56" s="72"/>
      <c r="G56" s="88">
        <f>IF(G53="","","Deposits")</f>
      </c>
      <c r="H56" s="72"/>
      <c r="I56" s="72"/>
      <c r="J56" s="72"/>
      <c r="K56" s="72"/>
      <c r="L56" s="72"/>
      <c r="M56" s="72"/>
      <c r="N56" s="72"/>
      <c r="O56" s="72"/>
      <c r="P56" s="73"/>
    </row>
    <row r="57" spans="1:16" ht="15">
      <c r="A57" s="77" t="s">
        <v>285</v>
      </c>
      <c r="B57" s="72"/>
      <c r="C57" s="106" t="e">
        <f>VLOOKUP(LA_info!$E$2,'Underlying Data'!$A$3:$AX$163,33,FALSE)</f>
        <v>#N/A</v>
      </c>
      <c r="D57" s="12">
        <v>30</v>
      </c>
      <c r="E57" s="13"/>
      <c r="F57" s="72"/>
      <c r="G57" s="89">
        <f>IF(G53="","","Banks in UK")</f>
      </c>
      <c r="H57" s="72"/>
      <c r="I57" s="72"/>
      <c r="J57" s="72"/>
      <c r="K57" s="90" t="str">
        <f>IF($G$53="","do not complete","")</f>
        <v>do not complete</v>
      </c>
      <c r="L57" s="72"/>
      <c r="M57" s="91"/>
      <c r="N57" s="33" t="s">
        <v>340</v>
      </c>
      <c r="O57" s="13"/>
      <c r="P57" s="104"/>
    </row>
    <row r="58" spans="1:16" ht="15">
      <c r="A58" s="77" t="s">
        <v>42</v>
      </c>
      <c r="B58" s="72"/>
      <c r="C58" s="106" t="e">
        <f>VLOOKUP(LA_info!$E$2,'Underlying Data'!$A$3:$AX$163,34,FALSE)</f>
        <v>#N/A</v>
      </c>
      <c r="D58" s="12">
        <v>31</v>
      </c>
      <c r="E58" s="13"/>
      <c r="F58" s="72"/>
      <c r="G58" s="89">
        <f>IF(G53="","","Building Societies in UK")</f>
      </c>
      <c r="H58" s="72"/>
      <c r="I58" s="72"/>
      <c r="J58" s="72"/>
      <c r="K58" s="90" t="str">
        <f>IF($G$53="","do not complete","")</f>
        <v>do not complete</v>
      </c>
      <c r="L58" s="72"/>
      <c r="M58" s="91"/>
      <c r="N58" s="33" t="s">
        <v>341</v>
      </c>
      <c r="O58" s="13"/>
      <c r="P58" s="104"/>
    </row>
    <row r="59" spans="1:16" ht="15">
      <c r="A59" s="77" t="s">
        <v>325</v>
      </c>
      <c r="B59" s="72"/>
      <c r="C59" s="106" t="e">
        <f>VLOOKUP(LA_info!$E$2,'Underlying Data'!$A$3:$AX$163,35,FALSE)</f>
        <v>#N/A</v>
      </c>
      <c r="D59" s="12">
        <v>32</v>
      </c>
      <c r="E59" s="13"/>
      <c r="F59" s="72"/>
      <c r="G59" s="89">
        <f>IF(G53="","","Rest of the World")</f>
      </c>
      <c r="H59" s="72"/>
      <c r="I59" s="72"/>
      <c r="J59" s="72"/>
      <c r="K59" s="90" t="str">
        <f>IF($G$53="","do not complete","")</f>
        <v>do not complete</v>
      </c>
      <c r="L59" s="72"/>
      <c r="M59" s="91"/>
      <c r="N59" s="33" t="s">
        <v>342</v>
      </c>
      <c r="O59" s="13"/>
      <c r="P59" s="104"/>
    </row>
    <row r="60" spans="1:16" ht="15">
      <c r="A60" s="77" t="s">
        <v>55</v>
      </c>
      <c r="B60" s="72"/>
      <c r="C60" s="106" t="e">
        <f>VLOOKUP(LA_info!$E$2,'Underlying Data'!$A$3:$AX$163,36,FALSE)</f>
        <v>#N/A</v>
      </c>
      <c r="D60" s="12">
        <v>33</v>
      </c>
      <c r="E60" s="13"/>
      <c r="F60" s="72"/>
      <c r="G60" s="89"/>
      <c r="H60" s="72"/>
      <c r="I60" s="72"/>
      <c r="J60" s="72"/>
      <c r="K60" s="72"/>
      <c r="L60" s="72"/>
      <c r="M60" s="72"/>
      <c r="N60" s="72"/>
      <c r="O60" s="72"/>
      <c r="P60" s="73"/>
    </row>
    <row r="61" spans="1:16" ht="15">
      <c r="A61" s="71"/>
      <c r="B61" s="72"/>
      <c r="C61" s="72"/>
      <c r="D61" s="72"/>
      <c r="E61" s="72"/>
      <c r="F61" s="72"/>
      <c r="G61" s="72"/>
      <c r="H61" s="72"/>
      <c r="I61" s="72"/>
      <c r="J61" s="72"/>
      <c r="K61" s="72"/>
      <c r="L61" s="72"/>
      <c r="M61" s="72"/>
      <c r="N61" s="72"/>
      <c r="O61" s="126" t="s">
        <v>719</v>
      </c>
      <c r="P61" s="73"/>
    </row>
    <row r="62" spans="1:16" ht="15">
      <c r="A62" s="76" t="s">
        <v>313</v>
      </c>
      <c r="B62" s="72"/>
      <c r="C62" s="72"/>
      <c r="D62" s="72"/>
      <c r="E62" s="126" t="s">
        <v>719</v>
      </c>
      <c r="F62" s="72"/>
      <c r="G62" s="88">
        <f>IF(G56="","","Securities")</f>
      </c>
      <c r="H62" s="72"/>
      <c r="I62" s="72"/>
      <c r="J62" s="72"/>
      <c r="K62" s="72"/>
      <c r="L62" s="72"/>
      <c r="M62" s="72"/>
      <c r="N62" s="72"/>
      <c r="O62" s="72"/>
      <c r="P62" s="73"/>
    </row>
    <row r="63" spans="1:16" ht="15">
      <c r="A63" s="77" t="s">
        <v>326</v>
      </c>
      <c r="B63" s="72"/>
      <c r="C63" s="106" t="e">
        <f>VLOOKUP(LA_info!$E$2,'Underlying Data'!$A$3:$AX$163,37,FALSE)</f>
        <v>#N/A</v>
      </c>
      <c r="D63" s="12">
        <v>34</v>
      </c>
      <c r="E63" s="13"/>
      <c r="F63" s="72"/>
      <c r="G63" s="89">
        <f>IF(G53="","","HM Treasury bills")</f>
      </c>
      <c r="H63" s="72"/>
      <c r="I63" s="72"/>
      <c r="J63" s="72"/>
      <c r="K63" s="90" t="str">
        <f>IF($G$53="","do not complete","")</f>
        <v>do not complete</v>
      </c>
      <c r="L63" s="72"/>
      <c r="M63" s="91"/>
      <c r="N63" s="33">
        <v>51</v>
      </c>
      <c r="O63" s="13"/>
      <c r="P63" s="104"/>
    </row>
    <row r="64" spans="1:16" ht="15">
      <c r="A64" s="77" t="s">
        <v>327</v>
      </c>
      <c r="B64" s="72"/>
      <c r="C64" s="106" t="e">
        <f>VLOOKUP(LA_info!$E$2,'Underlying Data'!$A$3:$AX$163,38,FALSE)</f>
        <v>#N/A</v>
      </c>
      <c r="D64" s="12" t="s">
        <v>337</v>
      </c>
      <c r="E64" s="13"/>
      <c r="F64" s="72"/>
      <c r="G64" s="89">
        <f>IF(G53="","","CDs issued by Banks in UK")</f>
      </c>
      <c r="H64" s="72"/>
      <c r="I64" s="72"/>
      <c r="J64" s="72"/>
      <c r="K64" s="90" t="str">
        <f>IF($G$53="","do not complete","")</f>
        <v>do not complete</v>
      </c>
      <c r="L64" s="72"/>
      <c r="M64" s="91"/>
      <c r="N64" s="33" t="s">
        <v>343</v>
      </c>
      <c r="O64" s="13"/>
      <c r="P64" s="104"/>
    </row>
    <row r="65" spans="1:16" ht="15">
      <c r="A65" s="77" t="s">
        <v>328</v>
      </c>
      <c r="B65" s="72"/>
      <c r="C65" s="106" t="e">
        <f>VLOOKUP(LA_info!$E$2,'Underlying Data'!$A$3:$AX$163,39,FALSE)</f>
        <v>#N/A</v>
      </c>
      <c r="D65" s="12" t="s">
        <v>338</v>
      </c>
      <c r="E65" s="13"/>
      <c r="F65" s="72"/>
      <c r="G65" s="89">
        <f>IF(G53="","","CDs issued by Building Societies in UK")</f>
      </c>
      <c r="H65" s="72"/>
      <c r="I65" s="72"/>
      <c r="J65" s="72"/>
      <c r="K65" s="90" t="str">
        <f>IF($G$53="","do not complete","")</f>
        <v>do not complete</v>
      </c>
      <c r="L65" s="72"/>
      <c r="M65" s="91"/>
      <c r="N65" s="33" t="s">
        <v>344</v>
      </c>
      <c r="O65" s="13"/>
      <c r="P65" s="104"/>
    </row>
    <row r="66" spans="1:16" ht="15">
      <c r="A66" s="77" t="s">
        <v>329</v>
      </c>
      <c r="B66" s="72"/>
      <c r="C66" s="106" t="e">
        <f>VLOOKUP(LA_info!$E$2,'Underlying Data'!$A$3:$AX$163,40,FALSE)</f>
        <v>#N/A</v>
      </c>
      <c r="D66" s="12" t="s">
        <v>339</v>
      </c>
      <c r="E66" s="13"/>
      <c r="F66" s="72"/>
      <c r="G66" s="89">
        <f>IF(G53="","","British Government Securities")</f>
      </c>
      <c r="H66" s="72"/>
      <c r="I66" s="72"/>
      <c r="J66" s="72"/>
      <c r="K66" s="90" t="str">
        <f>IF($G$53="","do not complete","")</f>
        <v>do not complete</v>
      </c>
      <c r="L66" s="72"/>
      <c r="M66" s="91"/>
      <c r="N66" s="33" t="s">
        <v>345</v>
      </c>
      <c r="O66" s="13"/>
      <c r="P66" s="104"/>
    </row>
    <row r="67" spans="1:16" ht="15">
      <c r="A67" s="77" t="s">
        <v>64</v>
      </c>
      <c r="B67" s="72"/>
      <c r="C67" s="106" t="e">
        <f>VLOOKUP(LA_info!$E$2,'Underlying Data'!$A$3:$AX$163,41,FALSE)</f>
        <v>#N/A</v>
      </c>
      <c r="D67" s="12">
        <v>38</v>
      </c>
      <c r="E67" s="13"/>
      <c r="F67" s="72"/>
      <c r="G67" s="89">
        <f>IF(G56="","","Other securities")</f>
      </c>
      <c r="H67" s="72"/>
      <c r="I67" s="72"/>
      <c r="J67" s="72"/>
      <c r="K67" s="90" t="str">
        <f>IF($G$53="","do not complete","")</f>
        <v>do not complete</v>
      </c>
      <c r="L67" s="72"/>
      <c r="M67" s="91"/>
      <c r="N67" s="33" t="s">
        <v>346</v>
      </c>
      <c r="O67" s="13"/>
      <c r="P67" s="104"/>
    </row>
    <row r="68" spans="1:16" ht="15">
      <c r="A68" s="77"/>
      <c r="B68" s="72"/>
      <c r="C68" s="72"/>
      <c r="D68" s="72"/>
      <c r="E68" s="72"/>
      <c r="F68" s="72"/>
      <c r="G68" s="89"/>
      <c r="H68" s="72"/>
      <c r="I68" s="72"/>
      <c r="J68" s="72"/>
      <c r="K68" s="72"/>
      <c r="L68" s="72"/>
      <c r="M68" s="72"/>
      <c r="N68" s="72"/>
      <c r="O68" s="72"/>
      <c r="P68" s="73"/>
    </row>
    <row r="69" spans="1:16" ht="15">
      <c r="A69" s="76" t="s">
        <v>283</v>
      </c>
      <c r="B69" s="72"/>
      <c r="C69" s="72"/>
      <c r="D69" s="72"/>
      <c r="E69" s="126" t="s">
        <v>719</v>
      </c>
      <c r="F69" s="72"/>
      <c r="G69" s="88">
        <f>IF(G53="","","Loans")</f>
      </c>
      <c r="H69" s="72"/>
      <c r="I69" s="72"/>
      <c r="J69" s="72"/>
      <c r="K69" s="72"/>
      <c r="L69" s="72"/>
      <c r="M69" s="72"/>
      <c r="N69" s="72"/>
      <c r="O69" s="126" t="s">
        <v>719</v>
      </c>
      <c r="P69" s="73"/>
    </row>
    <row r="70" spans="1:16" ht="15">
      <c r="A70" s="77" t="s">
        <v>44</v>
      </c>
      <c r="B70" s="72"/>
      <c r="C70" s="106" t="e">
        <f>VLOOKUP(LA_info!$E$2,'Underlying Data'!$A$3:$AX$163,42,FALSE)</f>
        <v>#N/A</v>
      </c>
      <c r="D70" s="12">
        <v>39</v>
      </c>
      <c r="E70" s="13"/>
      <c r="F70" s="72"/>
      <c r="G70" s="89">
        <f>IF(G53="","","Other financial intermediaries")</f>
      </c>
      <c r="H70" s="72"/>
      <c r="I70" s="72"/>
      <c r="J70" s="72"/>
      <c r="K70" s="90" t="str">
        <f>IF($G$53="","do not complete","")</f>
        <v>do not complete</v>
      </c>
      <c r="L70" s="72"/>
      <c r="M70" s="91"/>
      <c r="N70" s="33" t="s">
        <v>347</v>
      </c>
      <c r="O70" s="14"/>
      <c r="P70" s="104"/>
    </row>
    <row r="71" spans="1:16" ht="15">
      <c r="A71" s="77" t="s">
        <v>286</v>
      </c>
      <c r="B71" s="72"/>
      <c r="C71" s="106" t="e">
        <f>VLOOKUP(LA_info!$E$2,'Underlying Data'!$A$3:$AX$163,43,FALSE)</f>
        <v>#N/A</v>
      </c>
      <c r="D71" s="12">
        <v>40</v>
      </c>
      <c r="E71" s="13"/>
      <c r="F71" s="72"/>
      <c r="G71" s="89">
        <f>IF(G53="","","Public corporations")</f>
      </c>
      <c r="H71" s="72"/>
      <c r="I71" s="72"/>
      <c r="J71" s="72"/>
      <c r="K71" s="90" t="str">
        <f>IF($G$53="","do not complete","")</f>
        <v>do not complete</v>
      </c>
      <c r="L71" s="72"/>
      <c r="M71" s="91"/>
      <c r="N71" s="33" t="s">
        <v>348</v>
      </c>
      <c r="O71" s="13"/>
      <c r="P71" s="104"/>
    </row>
    <row r="72" spans="1:16" ht="15">
      <c r="A72" s="77" t="s">
        <v>287</v>
      </c>
      <c r="B72" s="72"/>
      <c r="C72" s="106" t="e">
        <f>VLOOKUP(LA_info!$E$2,'Underlying Data'!$A$3:$AX$163,44,FALSE)</f>
        <v>#N/A</v>
      </c>
      <c r="D72" s="12">
        <v>41</v>
      </c>
      <c r="E72" s="13"/>
      <c r="F72" s="72"/>
      <c r="G72" s="89">
        <f>IF(G53="","","Local Government")</f>
      </c>
      <c r="H72" s="72"/>
      <c r="I72" s="72"/>
      <c r="J72" s="72"/>
      <c r="K72" s="90" t="str">
        <f>IF($G$53="","do not complete","")</f>
        <v>do not complete</v>
      </c>
      <c r="L72" s="72"/>
      <c r="M72" s="91"/>
      <c r="N72" s="33" t="s">
        <v>349</v>
      </c>
      <c r="O72" s="14"/>
      <c r="P72" s="104"/>
    </row>
    <row r="73" spans="1:16" ht="15">
      <c r="A73" s="77" t="s">
        <v>330</v>
      </c>
      <c r="B73" s="72"/>
      <c r="C73" s="106" t="e">
        <f>VLOOKUP(LA_info!$E$2,'Underlying Data'!$A$3:$AX$163,45,FALSE)</f>
        <v>#N/A</v>
      </c>
      <c r="D73" s="12">
        <v>42</v>
      </c>
      <c r="E73" s="13"/>
      <c r="F73" s="72"/>
      <c r="G73" s="89">
        <f>IF(G53="","","Other")</f>
      </c>
      <c r="H73" s="72"/>
      <c r="I73" s="72"/>
      <c r="J73" s="72"/>
      <c r="K73" s="90" t="str">
        <f>IF($G$53="","do not complete","")</f>
        <v>do not complete</v>
      </c>
      <c r="L73" s="72"/>
      <c r="M73" s="91"/>
      <c r="N73" s="33" t="s">
        <v>350</v>
      </c>
      <c r="O73" s="13"/>
      <c r="P73" s="104"/>
    </row>
    <row r="74" spans="1:16" ht="15">
      <c r="A74" s="77"/>
      <c r="B74" s="72"/>
      <c r="C74" s="72"/>
      <c r="D74" s="72"/>
      <c r="E74" s="72"/>
      <c r="F74" s="72"/>
      <c r="G74" s="72"/>
      <c r="H74" s="72"/>
      <c r="I74" s="72"/>
      <c r="J74" s="72"/>
      <c r="K74" s="72"/>
      <c r="L74" s="72"/>
      <c r="M74" s="72"/>
      <c r="N74" s="72"/>
      <c r="O74" s="72"/>
      <c r="P74" s="73"/>
    </row>
    <row r="75" spans="1:16" ht="15">
      <c r="A75" s="76" t="s">
        <v>331</v>
      </c>
      <c r="B75" s="72"/>
      <c r="C75" s="107" t="e">
        <f>VLOOKUP(LA_info!$E$2,'Underlying Data'!$A$3:$AX$163,46,FALSE)</f>
        <v>#N/A</v>
      </c>
      <c r="D75" s="30">
        <v>43</v>
      </c>
      <c r="E75" s="32">
        <f>SUM(E57:E60,E63:E67,E70:E73)</f>
        <v>0</v>
      </c>
      <c r="F75" s="72"/>
      <c r="G75" s="88">
        <f>IF(G53="","","Total investments in the funds")</f>
      </c>
      <c r="H75" s="72"/>
      <c r="I75" s="72"/>
      <c r="J75" s="72"/>
      <c r="K75" s="90" t="str">
        <f>IF($G$53="","do not complete","")</f>
        <v>do not complete</v>
      </c>
      <c r="L75" s="72"/>
      <c r="M75" s="91"/>
      <c r="N75" s="34" t="s">
        <v>351</v>
      </c>
      <c r="O75" s="32">
        <f>SUM(O57:O59,O63:O67,O70:O73)</f>
        <v>0</v>
      </c>
      <c r="P75" s="73"/>
    </row>
    <row r="76" spans="1:16" ht="25.5" customHeight="1">
      <c r="A76" s="77"/>
      <c r="B76" s="72"/>
      <c r="C76" s="72"/>
      <c r="D76" s="72"/>
      <c r="E76" s="72"/>
      <c r="F76" s="72"/>
      <c r="G76" s="88">
        <f>IF(G53="","",CONCATENATE("(end of ",O2,")"))</f>
      </c>
      <c r="H76" s="72"/>
      <c r="I76" s="72"/>
      <c r="J76" s="72"/>
      <c r="K76" s="72"/>
      <c r="L76" s="72"/>
      <c r="M76" s="72"/>
      <c r="N76" s="72"/>
      <c r="O76" s="187">
        <f>IF(RIGHT(O2,5)="funds",IF(O75=E80,"","Please ensure this figure matches that provided in cell 45. Or provide a reason below."),"")</f>
      </c>
      <c r="P76" s="188"/>
    </row>
    <row r="77" spans="1:16" ht="15">
      <c r="A77" s="79" t="str">
        <f>CONCATENATE("EXTERNALLY MANAGED INVESTMENTS - END OF ",LA_info!J2)</f>
        <v>EXTERNALLY MANAGED INVESTMENTS - END OF JULY 2016</v>
      </c>
      <c r="B77" s="72"/>
      <c r="C77" s="72"/>
      <c r="D77" s="72"/>
      <c r="E77" s="72"/>
      <c r="F77" s="72"/>
      <c r="G77" s="72"/>
      <c r="H77" s="72"/>
      <c r="I77" s="72"/>
      <c r="J77" s="72">
        <f>IF($G$56="","",IF(O78*102%&lt;S79,"PLEASE ENSURE ABOVE SECTION IS COMPLETED IN LINE WITH LAST MONTH'S FORM",IF(O78&gt;S79*102%,"PLEASE ENSURE ABOVE SECTION IS COMPLETED IN LINE WITH LAST MONTH'S FORM","")))</f>
      </c>
      <c r="K77" s="72"/>
      <c r="L77" s="72"/>
      <c r="M77" s="72"/>
      <c r="N77" s="72"/>
      <c r="O77" s="72"/>
      <c r="P77" s="73"/>
    </row>
    <row r="78" spans="1:16" ht="15">
      <c r="A78" s="77"/>
      <c r="B78" s="72"/>
      <c r="C78" s="72"/>
      <c r="D78" s="72"/>
      <c r="E78" s="126" t="s">
        <v>719</v>
      </c>
      <c r="F78" s="72"/>
      <c r="G78" s="92" t="s">
        <v>352</v>
      </c>
      <c r="H78" s="72"/>
      <c r="I78" s="72"/>
      <c r="J78" s="72"/>
      <c r="K78" s="72"/>
      <c r="L78" s="72"/>
      <c r="M78" s="72"/>
      <c r="N78" s="72"/>
      <c r="O78" s="126"/>
      <c r="P78" s="73"/>
    </row>
    <row r="79" spans="1:16" ht="15">
      <c r="A79" s="77" t="s">
        <v>736</v>
      </c>
      <c r="B79" s="72"/>
      <c r="C79" s="106" t="e">
        <f>VLOOKUP(LA_info!$E$2,'Underlying Data'!$A$3:$AX$163,47,FALSE)</f>
        <v>#N/A</v>
      </c>
      <c r="D79" s="12">
        <v>44</v>
      </c>
      <c r="E79" s="13"/>
      <c r="F79" s="72"/>
      <c r="G79" s="89" t="s">
        <v>353</v>
      </c>
      <c r="H79" s="72"/>
      <c r="I79" s="72"/>
      <c r="J79" s="93" t="s">
        <v>354</v>
      </c>
      <c r="K79" s="72"/>
      <c r="L79" s="72"/>
      <c r="M79" s="72"/>
      <c r="N79" s="177">
        <f>IF(SUM(E30,E48,I48,E75,E79,E85,E86)=0,"",Validation!I49)</f>
      </c>
      <c r="O79" s="178"/>
      <c r="P79" s="73"/>
    </row>
    <row r="80" spans="1:16" ht="15">
      <c r="A80" s="77" t="s">
        <v>333</v>
      </c>
      <c r="B80" s="72"/>
      <c r="C80" s="106" t="e">
        <f>VLOOKUP(LA_info!$E$2,'Underlying Data'!$A$3:$AX$163,48,FALSE)</f>
        <v>#N/A</v>
      </c>
      <c r="D80" s="12">
        <v>45</v>
      </c>
      <c r="E80" s="13"/>
      <c r="F80" s="138">
        <f>IF(G56="Deposits",IF($E$80&lt;&gt;$O$75,"Please complete breakdown in boxes 48-59",""),"")</f>
      </c>
      <c r="G80" s="72"/>
      <c r="H80" s="72"/>
      <c r="I80" s="72"/>
      <c r="J80" s="72"/>
      <c r="K80" s="72"/>
      <c r="L80" s="72"/>
      <c r="M80" s="72"/>
      <c r="N80" s="72"/>
      <c r="O80" s="72"/>
      <c r="P80" s="73"/>
    </row>
    <row r="81" spans="1:16" ht="41.25" customHeight="1">
      <c r="A81" s="77"/>
      <c r="B81" s="72"/>
      <c r="C81" s="72"/>
      <c r="D81" s="72"/>
      <c r="E81" s="72"/>
      <c r="F81" s="72"/>
      <c r="G81" s="189" t="s">
        <v>725</v>
      </c>
      <c r="H81" s="189"/>
      <c r="I81" s="189"/>
      <c r="J81" s="189"/>
      <c r="K81" s="189"/>
      <c r="L81" s="189"/>
      <c r="M81" s="189"/>
      <c r="N81" s="189"/>
      <c r="O81" s="189"/>
      <c r="P81" s="73"/>
    </row>
    <row r="82" spans="1:16" ht="15">
      <c r="A82" s="79" t="s">
        <v>334</v>
      </c>
      <c r="B82" s="72"/>
      <c r="C82" s="72"/>
      <c r="D82" s="72"/>
      <c r="E82" s="72"/>
      <c r="F82" s="72"/>
      <c r="G82" s="72"/>
      <c r="H82" s="72"/>
      <c r="I82" s="72"/>
      <c r="J82" s="72"/>
      <c r="K82" s="72"/>
      <c r="L82" s="72"/>
      <c r="M82" s="72"/>
      <c r="N82" s="72"/>
      <c r="O82" s="72"/>
      <c r="P82" s="73"/>
    </row>
    <row r="83" spans="1:16" ht="15">
      <c r="A83" s="79" t="str">
        <f>CONCATENATE("TRANSACTIONS IN ",LA_info!J2)</f>
        <v>TRANSACTIONS IN JULY 2016</v>
      </c>
      <c r="B83" s="72"/>
      <c r="C83" s="72"/>
      <c r="D83" s="72"/>
      <c r="E83" s="72"/>
      <c r="F83" s="72"/>
      <c r="G83" s="168"/>
      <c r="H83" s="169"/>
      <c r="I83" s="169"/>
      <c r="J83" s="169"/>
      <c r="K83" s="169"/>
      <c r="L83" s="169"/>
      <c r="M83" s="169"/>
      <c r="N83" s="169"/>
      <c r="O83" s="170"/>
      <c r="P83" s="73"/>
    </row>
    <row r="84" spans="1:16" ht="15">
      <c r="A84" s="77"/>
      <c r="B84" s="72"/>
      <c r="C84" s="72"/>
      <c r="D84" s="72"/>
      <c r="E84" s="126" t="s">
        <v>719</v>
      </c>
      <c r="F84" s="72"/>
      <c r="G84" s="171"/>
      <c r="H84" s="172"/>
      <c r="I84" s="172"/>
      <c r="J84" s="172"/>
      <c r="K84" s="172"/>
      <c r="L84" s="172"/>
      <c r="M84" s="172"/>
      <c r="N84" s="172"/>
      <c r="O84" s="173"/>
      <c r="P84" s="73"/>
    </row>
    <row r="85" spans="1:16" ht="15">
      <c r="A85" s="77" t="s">
        <v>335</v>
      </c>
      <c r="B85" s="72"/>
      <c r="C85" s="106" t="e">
        <f>VLOOKUP(LA_info!$E$2,'Underlying Data'!$A$3:$AX$163,49,FALSE)</f>
        <v>#N/A</v>
      </c>
      <c r="D85" s="12">
        <v>46</v>
      </c>
      <c r="E85" s="13"/>
      <c r="F85" s="72"/>
      <c r="G85" s="171"/>
      <c r="H85" s="172"/>
      <c r="I85" s="172"/>
      <c r="J85" s="172"/>
      <c r="K85" s="172"/>
      <c r="L85" s="172"/>
      <c r="M85" s="172"/>
      <c r="N85" s="172"/>
      <c r="O85" s="173"/>
      <c r="P85" s="73"/>
    </row>
    <row r="86" spans="1:18" ht="15">
      <c r="A86" s="77" t="s">
        <v>336</v>
      </c>
      <c r="B86" s="72"/>
      <c r="C86" s="106" t="e">
        <f>VLOOKUP(LA_info!$E$2,'Underlying Data'!$A$3:$AX$163,50,FALSE)</f>
        <v>#N/A</v>
      </c>
      <c r="D86" s="12">
        <v>47</v>
      </c>
      <c r="E86" s="13"/>
      <c r="F86" s="72"/>
      <c r="G86" s="171"/>
      <c r="H86" s="172"/>
      <c r="I86" s="172"/>
      <c r="J86" s="172"/>
      <c r="K86" s="172"/>
      <c r="L86" s="172"/>
      <c r="M86" s="172"/>
      <c r="N86" s="172"/>
      <c r="O86" s="173"/>
      <c r="P86" s="73"/>
      <c r="R86" s="1">
        <f>IF(R87=0,"",IF(ISNUMBER(Validation!I20),1,0))</f>
      </c>
    </row>
    <row r="87" spans="1:18" ht="15">
      <c r="A87" s="77"/>
      <c r="B87" s="72"/>
      <c r="C87" s="85"/>
      <c r="D87" s="86"/>
      <c r="E87" s="87"/>
      <c r="F87" s="72"/>
      <c r="G87" s="174"/>
      <c r="H87" s="175"/>
      <c r="I87" s="175"/>
      <c r="J87" s="175"/>
      <c r="K87" s="175"/>
      <c r="L87" s="175"/>
      <c r="M87" s="175"/>
      <c r="N87" s="175"/>
      <c r="O87" s="176"/>
      <c r="P87" s="73"/>
      <c r="R87" s="110">
        <f>SUM(E80,E85:E86)</f>
        <v>0</v>
      </c>
    </row>
    <row r="88" spans="1:16" ht="15.75" thickBot="1">
      <c r="A88" s="80"/>
      <c r="B88" s="81"/>
      <c r="C88" s="81"/>
      <c r="D88" s="81"/>
      <c r="E88" s="81"/>
      <c r="F88" s="81"/>
      <c r="G88" s="81"/>
      <c r="H88" s="81"/>
      <c r="I88" s="81"/>
      <c r="J88" s="81"/>
      <c r="K88" s="81"/>
      <c r="L88" s="81"/>
      <c r="M88" s="81"/>
      <c r="N88" s="81"/>
      <c r="O88" s="81"/>
      <c r="P88" s="95"/>
    </row>
    <row r="89" spans="1:19" ht="15">
      <c r="A89" s="111"/>
      <c r="B89" s="111"/>
      <c r="C89" s="111"/>
      <c r="D89" s="111"/>
      <c r="E89" s="111"/>
      <c r="F89" s="111"/>
      <c r="G89" s="111"/>
      <c r="H89" s="111"/>
      <c r="I89" s="111"/>
      <c r="J89" s="111"/>
      <c r="K89" s="111"/>
      <c r="L89" s="111"/>
      <c r="M89" s="111"/>
      <c r="N89" s="111"/>
      <c r="O89" s="111"/>
      <c r="P89" s="111"/>
      <c r="Q89" s="111"/>
      <c r="R89" s="111"/>
      <c r="S89" s="111"/>
    </row>
    <row r="90" spans="1:19" ht="15">
      <c r="A90" s="111"/>
      <c r="B90" s="111"/>
      <c r="C90" s="111"/>
      <c r="D90" s="111"/>
      <c r="E90" s="111"/>
      <c r="F90" s="111"/>
      <c r="G90" s="111"/>
      <c r="H90" s="111"/>
      <c r="I90" s="111"/>
      <c r="J90" s="111"/>
      <c r="K90" s="111"/>
      <c r="L90" s="111"/>
      <c r="M90" s="111"/>
      <c r="N90" s="111"/>
      <c r="O90" s="111"/>
      <c r="P90" s="111"/>
      <c r="Q90" s="111"/>
      <c r="R90" s="111"/>
      <c r="S90" s="111"/>
    </row>
    <row r="91" spans="1:19" ht="15">
      <c r="A91" s="111"/>
      <c r="B91" s="111"/>
      <c r="C91" s="111"/>
      <c r="D91" s="111"/>
      <c r="E91" s="111"/>
      <c r="F91" s="111"/>
      <c r="G91" s="111"/>
      <c r="H91" s="111"/>
      <c r="I91" s="111"/>
      <c r="J91" s="111"/>
      <c r="K91" s="111"/>
      <c r="L91" s="111"/>
      <c r="M91" s="111"/>
      <c r="N91" s="111"/>
      <c r="O91" s="111"/>
      <c r="P91" s="111"/>
      <c r="Q91" s="111"/>
      <c r="R91" s="111"/>
      <c r="S91" s="111"/>
    </row>
    <row r="92" spans="1:19" ht="15">
      <c r="A92" s="111"/>
      <c r="B92" s="111"/>
      <c r="C92" s="111"/>
      <c r="D92" s="111"/>
      <c r="E92" s="111"/>
      <c r="F92" s="111"/>
      <c r="G92" s="111"/>
      <c r="H92" s="111"/>
      <c r="I92" s="111"/>
      <c r="J92" s="111"/>
      <c r="K92" s="111"/>
      <c r="L92" s="111"/>
      <c r="M92" s="111"/>
      <c r="N92" s="111"/>
      <c r="O92" s="111"/>
      <c r="P92" s="111"/>
      <c r="Q92" s="111"/>
      <c r="R92" s="111"/>
      <c r="S92" s="111"/>
    </row>
    <row r="93" spans="1:19" ht="15">
      <c r="A93" s="111"/>
      <c r="B93" s="111"/>
      <c r="C93" s="111"/>
      <c r="D93" s="111"/>
      <c r="E93" s="111"/>
      <c r="F93" s="111"/>
      <c r="G93" s="111"/>
      <c r="H93" s="111"/>
      <c r="I93" s="111"/>
      <c r="J93" s="111"/>
      <c r="K93" s="111"/>
      <c r="L93" s="111"/>
      <c r="M93" s="111"/>
      <c r="N93" s="111"/>
      <c r="O93" s="111"/>
      <c r="P93" s="111"/>
      <c r="Q93" s="111"/>
      <c r="R93" s="111"/>
      <c r="S93" s="111"/>
    </row>
    <row r="94" spans="1:19" ht="15">
      <c r="A94" s="111"/>
      <c r="B94" s="111"/>
      <c r="C94" s="111"/>
      <c r="D94" s="111"/>
      <c r="E94" s="111"/>
      <c r="F94" s="111"/>
      <c r="G94" s="111"/>
      <c r="H94" s="111"/>
      <c r="I94" s="111"/>
      <c r="J94" s="111"/>
      <c r="K94" s="111"/>
      <c r="L94" s="111"/>
      <c r="M94" s="111"/>
      <c r="N94" s="111"/>
      <c r="O94" s="111"/>
      <c r="P94" s="111"/>
      <c r="Q94" s="111"/>
      <c r="R94" s="111"/>
      <c r="S94" s="111"/>
    </row>
    <row r="95" spans="1:19" ht="15">
      <c r="A95" s="111"/>
      <c r="B95" s="111"/>
      <c r="C95" s="111"/>
      <c r="D95" s="111"/>
      <c r="E95" s="111"/>
      <c r="F95" s="111"/>
      <c r="G95" s="111"/>
      <c r="H95" s="111"/>
      <c r="I95" s="111"/>
      <c r="J95" s="111"/>
      <c r="K95" s="111"/>
      <c r="L95" s="111"/>
      <c r="M95" s="111"/>
      <c r="N95" s="111"/>
      <c r="O95" s="111"/>
      <c r="P95" s="111"/>
      <c r="Q95" s="111"/>
      <c r="R95" s="111"/>
      <c r="S95" s="111"/>
    </row>
    <row r="96" spans="1:19" ht="15">
      <c r="A96" s="111"/>
      <c r="B96" s="111"/>
      <c r="C96" s="111"/>
      <c r="D96" s="111"/>
      <c r="E96" s="111"/>
      <c r="F96" s="111"/>
      <c r="G96" s="111"/>
      <c r="H96" s="111"/>
      <c r="I96" s="111"/>
      <c r="J96" s="111"/>
      <c r="K96" s="111"/>
      <c r="L96" s="111"/>
      <c r="M96" s="111"/>
      <c r="N96" s="111"/>
      <c r="O96" s="111"/>
      <c r="P96" s="111"/>
      <c r="Q96" s="111"/>
      <c r="R96" s="111"/>
      <c r="S96" s="111"/>
    </row>
    <row r="97" spans="1:19" ht="15">
      <c r="A97" s="111"/>
      <c r="B97" s="111"/>
      <c r="C97" s="111"/>
      <c r="D97" s="111"/>
      <c r="E97" s="111"/>
      <c r="F97" s="111"/>
      <c r="G97" s="111"/>
      <c r="H97" s="111"/>
      <c r="I97" s="111"/>
      <c r="J97" s="111"/>
      <c r="K97" s="111"/>
      <c r="L97" s="111"/>
      <c r="M97" s="111"/>
      <c r="N97" s="111"/>
      <c r="O97" s="111"/>
      <c r="P97" s="111"/>
      <c r="Q97" s="111"/>
      <c r="R97" s="111"/>
      <c r="S97" s="111"/>
    </row>
    <row r="98" spans="1:19" ht="15">
      <c r="A98" s="111"/>
      <c r="B98" s="111"/>
      <c r="C98" s="111"/>
      <c r="D98" s="111"/>
      <c r="E98" s="111"/>
      <c r="F98" s="111"/>
      <c r="G98" s="111"/>
      <c r="H98" s="111"/>
      <c r="I98" s="111"/>
      <c r="J98" s="111"/>
      <c r="K98" s="111"/>
      <c r="L98" s="111"/>
      <c r="M98" s="111"/>
      <c r="N98" s="111"/>
      <c r="O98" s="111"/>
      <c r="P98" s="111"/>
      <c r="Q98" s="111"/>
      <c r="R98" s="111"/>
      <c r="S98" s="111"/>
    </row>
    <row r="99" spans="1:19" ht="15">
      <c r="A99" s="111"/>
      <c r="B99" s="111"/>
      <c r="C99" s="111"/>
      <c r="D99" s="111"/>
      <c r="E99" s="111"/>
      <c r="F99" s="111"/>
      <c r="G99" s="111"/>
      <c r="H99" s="111"/>
      <c r="I99" s="111"/>
      <c r="J99" s="111"/>
      <c r="K99" s="111"/>
      <c r="L99" s="111"/>
      <c r="M99" s="111"/>
      <c r="N99" s="111"/>
      <c r="O99" s="111"/>
      <c r="P99" s="111"/>
      <c r="Q99" s="111"/>
      <c r="R99" s="111"/>
      <c r="S99" s="111"/>
    </row>
    <row r="100" spans="1:19" ht="15">
      <c r="A100" s="111"/>
      <c r="B100" s="111"/>
      <c r="C100" s="111"/>
      <c r="D100" s="111"/>
      <c r="E100" s="111"/>
      <c r="F100" s="111"/>
      <c r="G100" s="111"/>
      <c r="H100" s="111"/>
      <c r="I100" s="111"/>
      <c r="J100" s="111"/>
      <c r="K100" s="111"/>
      <c r="L100" s="111"/>
      <c r="M100" s="111"/>
      <c r="N100" s="111"/>
      <c r="O100" s="111"/>
      <c r="P100" s="111"/>
      <c r="Q100" s="111"/>
      <c r="R100" s="111"/>
      <c r="S100" s="111"/>
    </row>
    <row r="101" spans="1:19" ht="15">
      <c r="A101" s="111"/>
      <c r="B101" s="111"/>
      <c r="C101" s="111"/>
      <c r="D101" s="111"/>
      <c r="E101" s="111"/>
      <c r="F101" s="111"/>
      <c r="G101" s="111"/>
      <c r="H101" s="111"/>
      <c r="I101" s="111"/>
      <c r="J101" s="111"/>
      <c r="K101" s="111"/>
      <c r="L101" s="111"/>
      <c r="M101" s="111"/>
      <c r="N101" s="111"/>
      <c r="O101" s="111"/>
      <c r="P101" s="111"/>
      <c r="Q101" s="111"/>
      <c r="R101" s="111"/>
      <c r="S101" s="111"/>
    </row>
    <row r="102" spans="1:19" ht="15">
      <c r="A102" s="111"/>
      <c r="B102" s="111"/>
      <c r="C102" s="111"/>
      <c r="D102" s="111"/>
      <c r="E102" s="111"/>
      <c r="F102" s="111"/>
      <c r="G102" s="111"/>
      <c r="H102" s="111"/>
      <c r="I102" s="111"/>
      <c r="J102" s="111"/>
      <c r="K102" s="111"/>
      <c r="L102" s="111"/>
      <c r="M102" s="111"/>
      <c r="N102" s="111"/>
      <c r="O102" s="111"/>
      <c r="P102" s="111"/>
      <c r="Q102" s="111"/>
      <c r="R102" s="111"/>
      <c r="S102" s="111"/>
    </row>
    <row r="103" spans="1:19" ht="15">
      <c r="A103" s="111"/>
      <c r="B103" s="111"/>
      <c r="C103" s="111"/>
      <c r="D103" s="111"/>
      <c r="E103" s="111"/>
      <c r="F103" s="111"/>
      <c r="G103" s="111"/>
      <c r="H103" s="111"/>
      <c r="I103" s="111"/>
      <c r="J103" s="111"/>
      <c r="K103" s="111"/>
      <c r="L103" s="111"/>
      <c r="M103" s="111"/>
      <c r="N103" s="111"/>
      <c r="O103" s="111"/>
      <c r="P103" s="111"/>
      <c r="Q103" s="111"/>
      <c r="R103" s="111"/>
      <c r="S103" s="111"/>
    </row>
    <row r="104" spans="1:19" ht="15">
      <c r="A104" s="111"/>
      <c r="B104" s="111"/>
      <c r="C104" s="111"/>
      <c r="D104" s="111"/>
      <c r="E104" s="111"/>
      <c r="F104" s="111"/>
      <c r="G104" s="111"/>
      <c r="H104" s="111"/>
      <c r="I104" s="111"/>
      <c r="J104" s="111"/>
      <c r="K104" s="111"/>
      <c r="L104" s="111"/>
      <c r="M104" s="111"/>
      <c r="N104" s="111"/>
      <c r="O104" s="111"/>
      <c r="P104" s="111"/>
      <c r="Q104" s="111"/>
      <c r="R104" s="111"/>
      <c r="S104" s="111"/>
    </row>
    <row r="105" spans="1:19" ht="15">
      <c r="A105" s="111"/>
      <c r="B105" s="111"/>
      <c r="C105" s="111"/>
      <c r="D105" s="111"/>
      <c r="E105" s="111"/>
      <c r="F105" s="111"/>
      <c r="G105" s="111"/>
      <c r="H105" s="111"/>
      <c r="I105" s="111"/>
      <c r="J105" s="111"/>
      <c r="K105" s="111"/>
      <c r="L105" s="111"/>
      <c r="M105" s="111"/>
      <c r="N105" s="111"/>
      <c r="O105" s="111"/>
      <c r="P105" s="111"/>
      <c r="Q105" s="111"/>
      <c r="R105" s="111"/>
      <c r="S105" s="111"/>
    </row>
    <row r="106" spans="1:19" ht="15">
      <c r="A106" s="111"/>
      <c r="B106" s="111"/>
      <c r="C106" s="111"/>
      <c r="D106" s="111"/>
      <c r="E106" s="111"/>
      <c r="F106" s="111"/>
      <c r="G106" s="111"/>
      <c r="H106" s="111"/>
      <c r="I106" s="111"/>
      <c r="J106" s="111"/>
      <c r="K106" s="111"/>
      <c r="L106" s="111"/>
      <c r="M106" s="111"/>
      <c r="N106" s="111"/>
      <c r="O106" s="111"/>
      <c r="P106" s="111"/>
      <c r="Q106" s="111"/>
      <c r="R106" s="111"/>
      <c r="S106" s="111"/>
    </row>
    <row r="107" spans="1:19" ht="15">
      <c r="A107" s="111"/>
      <c r="B107" s="111"/>
      <c r="C107" s="111"/>
      <c r="D107" s="111"/>
      <c r="E107" s="111"/>
      <c r="F107" s="111"/>
      <c r="G107" s="111"/>
      <c r="H107" s="111"/>
      <c r="I107" s="111"/>
      <c r="J107" s="111"/>
      <c r="K107" s="111"/>
      <c r="L107" s="111"/>
      <c r="M107" s="111"/>
      <c r="N107" s="111"/>
      <c r="O107" s="111"/>
      <c r="P107" s="111"/>
      <c r="Q107" s="111"/>
      <c r="R107" s="111"/>
      <c r="S107" s="111"/>
    </row>
    <row r="108" spans="1:19" ht="15">
      <c r="A108" s="111"/>
      <c r="B108" s="111"/>
      <c r="C108" s="111"/>
      <c r="D108" s="111"/>
      <c r="E108" s="111"/>
      <c r="F108" s="111"/>
      <c r="G108" s="111"/>
      <c r="H108" s="111"/>
      <c r="I108" s="111"/>
      <c r="J108" s="111"/>
      <c r="K108" s="111"/>
      <c r="L108" s="111"/>
      <c r="M108" s="111"/>
      <c r="N108" s="111"/>
      <c r="O108" s="111"/>
      <c r="P108" s="111"/>
      <c r="Q108" s="111"/>
      <c r="R108" s="111"/>
      <c r="S108" s="111"/>
    </row>
    <row r="109" spans="1:19" ht="15">
      <c r="A109" s="111"/>
      <c r="B109" s="111"/>
      <c r="C109" s="111"/>
      <c r="D109" s="111"/>
      <c r="E109" s="111"/>
      <c r="F109" s="111"/>
      <c r="G109" s="111"/>
      <c r="H109" s="111"/>
      <c r="I109" s="111"/>
      <c r="J109" s="111"/>
      <c r="K109" s="111"/>
      <c r="L109" s="111"/>
      <c r="M109" s="111"/>
      <c r="N109" s="111"/>
      <c r="O109" s="111"/>
      <c r="P109" s="111"/>
      <c r="Q109" s="111"/>
      <c r="R109" s="111"/>
      <c r="S109" s="111"/>
    </row>
    <row r="110" spans="1:19" ht="15">
      <c r="A110" s="111"/>
      <c r="B110" s="111"/>
      <c r="C110" s="111"/>
      <c r="D110" s="111"/>
      <c r="E110" s="111"/>
      <c r="F110" s="111"/>
      <c r="G110" s="111"/>
      <c r="H110" s="111"/>
      <c r="I110" s="111"/>
      <c r="J110" s="111"/>
      <c r="K110" s="111"/>
      <c r="L110" s="111"/>
      <c r="M110" s="111"/>
      <c r="N110" s="111"/>
      <c r="O110" s="111"/>
      <c r="P110" s="111"/>
      <c r="Q110" s="111"/>
      <c r="R110" s="111"/>
      <c r="S110" s="111"/>
    </row>
    <row r="111" spans="1:19" ht="15">
      <c r="A111" s="111"/>
      <c r="B111" s="111"/>
      <c r="C111" s="111"/>
      <c r="D111" s="111"/>
      <c r="E111" s="111"/>
      <c r="F111" s="111"/>
      <c r="G111" s="111"/>
      <c r="H111" s="111"/>
      <c r="I111" s="111"/>
      <c r="J111" s="111"/>
      <c r="K111" s="111"/>
      <c r="L111" s="111"/>
      <c r="M111" s="111"/>
      <c r="N111" s="111"/>
      <c r="O111" s="111"/>
      <c r="P111" s="111"/>
      <c r="Q111" s="111"/>
      <c r="R111" s="111"/>
      <c r="S111" s="111"/>
    </row>
    <row r="112" spans="1:19" ht="15">
      <c r="A112" s="111"/>
      <c r="B112" s="111"/>
      <c r="C112" s="111"/>
      <c r="D112" s="111"/>
      <c r="E112" s="111"/>
      <c r="F112" s="111"/>
      <c r="G112" s="111"/>
      <c r="H112" s="111"/>
      <c r="I112" s="111"/>
      <c r="J112" s="111"/>
      <c r="K112" s="111"/>
      <c r="L112" s="111"/>
      <c r="M112" s="111"/>
      <c r="N112" s="111"/>
      <c r="O112" s="111"/>
      <c r="P112" s="111"/>
      <c r="Q112" s="111"/>
      <c r="R112" s="111"/>
      <c r="S112" s="111"/>
    </row>
    <row r="113" spans="1:19" ht="15">
      <c r="A113" s="111"/>
      <c r="B113" s="111"/>
      <c r="C113" s="111"/>
      <c r="D113" s="111"/>
      <c r="E113" s="111"/>
      <c r="F113" s="111"/>
      <c r="G113" s="111"/>
      <c r="H113" s="111"/>
      <c r="I113" s="111"/>
      <c r="J113" s="111"/>
      <c r="K113" s="111"/>
      <c r="L113" s="111"/>
      <c r="M113" s="111"/>
      <c r="N113" s="111"/>
      <c r="O113" s="111"/>
      <c r="P113" s="111"/>
      <c r="Q113" s="111"/>
      <c r="R113" s="111"/>
      <c r="S113" s="111"/>
    </row>
    <row r="114" s="140" customFormat="1" ht="15"/>
    <row r="115" spans="1:8" s="111" customFormat="1" ht="15">
      <c r="A115" s="111" t="e">
        <f>LA_info!E2</f>
        <v>#N/A</v>
      </c>
      <c r="B115" s="111" t="e">
        <f>LA_info!D2</f>
        <v>#N/A</v>
      </c>
      <c r="D115" s="111" t="str">
        <f>LA_info!J2</f>
        <v>JULY 2016</v>
      </c>
      <c r="E115" s="141">
        <f ca="1">TODAY()</f>
        <v>42586</v>
      </c>
      <c r="F115" s="111">
        <f>G14</f>
        <v>0</v>
      </c>
      <c r="G115" s="111">
        <f>G15</f>
        <v>0</v>
      </c>
      <c r="H115" s="111">
        <f>G16</f>
        <v>0</v>
      </c>
    </row>
    <row r="116" s="111" customFormat="1" ht="15"/>
    <row r="117" s="111" customFormat="1" ht="15"/>
    <row r="118" s="111" customFormat="1" ht="15.75">
      <c r="A118" s="142" t="s">
        <v>389</v>
      </c>
    </row>
    <row r="119" s="111" customFormat="1" ht="15">
      <c r="A119" s="111" t="e">
        <f>CONCATENATE("000",LA_info!$E$2,LA_info!$I$2,"XX",",",LA_info!$B$3,",",LA_info!$B$4,",",LA_info!$B$5,",",LA_info!$B$6,",",LA_info!$B$7,",",LA_info!$B$8,",",LA_info!$B$9,",",LA_info!$B$10,",",LA_info!$B$11,",",LA_info!$B$12,",")</f>
        <v>#N/A</v>
      </c>
    </row>
    <row r="120" s="111" customFormat="1" ht="15">
      <c r="A120" s="111" t="e">
        <f>CONCATENATE("000",LA_info!$E$2,LA_info!$I$2,"XX",",",LA_info!$B$13,",",LA_info!$B$14,",",LA_info!$B$15,",",LA_info!$B$16,",",LA_info!$B$17,",",LA_info!$B$18,",",LA_info!$B$19,",",LA_info!$B$20,",",LA_info!$B$21,",",LA_info!$B$22,",")</f>
        <v>#N/A</v>
      </c>
    </row>
    <row r="121" s="111" customFormat="1" ht="15">
      <c r="A121" s="111" t="e">
        <f>CONCATENATE("000",LA_info!$E$2,LA_info!$I$2,"XX",",",LA_info!$B$23,",",LA_info!$B$24,",",LA_info!$B$25,",",LA_info!$B$26,",",LA_info!$B$27,",",LA_info!$B$28,",",LA_info!$B$29,",",LA_info!$B$30,",",LA_info!$B$31,",",LA_info!$B$32,",")</f>
        <v>#N/A</v>
      </c>
    </row>
    <row r="122" s="111" customFormat="1" ht="15">
      <c r="A122" s="111" t="e">
        <f>CONCATENATE("000",LA_info!E$2,LA_info!I$2,"XX",",",LA_info!$B$33,",",LA_info!$B$34,",",LA_info!$B$35,",",LA_info!$B$36,",",LA_info!$B$37,",",LA_info!$B$38,",",LA_info!$B$39,",",LA_info!$B$40,",",LA_info!$B$41,",",LA_info!$B$42,",")</f>
        <v>#N/A</v>
      </c>
    </row>
    <row r="123" s="111" customFormat="1" ht="15">
      <c r="A123" s="111" t="e">
        <f>CONCATENATE("000",LA_info!$E$2,LA_info!$I$2,"XX",",",LA_info!$B$43,",",LA_info!$B$44,",",LA_info!$B$45,",",LA_info!$B$46,",",LA_info!$B$47,",",LA_info!$B$48,",",LA_info!$B$49,",",LA_info!$B$50,",",LA_info!$B$51,",",LA_info!$B$52,",")</f>
        <v>#N/A</v>
      </c>
    </row>
    <row r="124" s="111" customFormat="1" ht="15">
      <c r="A124" s="111" t="e">
        <f>CONCATENATE("000",LA_info!$E$2,LA_info!$I$2,"XX",",",LA_info!$B$53,",",LA_info!$B$54,",",LA_info!$B$55,",",LA_info!$B$56,",",LA_info!$B$57,",",,LA_info!$B$58,",",LA_info!$B$59,",",LA_info!$B$60,",",LA_info!$B$61,",",LA_info!$B$62,",")</f>
        <v>#N/A</v>
      </c>
    </row>
    <row r="125" s="111" customFormat="1" ht="15"/>
    <row r="126" s="111" customFormat="1" ht="15"/>
    <row r="127" s="111" customFormat="1" ht="15"/>
    <row r="128" s="111" customFormat="1" ht="15.75">
      <c r="A128" s="142" t="s">
        <v>390</v>
      </c>
    </row>
    <row r="129" s="111" customFormat="1" ht="15">
      <c r="A129" s="111" t="e">
        <f>A119</f>
        <v>#N/A</v>
      </c>
    </row>
    <row r="130" s="111" customFormat="1" ht="15">
      <c r="A130" s="111" t="e">
        <f>A120</f>
        <v>#N/A</v>
      </c>
    </row>
    <row r="131" s="111" customFormat="1" ht="15">
      <c r="A131" s="111" t="e">
        <f>A121</f>
        <v>#N/A</v>
      </c>
    </row>
    <row r="132" s="111" customFormat="1" ht="15">
      <c r="A132" s="111" t="e">
        <f>A122</f>
        <v>#N/A</v>
      </c>
    </row>
    <row r="133" s="111" customFormat="1" ht="15">
      <c r="A133" s="111" t="e">
        <f>CONCATENATE("000",LA_info!$E$2,LA_info!$I$2,"XX",",",LA_info!$B$43,",",LA_info!$B$44,",",LA_info!$B$45,",",LA_info!$B$46,",",LA_info!$B$47,",",LA_info!$B$48,",",LA_info!$B$49,",")</f>
        <v>#N/A</v>
      </c>
    </row>
    <row r="134" s="111" customFormat="1" ht="15"/>
    <row r="135" s="111" customFormat="1" ht="15">
      <c r="A135" s="111" t="e">
        <f>LA_info!D2</f>
        <v>#N/A</v>
      </c>
    </row>
    <row r="136" s="111" customFormat="1" ht="15">
      <c r="A136" s="111" t="str">
        <f>LA_info!J2</f>
        <v>JULY 2016</v>
      </c>
    </row>
    <row r="137" s="111" customFormat="1" ht="15"/>
    <row r="138" s="111" customFormat="1" ht="15"/>
    <row r="139" s="111" customFormat="1" ht="15"/>
    <row r="140" spans="1:16" s="111" customFormat="1" ht="15">
      <c r="A140" s="111">
        <v>1</v>
      </c>
      <c r="B140" s="143" t="s">
        <v>726</v>
      </c>
      <c r="L140" s="111" t="str">
        <f>VLOOKUP(K8,E141:K152,7,FALSE)</f>
        <v>JULY 2016</v>
      </c>
      <c r="O140" s="111" t="str">
        <f>VLOOKUP(K8,E141:N152,10,FALSE)</f>
        <v>Friday 5 August 2016</v>
      </c>
      <c r="P140" s="111" t="str">
        <f>VLOOKUP(L140,L141:P152,5,FALSE)</f>
        <v>Q</v>
      </c>
    </row>
    <row r="141" spans="1:16" s="111" customFormat="1" ht="15">
      <c r="A141" s="111">
        <v>2</v>
      </c>
      <c r="B141" s="144" t="s">
        <v>116</v>
      </c>
      <c r="C141" s="144" t="s">
        <v>393</v>
      </c>
      <c r="E141" s="145" t="s">
        <v>750</v>
      </c>
      <c r="J141" s="146" t="s">
        <v>762</v>
      </c>
      <c r="K141" s="145" t="s">
        <v>774</v>
      </c>
      <c r="L141" s="145" t="s">
        <v>785</v>
      </c>
      <c r="M141" s="147">
        <v>4</v>
      </c>
      <c r="N141" s="145" t="s">
        <v>786</v>
      </c>
      <c r="P141" s="111" t="s">
        <v>737</v>
      </c>
    </row>
    <row r="142" spans="1:16" s="111" customFormat="1" ht="15">
      <c r="A142" s="111">
        <v>3</v>
      </c>
      <c r="B142" s="144" t="s">
        <v>117</v>
      </c>
      <c r="C142" s="144" t="s">
        <v>394</v>
      </c>
      <c r="E142" s="145" t="s">
        <v>751</v>
      </c>
      <c r="J142" s="146" t="s">
        <v>763</v>
      </c>
      <c r="K142" s="145" t="s">
        <v>775</v>
      </c>
      <c r="L142" s="145" t="s">
        <v>774</v>
      </c>
      <c r="M142" s="147">
        <v>5</v>
      </c>
      <c r="N142" s="145" t="s">
        <v>787</v>
      </c>
      <c r="P142" s="111" t="s">
        <v>738</v>
      </c>
    </row>
    <row r="143" spans="1:16" s="111" customFormat="1" ht="15">
      <c r="A143" s="111">
        <v>4</v>
      </c>
      <c r="B143" s="144" t="s">
        <v>391</v>
      </c>
      <c r="C143" s="144" t="s">
        <v>707</v>
      </c>
      <c r="E143" s="145" t="s">
        <v>752</v>
      </c>
      <c r="J143" s="146" t="s">
        <v>764</v>
      </c>
      <c r="K143" s="145" t="s">
        <v>776</v>
      </c>
      <c r="L143" s="145" t="s">
        <v>775</v>
      </c>
      <c r="M143" s="147">
        <v>6</v>
      </c>
      <c r="N143" s="145" t="s">
        <v>788</v>
      </c>
      <c r="P143" s="111" t="s">
        <v>737</v>
      </c>
    </row>
    <row r="144" spans="1:16" s="111" customFormat="1" ht="15">
      <c r="A144" s="111">
        <v>5</v>
      </c>
      <c r="B144" s="144" t="s">
        <v>716</v>
      </c>
      <c r="C144" s="144" t="s">
        <v>708</v>
      </c>
      <c r="E144" s="148" t="s">
        <v>753</v>
      </c>
      <c r="J144" s="146" t="s">
        <v>765</v>
      </c>
      <c r="K144" s="145" t="s">
        <v>777</v>
      </c>
      <c r="L144" s="145" t="s">
        <v>776</v>
      </c>
      <c r="M144" s="147">
        <v>7</v>
      </c>
      <c r="N144" s="145" t="s">
        <v>789</v>
      </c>
      <c r="P144" s="111" t="s">
        <v>737</v>
      </c>
    </row>
    <row r="145" spans="1:16" s="111" customFormat="1" ht="15">
      <c r="A145" s="111">
        <v>6</v>
      </c>
      <c r="B145" s="144" t="s">
        <v>118</v>
      </c>
      <c r="C145" s="144" t="s">
        <v>395</v>
      </c>
      <c r="E145" s="145" t="s">
        <v>754</v>
      </c>
      <c r="J145" s="146" t="s">
        <v>766</v>
      </c>
      <c r="K145" s="145" t="s">
        <v>778</v>
      </c>
      <c r="L145" s="145" t="s">
        <v>777</v>
      </c>
      <c r="M145" s="147">
        <v>8</v>
      </c>
      <c r="N145" s="145" t="s">
        <v>790</v>
      </c>
      <c r="P145" s="111" t="s">
        <v>738</v>
      </c>
    </row>
    <row r="146" spans="1:16" s="111" customFormat="1" ht="15">
      <c r="A146" s="111">
        <v>7</v>
      </c>
      <c r="B146" s="144" t="s">
        <v>119</v>
      </c>
      <c r="C146" s="144" t="s">
        <v>396</v>
      </c>
      <c r="E146" s="145" t="s">
        <v>755</v>
      </c>
      <c r="J146" s="146" t="s">
        <v>767</v>
      </c>
      <c r="K146" s="145" t="s">
        <v>779</v>
      </c>
      <c r="L146" s="145" t="s">
        <v>778</v>
      </c>
      <c r="M146" s="147">
        <v>9</v>
      </c>
      <c r="N146" s="145" t="s">
        <v>791</v>
      </c>
      <c r="P146" s="111" t="s">
        <v>737</v>
      </c>
    </row>
    <row r="147" spans="1:16" s="111" customFormat="1" ht="15">
      <c r="A147" s="111">
        <v>8</v>
      </c>
      <c r="B147" s="144" t="s">
        <v>120</v>
      </c>
      <c r="C147" s="144" t="s">
        <v>709</v>
      </c>
      <c r="E147" s="148" t="s">
        <v>756</v>
      </c>
      <c r="J147" s="146" t="s">
        <v>768</v>
      </c>
      <c r="K147" s="145" t="s">
        <v>780</v>
      </c>
      <c r="L147" s="145" t="s">
        <v>779</v>
      </c>
      <c r="M147" s="147">
        <v>10</v>
      </c>
      <c r="N147" s="145" t="s">
        <v>792</v>
      </c>
      <c r="P147" s="111" t="s">
        <v>737</v>
      </c>
    </row>
    <row r="148" spans="1:16" s="111" customFormat="1" ht="15">
      <c r="A148" s="111">
        <v>9</v>
      </c>
      <c r="B148" s="144" t="s">
        <v>121</v>
      </c>
      <c r="C148" s="144" t="s">
        <v>398</v>
      </c>
      <c r="E148" s="145" t="s">
        <v>757</v>
      </c>
      <c r="J148" s="146" t="s">
        <v>769</v>
      </c>
      <c r="K148" s="145" t="s">
        <v>781</v>
      </c>
      <c r="L148" s="145" t="s">
        <v>780</v>
      </c>
      <c r="M148" s="147">
        <v>11</v>
      </c>
      <c r="N148" s="145" t="s">
        <v>793</v>
      </c>
      <c r="P148" s="111" t="s">
        <v>738</v>
      </c>
    </row>
    <row r="149" spans="1:16" s="111" customFormat="1" ht="15">
      <c r="A149" s="111">
        <v>10</v>
      </c>
      <c r="B149" s="144" t="s">
        <v>122</v>
      </c>
      <c r="C149" s="144" t="s">
        <v>399</v>
      </c>
      <c r="E149" s="149" t="s">
        <v>758</v>
      </c>
      <c r="J149" s="146" t="s">
        <v>770</v>
      </c>
      <c r="K149" s="145" t="s">
        <v>782</v>
      </c>
      <c r="L149" s="145" t="s">
        <v>781</v>
      </c>
      <c r="M149" s="147">
        <v>12</v>
      </c>
      <c r="N149" s="145" t="s">
        <v>794</v>
      </c>
      <c r="P149" s="111" t="s">
        <v>737</v>
      </c>
    </row>
    <row r="150" spans="1:16" s="111" customFormat="1" ht="15">
      <c r="A150" s="111">
        <v>11</v>
      </c>
      <c r="B150" s="144" t="s">
        <v>123</v>
      </c>
      <c r="C150" s="144" t="s">
        <v>400</v>
      </c>
      <c r="E150" s="148" t="s">
        <v>759</v>
      </c>
      <c r="J150" s="146" t="s">
        <v>771</v>
      </c>
      <c r="K150" s="145" t="s">
        <v>783</v>
      </c>
      <c r="L150" s="145" t="s">
        <v>782</v>
      </c>
      <c r="M150" s="147">
        <v>13</v>
      </c>
      <c r="N150" s="150" t="s">
        <v>795</v>
      </c>
      <c r="P150" s="111" t="s">
        <v>737</v>
      </c>
    </row>
    <row r="151" spans="1:16" s="111" customFormat="1" ht="15">
      <c r="A151" s="111">
        <v>12</v>
      </c>
      <c r="B151" s="144" t="s">
        <v>124</v>
      </c>
      <c r="C151" s="144" t="s">
        <v>401</v>
      </c>
      <c r="E151" s="149" t="s">
        <v>760</v>
      </c>
      <c r="J151" s="146" t="s">
        <v>772</v>
      </c>
      <c r="K151" s="145" t="s">
        <v>784</v>
      </c>
      <c r="L151" s="145" t="s">
        <v>783</v>
      </c>
      <c r="M151" s="147">
        <v>2</v>
      </c>
      <c r="N151" s="145" t="s">
        <v>796</v>
      </c>
      <c r="P151" s="111" t="s">
        <v>738</v>
      </c>
    </row>
    <row r="152" spans="1:16" s="111" customFormat="1" ht="15">
      <c r="A152" s="111">
        <v>13</v>
      </c>
      <c r="B152" s="144" t="s">
        <v>125</v>
      </c>
      <c r="C152" s="144" t="s">
        <v>402</v>
      </c>
      <c r="E152" s="145" t="s">
        <v>761</v>
      </c>
      <c r="J152" s="146" t="s">
        <v>773</v>
      </c>
      <c r="K152" s="145" t="s">
        <v>785</v>
      </c>
      <c r="L152" s="145" t="s">
        <v>784</v>
      </c>
      <c r="M152" s="147">
        <v>3</v>
      </c>
      <c r="N152" s="145" t="s">
        <v>797</v>
      </c>
      <c r="P152" s="111" t="s">
        <v>737</v>
      </c>
    </row>
    <row r="153" spans="1:3" s="111" customFormat="1" ht="15">
      <c r="A153" s="111">
        <v>14</v>
      </c>
      <c r="B153" s="144" t="s">
        <v>126</v>
      </c>
      <c r="C153" s="144" t="s">
        <v>403</v>
      </c>
    </row>
    <row r="154" spans="1:3" s="111" customFormat="1" ht="15">
      <c r="A154" s="111">
        <v>15</v>
      </c>
      <c r="B154" s="144" t="s">
        <v>127</v>
      </c>
      <c r="C154" s="144" t="s">
        <v>404</v>
      </c>
    </row>
    <row r="155" spans="1:3" s="111" customFormat="1" ht="15">
      <c r="A155" s="111">
        <v>16</v>
      </c>
      <c r="B155" s="144" t="s">
        <v>128</v>
      </c>
      <c r="C155" s="144" t="s">
        <v>405</v>
      </c>
    </row>
    <row r="156" spans="1:3" s="111" customFormat="1" ht="15">
      <c r="A156" s="111">
        <v>17</v>
      </c>
      <c r="B156" s="144" t="s">
        <v>129</v>
      </c>
      <c r="C156" s="144" t="s">
        <v>406</v>
      </c>
    </row>
    <row r="157" spans="1:3" s="111" customFormat="1" ht="15">
      <c r="A157" s="111">
        <v>18</v>
      </c>
      <c r="B157" s="144" t="s">
        <v>130</v>
      </c>
      <c r="C157" s="144" t="s">
        <v>407</v>
      </c>
    </row>
    <row r="158" spans="1:3" s="111" customFormat="1" ht="15">
      <c r="A158" s="111">
        <v>19</v>
      </c>
      <c r="B158" s="144" t="s">
        <v>131</v>
      </c>
      <c r="C158" s="144" t="s">
        <v>408</v>
      </c>
    </row>
    <row r="159" spans="1:3" s="111" customFormat="1" ht="15">
      <c r="A159" s="111">
        <v>20</v>
      </c>
      <c r="B159" s="144" t="s">
        <v>132</v>
      </c>
      <c r="C159" s="144" t="s">
        <v>409</v>
      </c>
    </row>
    <row r="160" spans="1:3" s="111" customFormat="1" ht="15">
      <c r="A160" s="111">
        <v>21</v>
      </c>
      <c r="B160" s="144" t="s">
        <v>133</v>
      </c>
      <c r="C160" s="144" t="s">
        <v>410</v>
      </c>
    </row>
    <row r="161" spans="1:3" s="111" customFormat="1" ht="15">
      <c r="A161" s="111">
        <v>22</v>
      </c>
      <c r="B161" s="144" t="s">
        <v>134</v>
      </c>
      <c r="C161" s="144" t="s">
        <v>411</v>
      </c>
    </row>
    <row r="162" spans="1:3" s="111" customFormat="1" ht="15">
      <c r="A162" s="111">
        <v>23</v>
      </c>
      <c r="B162" s="144" t="s">
        <v>135</v>
      </c>
      <c r="C162" s="144" t="s">
        <v>412</v>
      </c>
    </row>
    <row r="163" spans="1:3" s="111" customFormat="1" ht="15">
      <c r="A163" s="111">
        <v>24</v>
      </c>
      <c r="B163" s="144" t="s">
        <v>136</v>
      </c>
      <c r="C163" s="144" t="s">
        <v>413</v>
      </c>
    </row>
    <row r="164" spans="1:3" s="111" customFormat="1" ht="15">
      <c r="A164" s="111">
        <v>25</v>
      </c>
      <c r="B164" s="144" t="s">
        <v>137</v>
      </c>
      <c r="C164" s="144" t="s">
        <v>414</v>
      </c>
    </row>
    <row r="165" spans="1:3" s="111" customFormat="1" ht="15">
      <c r="A165" s="111">
        <v>26</v>
      </c>
      <c r="B165" s="144" t="s">
        <v>138</v>
      </c>
      <c r="C165" s="144" t="s">
        <v>415</v>
      </c>
    </row>
    <row r="166" spans="1:3" s="111" customFormat="1" ht="15">
      <c r="A166" s="111">
        <v>27</v>
      </c>
      <c r="B166" s="144" t="s">
        <v>139</v>
      </c>
      <c r="C166" s="144" t="s">
        <v>416</v>
      </c>
    </row>
    <row r="167" spans="1:3" s="111" customFormat="1" ht="15">
      <c r="A167" s="111">
        <v>28</v>
      </c>
      <c r="B167" s="144" t="s">
        <v>140</v>
      </c>
      <c r="C167" s="144" t="s">
        <v>417</v>
      </c>
    </row>
    <row r="168" spans="1:3" s="111" customFormat="1" ht="15">
      <c r="A168" s="111">
        <v>29</v>
      </c>
      <c r="B168" s="144" t="s">
        <v>141</v>
      </c>
      <c r="C168" s="144" t="s">
        <v>418</v>
      </c>
    </row>
    <row r="169" spans="1:3" s="111" customFormat="1" ht="15">
      <c r="A169" s="111">
        <v>30</v>
      </c>
      <c r="B169" s="144" t="s">
        <v>142</v>
      </c>
      <c r="C169" s="144" t="s">
        <v>419</v>
      </c>
    </row>
    <row r="170" spans="1:3" s="111" customFormat="1" ht="15">
      <c r="A170" s="111">
        <v>31</v>
      </c>
      <c r="B170" s="144" t="s">
        <v>143</v>
      </c>
      <c r="C170" s="144" t="s">
        <v>420</v>
      </c>
    </row>
    <row r="171" spans="1:3" s="111" customFormat="1" ht="15">
      <c r="A171" s="111">
        <v>32</v>
      </c>
      <c r="B171" s="144" t="s">
        <v>144</v>
      </c>
      <c r="C171" s="144" t="s">
        <v>421</v>
      </c>
    </row>
    <row r="172" spans="1:3" s="111" customFormat="1" ht="15">
      <c r="A172" s="111">
        <v>33</v>
      </c>
      <c r="B172" s="144" t="s">
        <v>145</v>
      </c>
      <c r="C172" s="144" t="s">
        <v>422</v>
      </c>
    </row>
    <row r="173" spans="1:3" s="111" customFormat="1" ht="15">
      <c r="A173" s="111">
        <v>34</v>
      </c>
      <c r="B173" s="144" t="s">
        <v>147</v>
      </c>
      <c r="C173" s="144" t="s">
        <v>424</v>
      </c>
    </row>
    <row r="174" spans="1:3" s="111" customFormat="1" ht="15">
      <c r="A174" s="111">
        <v>35</v>
      </c>
      <c r="B174" s="144" t="s">
        <v>148</v>
      </c>
      <c r="C174" s="144" t="s">
        <v>425</v>
      </c>
    </row>
    <row r="175" spans="1:3" s="111" customFormat="1" ht="15">
      <c r="A175" s="111">
        <v>36</v>
      </c>
      <c r="B175" s="144" t="s">
        <v>149</v>
      </c>
      <c r="C175" s="144" t="s">
        <v>426</v>
      </c>
    </row>
    <row r="176" spans="1:3" s="111" customFormat="1" ht="15">
      <c r="A176" s="111">
        <v>37</v>
      </c>
      <c r="B176" s="144" t="s">
        <v>150</v>
      </c>
      <c r="C176" s="144" t="s">
        <v>427</v>
      </c>
    </row>
    <row r="177" spans="1:3" s="111" customFormat="1" ht="15">
      <c r="A177" s="111">
        <v>38</v>
      </c>
      <c r="B177" s="144" t="s">
        <v>151</v>
      </c>
      <c r="C177" s="144" t="s">
        <v>428</v>
      </c>
    </row>
    <row r="178" spans="1:3" s="111" customFormat="1" ht="15">
      <c r="A178" s="111">
        <v>39</v>
      </c>
      <c r="B178" s="144" t="s">
        <v>152</v>
      </c>
      <c r="C178" s="144" t="s">
        <v>429</v>
      </c>
    </row>
    <row r="179" spans="1:3" s="111" customFormat="1" ht="15">
      <c r="A179" s="111">
        <v>40</v>
      </c>
      <c r="B179" s="144" t="s">
        <v>153</v>
      </c>
      <c r="C179" s="144" t="s">
        <v>430</v>
      </c>
    </row>
    <row r="180" spans="1:3" s="111" customFormat="1" ht="15">
      <c r="A180" s="111">
        <v>41</v>
      </c>
      <c r="B180" s="144" t="s">
        <v>154</v>
      </c>
      <c r="C180" s="144" t="s">
        <v>431</v>
      </c>
    </row>
    <row r="181" spans="1:3" s="111" customFormat="1" ht="15">
      <c r="A181" s="111">
        <v>42</v>
      </c>
      <c r="B181" s="144" t="s">
        <v>155</v>
      </c>
      <c r="C181" s="144" t="s">
        <v>432</v>
      </c>
    </row>
    <row r="182" spans="1:3" s="111" customFormat="1" ht="15">
      <c r="A182" s="111">
        <v>43</v>
      </c>
      <c r="B182" s="144" t="s">
        <v>156</v>
      </c>
      <c r="C182" s="144" t="s">
        <v>433</v>
      </c>
    </row>
    <row r="183" spans="1:3" s="111" customFormat="1" ht="15">
      <c r="A183" s="111">
        <v>44</v>
      </c>
      <c r="B183" s="145" t="s">
        <v>157</v>
      </c>
      <c r="C183" s="144" t="s">
        <v>434</v>
      </c>
    </row>
    <row r="184" spans="1:3" s="111" customFormat="1" ht="15">
      <c r="A184" s="111">
        <v>45</v>
      </c>
      <c r="B184" s="144" t="s">
        <v>158</v>
      </c>
      <c r="C184" s="144" t="s">
        <v>435</v>
      </c>
    </row>
    <row r="185" spans="1:3" s="111" customFormat="1" ht="15">
      <c r="A185" s="111">
        <v>46</v>
      </c>
      <c r="B185" s="144" t="s">
        <v>159</v>
      </c>
      <c r="C185" s="144" t="s">
        <v>436</v>
      </c>
    </row>
    <row r="186" spans="1:3" s="111" customFormat="1" ht="15">
      <c r="A186" s="111">
        <v>47</v>
      </c>
      <c r="B186" s="145" t="s">
        <v>160</v>
      </c>
      <c r="C186" s="144" t="s">
        <v>437</v>
      </c>
    </row>
    <row r="187" spans="1:3" s="111" customFormat="1" ht="15">
      <c r="A187" s="111">
        <v>48</v>
      </c>
      <c r="B187" s="144" t="s">
        <v>161</v>
      </c>
      <c r="C187" s="144" t="s">
        <v>438</v>
      </c>
    </row>
    <row r="188" spans="1:3" s="111" customFormat="1" ht="15">
      <c r="A188" s="111">
        <v>49</v>
      </c>
      <c r="B188" s="144" t="s">
        <v>162</v>
      </c>
      <c r="C188" s="144" t="s">
        <v>439</v>
      </c>
    </row>
    <row r="189" spans="1:3" s="111" customFormat="1" ht="15">
      <c r="A189" s="111">
        <v>50</v>
      </c>
      <c r="B189" s="144" t="s">
        <v>163</v>
      </c>
      <c r="C189" s="144" t="s">
        <v>440</v>
      </c>
    </row>
    <row r="190" spans="1:3" s="111" customFormat="1" ht="15">
      <c r="A190" s="111">
        <v>51</v>
      </c>
      <c r="B190" s="144" t="s">
        <v>164</v>
      </c>
      <c r="C190" s="144" t="s">
        <v>441</v>
      </c>
    </row>
    <row r="191" spans="1:3" s="111" customFormat="1" ht="15">
      <c r="A191" s="111">
        <v>52</v>
      </c>
      <c r="B191" s="144" t="s">
        <v>165</v>
      </c>
      <c r="C191" s="144" t="s">
        <v>442</v>
      </c>
    </row>
    <row r="192" spans="1:3" s="111" customFormat="1" ht="15">
      <c r="A192" s="111">
        <v>53</v>
      </c>
      <c r="B192" s="144" t="s">
        <v>166</v>
      </c>
      <c r="C192" s="144" t="s">
        <v>443</v>
      </c>
    </row>
    <row r="193" spans="1:3" s="111" customFormat="1" ht="15">
      <c r="A193" s="111">
        <v>54</v>
      </c>
      <c r="B193" s="144" t="s">
        <v>167</v>
      </c>
      <c r="C193" s="144" t="s">
        <v>444</v>
      </c>
    </row>
    <row r="194" spans="1:3" s="111" customFormat="1" ht="15">
      <c r="A194" s="111">
        <v>55</v>
      </c>
      <c r="B194" s="144" t="s">
        <v>168</v>
      </c>
      <c r="C194" s="144" t="s">
        <v>445</v>
      </c>
    </row>
    <row r="195" spans="1:3" s="111" customFormat="1" ht="15">
      <c r="A195" s="111">
        <v>56</v>
      </c>
      <c r="B195" s="144" t="s">
        <v>169</v>
      </c>
      <c r="C195" s="144" t="s">
        <v>446</v>
      </c>
    </row>
    <row r="196" spans="1:3" s="111" customFormat="1" ht="15">
      <c r="A196" s="111">
        <v>57</v>
      </c>
      <c r="B196" s="144" t="s">
        <v>170</v>
      </c>
      <c r="C196" s="144" t="s">
        <v>447</v>
      </c>
    </row>
    <row r="197" spans="1:3" s="111" customFormat="1" ht="15">
      <c r="A197" s="111">
        <v>58</v>
      </c>
      <c r="B197" s="144" t="s">
        <v>171</v>
      </c>
      <c r="C197" s="144" t="s">
        <v>448</v>
      </c>
    </row>
    <row r="198" spans="1:3" s="111" customFormat="1" ht="15">
      <c r="A198" s="111">
        <v>59</v>
      </c>
      <c r="B198" s="144" t="s">
        <v>172</v>
      </c>
      <c r="C198" s="144" t="s">
        <v>449</v>
      </c>
    </row>
    <row r="199" spans="1:3" s="111" customFormat="1" ht="15">
      <c r="A199" s="111">
        <v>60</v>
      </c>
      <c r="B199" s="144" t="s">
        <v>173</v>
      </c>
      <c r="C199" s="144" t="s">
        <v>450</v>
      </c>
    </row>
    <row r="200" spans="1:3" s="111" customFormat="1" ht="15">
      <c r="A200" s="111">
        <v>61</v>
      </c>
      <c r="B200" s="144" t="s">
        <v>174</v>
      </c>
      <c r="C200" s="144" t="s">
        <v>451</v>
      </c>
    </row>
    <row r="201" spans="1:3" s="111" customFormat="1" ht="15">
      <c r="A201" s="111">
        <v>62</v>
      </c>
      <c r="B201" s="144" t="s">
        <v>175</v>
      </c>
      <c r="C201" s="144" t="s">
        <v>452</v>
      </c>
    </row>
    <row r="202" spans="1:3" s="111" customFormat="1" ht="15">
      <c r="A202" s="111">
        <v>63</v>
      </c>
      <c r="B202" s="144" t="s">
        <v>176</v>
      </c>
      <c r="C202" s="144" t="s">
        <v>453</v>
      </c>
    </row>
    <row r="203" spans="1:3" s="111" customFormat="1" ht="15">
      <c r="A203" s="111">
        <v>64</v>
      </c>
      <c r="B203" s="144" t="s">
        <v>177</v>
      </c>
      <c r="C203" s="144" t="s">
        <v>454</v>
      </c>
    </row>
    <row r="204" spans="1:3" s="111" customFormat="1" ht="15">
      <c r="A204" s="111">
        <v>65</v>
      </c>
      <c r="B204" s="144" t="s">
        <v>178</v>
      </c>
      <c r="C204" s="144" t="s">
        <v>455</v>
      </c>
    </row>
    <row r="205" spans="1:3" s="111" customFormat="1" ht="15">
      <c r="A205" s="111">
        <v>66</v>
      </c>
      <c r="B205" s="144" t="s">
        <v>179</v>
      </c>
      <c r="C205" s="144" t="s">
        <v>456</v>
      </c>
    </row>
    <row r="206" spans="1:3" s="111" customFormat="1" ht="15">
      <c r="A206" s="111">
        <v>67</v>
      </c>
      <c r="B206" s="144" t="s">
        <v>180</v>
      </c>
      <c r="C206" s="144" t="s">
        <v>457</v>
      </c>
    </row>
    <row r="207" spans="1:3" s="111" customFormat="1" ht="15">
      <c r="A207" s="111">
        <v>68</v>
      </c>
      <c r="B207" s="144" t="s">
        <v>181</v>
      </c>
      <c r="C207" s="144" t="s">
        <v>458</v>
      </c>
    </row>
    <row r="208" spans="1:3" s="111" customFormat="1" ht="15">
      <c r="A208" s="111">
        <v>69</v>
      </c>
      <c r="B208" s="144" t="s">
        <v>182</v>
      </c>
      <c r="C208" s="144" t="s">
        <v>459</v>
      </c>
    </row>
    <row r="209" spans="1:3" s="111" customFormat="1" ht="15">
      <c r="A209" s="111">
        <v>70</v>
      </c>
      <c r="B209" s="144" t="s">
        <v>183</v>
      </c>
      <c r="C209" s="144" t="s">
        <v>460</v>
      </c>
    </row>
    <row r="210" spans="1:3" s="111" customFormat="1" ht="15">
      <c r="A210" s="111">
        <v>71</v>
      </c>
      <c r="B210" s="144" t="s">
        <v>184</v>
      </c>
      <c r="C210" s="144" t="s">
        <v>461</v>
      </c>
    </row>
    <row r="211" spans="1:3" s="111" customFormat="1" ht="15">
      <c r="A211" s="111">
        <v>72</v>
      </c>
      <c r="B211" s="144" t="s">
        <v>185</v>
      </c>
      <c r="C211" s="144" t="s">
        <v>462</v>
      </c>
    </row>
    <row r="212" spans="1:3" s="111" customFormat="1" ht="15">
      <c r="A212" s="111">
        <v>73</v>
      </c>
      <c r="B212" s="144" t="s">
        <v>186</v>
      </c>
      <c r="C212" s="144" t="s">
        <v>463</v>
      </c>
    </row>
    <row r="213" spans="1:3" s="111" customFormat="1" ht="15">
      <c r="A213" s="111">
        <v>74</v>
      </c>
      <c r="B213" s="144" t="s">
        <v>187</v>
      </c>
      <c r="C213" s="144" t="s">
        <v>464</v>
      </c>
    </row>
    <row r="214" spans="1:3" s="111" customFormat="1" ht="15">
      <c r="A214" s="111">
        <v>75</v>
      </c>
      <c r="B214" s="144" t="s">
        <v>188</v>
      </c>
      <c r="C214" s="144" t="s">
        <v>465</v>
      </c>
    </row>
    <row r="215" spans="1:3" s="111" customFormat="1" ht="15">
      <c r="A215" s="111">
        <v>76</v>
      </c>
      <c r="B215" s="144" t="s">
        <v>189</v>
      </c>
      <c r="C215" s="144" t="s">
        <v>466</v>
      </c>
    </row>
    <row r="216" spans="1:3" s="111" customFormat="1" ht="15">
      <c r="A216" s="111">
        <v>77</v>
      </c>
      <c r="B216" s="144" t="s">
        <v>190</v>
      </c>
      <c r="C216" s="144" t="s">
        <v>467</v>
      </c>
    </row>
    <row r="217" spans="1:3" s="111" customFormat="1" ht="15">
      <c r="A217" s="111">
        <v>78</v>
      </c>
      <c r="B217" s="144" t="s">
        <v>191</v>
      </c>
      <c r="C217" s="144" t="s">
        <v>468</v>
      </c>
    </row>
    <row r="218" spans="1:3" s="111" customFormat="1" ht="15">
      <c r="A218" s="111">
        <v>79</v>
      </c>
      <c r="B218" s="144" t="s">
        <v>192</v>
      </c>
      <c r="C218" s="144" t="s">
        <v>469</v>
      </c>
    </row>
    <row r="219" spans="1:3" s="111" customFormat="1" ht="15">
      <c r="A219" s="111">
        <v>80</v>
      </c>
      <c r="B219" s="144" t="s">
        <v>193</v>
      </c>
      <c r="C219" s="144" t="s">
        <v>470</v>
      </c>
    </row>
    <row r="220" spans="1:3" s="111" customFormat="1" ht="15">
      <c r="A220" s="111">
        <v>81</v>
      </c>
      <c r="B220" s="144" t="s">
        <v>194</v>
      </c>
      <c r="C220" s="144" t="s">
        <v>471</v>
      </c>
    </row>
    <row r="221" spans="1:3" s="111" customFormat="1" ht="15">
      <c r="A221" s="111">
        <v>82</v>
      </c>
      <c r="B221" s="144" t="s">
        <v>195</v>
      </c>
      <c r="C221" s="144" t="s">
        <v>472</v>
      </c>
    </row>
    <row r="222" spans="1:3" s="111" customFormat="1" ht="15">
      <c r="A222" s="111">
        <v>83</v>
      </c>
      <c r="B222" s="144" t="s">
        <v>196</v>
      </c>
      <c r="C222" s="144" t="s">
        <v>473</v>
      </c>
    </row>
    <row r="223" spans="1:3" s="111" customFormat="1" ht="15">
      <c r="A223" s="111">
        <v>84</v>
      </c>
      <c r="B223" s="144" t="s">
        <v>197</v>
      </c>
      <c r="C223" s="144" t="s">
        <v>474</v>
      </c>
    </row>
    <row r="224" spans="1:3" s="111" customFormat="1" ht="15">
      <c r="A224" s="111">
        <v>85</v>
      </c>
      <c r="B224" s="144" t="s">
        <v>198</v>
      </c>
      <c r="C224" s="144" t="s">
        <v>475</v>
      </c>
    </row>
    <row r="225" spans="1:3" s="111" customFormat="1" ht="15">
      <c r="A225" s="111">
        <v>86</v>
      </c>
      <c r="B225" s="144" t="s">
        <v>199</v>
      </c>
      <c r="C225" s="144" t="s">
        <v>476</v>
      </c>
    </row>
    <row r="226" spans="1:3" s="111" customFormat="1" ht="15">
      <c r="A226" s="111">
        <v>87</v>
      </c>
      <c r="B226" s="144" t="s">
        <v>200</v>
      </c>
      <c r="C226" s="144" t="s">
        <v>477</v>
      </c>
    </row>
    <row r="227" spans="1:3" s="111" customFormat="1" ht="15">
      <c r="A227" s="111">
        <v>88</v>
      </c>
      <c r="B227" s="144" t="s">
        <v>201</v>
      </c>
      <c r="C227" s="144" t="s">
        <v>478</v>
      </c>
    </row>
    <row r="228" spans="1:3" s="111" customFormat="1" ht="15">
      <c r="A228" s="111">
        <v>89</v>
      </c>
      <c r="B228" s="144" t="s">
        <v>202</v>
      </c>
      <c r="C228" s="144" t="s">
        <v>479</v>
      </c>
    </row>
    <row r="229" spans="1:3" s="111" customFormat="1" ht="15">
      <c r="A229" s="111">
        <v>90</v>
      </c>
      <c r="B229" s="144" t="s">
        <v>203</v>
      </c>
      <c r="C229" s="144" t="s">
        <v>480</v>
      </c>
    </row>
    <row r="230" spans="1:3" s="111" customFormat="1" ht="15">
      <c r="A230" s="111">
        <v>91</v>
      </c>
      <c r="B230" s="144" t="s">
        <v>204</v>
      </c>
      <c r="C230" s="144" t="s">
        <v>481</v>
      </c>
    </row>
    <row r="231" spans="1:3" s="111" customFormat="1" ht="15">
      <c r="A231" s="111">
        <v>92</v>
      </c>
      <c r="B231" s="144" t="s">
        <v>205</v>
      </c>
      <c r="C231" s="144" t="s">
        <v>482</v>
      </c>
    </row>
    <row r="232" spans="1:3" s="111" customFormat="1" ht="15">
      <c r="A232" s="111">
        <v>93</v>
      </c>
      <c r="B232" s="144" t="s">
        <v>206</v>
      </c>
      <c r="C232" s="144" t="s">
        <v>483</v>
      </c>
    </row>
    <row r="233" spans="1:3" s="111" customFormat="1" ht="15">
      <c r="A233" s="111">
        <v>94</v>
      </c>
      <c r="B233" s="144" t="s">
        <v>207</v>
      </c>
      <c r="C233" s="144" t="s">
        <v>484</v>
      </c>
    </row>
    <row r="234" spans="1:3" s="111" customFormat="1" ht="15">
      <c r="A234" s="111">
        <v>95</v>
      </c>
      <c r="B234" s="144" t="s">
        <v>208</v>
      </c>
      <c r="C234" s="144" t="s">
        <v>485</v>
      </c>
    </row>
    <row r="235" spans="1:3" s="111" customFormat="1" ht="15">
      <c r="A235" s="111">
        <v>96</v>
      </c>
      <c r="B235" s="144" t="s">
        <v>209</v>
      </c>
      <c r="C235" s="144" t="s">
        <v>486</v>
      </c>
    </row>
    <row r="236" spans="1:3" s="111" customFormat="1" ht="15">
      <c r="A236" s="111">
        <v>97</v>
      </c>
      <c r="B236" s="144" t="s">
        <v>210</v>
      </c>
      <c r="C236" s="144" t="s">
        <v>487</v>
      </c>
    </row>
    <row r="237" spans="1:3" s="111" customFormat="1" ht="15">
      <c r="A237" s="111">
        <v>98</v>
      </c>
      <c r="B237" s="144" t="s">
        <v>211</v>
      </c>
      <c r="C237" s="144" t="s">
        <v>488</v>
      </c>
    </row>
    <row r="238" spans="1:3" s="111" customFormat="1" ht="15">
      <c r="A238" s="111">
        <v>99</v>
      </c>
      <c r="B238" s="144" t="s">
        <v>212</v>
      </c>
      <c r="C238" s="144" t="s">
        <v>489</v>
      </c>
    </row>
    <row r="239" spans="1:3" s="111" customFormat="1" ht="15">
      <c r="A239" s="111">
        <v>100</v>
      </c>
      <c r="B239" s="144" t="s">
        <v>213</v>
      </c>
      <c r="C239" s="144" t="s">
        <v>490</v>
      </c>
    </row>
    <row r="240" spans="1:3" s="111" customFormat="1" ht="15">
      <c r="A240" s="111">
        <v>101</v>
      </c>
      <c r="B240" s="144" t="s">
        <v>214</v>
      </c>
      <c r="C240" s="144" t="s">
        <v>491</v>
      </c>
    </row>
    <row r="241" spans="1:3" s="111" customFormat="1" ht="15">
      <c r="A241" s="111">
        <v>102</v>
      </c>
      <c r="B241" s="144" t="s">
        <v>215</v>
      </c>
      <c r="C241" s="144" t="s">
        <v>492</v>
      </c>
    </row>
    <row r="242" spans="1:3" s="111" customFormat="1" ht="15">
      <c r="A242" s="111">
        <v>103</v>
      </c>
      <c r="B242" s="144" t="s">
        <v>216</v>
      </c>
      <c r="C242" s="144" t="s">
        <v>493</v>
      </c>
    </row>
    <row r="243" spans="1:3" s="111" customFormat="1" ht="15">
      <c r="A243" s="111">
        <v>104</v>
      </c>
      <c r="B243" s="144" t="s">
        <v>217</v>
      </c>
      <c r="C243" s="144" t="s">
        <v>494</v>
      </c>
    </row>
    <row r="244" spans="1:3" s="111" customFormat="1" ht="15">
      <c r="A244" s="111">
        <v>105</v>
      </c>
      <c r="B244" s="144" t="s">
        <v>218</v>
      </c>
      <c r="C244" s="144" t="s">
        <v>495</v>
      </c>
    </row>
    <row r="245" spans="1:3" s="111" customFormat="1" ht="15">
      <c r="A245" s="111">
        <v>106</v>
      </c>
      <c r="B245" s="144" t="s">
        <v>219</v>
      </c>
      <c r="C245" s="144" t="s">
        <v>496</v>
      </c>
    </row>
    <row r="246" spans="1:3" s="111" customFormat="1" ht="15">
      <c r="A246" s="111">
        <v>107</v>
      </c>
      <c r="B246" s="144" t="s">
        <v>220</v>
      </c>
      <c r="C246" s="144" t="s">
        <v>497</v>
      </c>
    </row>
    <row r="247" spans="1:3" s="111" customFormat="1" ht="15">
      <c r="A247" s="111">
        <v>108</v>
      </c>
      <c r="B247" s="144" t="s">
        <v>221</v>
      </c>
      <c r="C247" s="144" t="s">
        <v>498</v>
      </c>
    </row>
    <row r="248" spans="1:3" s="111" customFormat="1" ht="15">
      <c r="A248" s="111">
        <v>109</v>
      </c>
      <c r="B248" s="144" t="s">
        <v>222</v>
      </c>
      <c r="C248" s="144" t="s">
        <v>499</v>
      </c>
    </row>
    <row r="249" spans="1:3" s="111" customFormat="1" ht="15">
      <c r="A249" s="111">
        <v>110</v>
      </c>
      <c r="B249" s="144" t="s">
        <v>223</v>
      </c>
      <c r="C249" s="144" t="s">
        <v>500</v>
      </c>
    </row>
    <row r="250" spans="1:3" s="111" customFormat="1" ht="15">
      <c r="A250" s="111">
        <v>111</v>
      </c>
      <c r="B250" s="144" t="s">
        <v>224</v>
      </c>
      <c r="C250" s="144" t="s">
        <v>501</v>
      </c>
    </row>
    <row r="251" spans="1:3" s="111" customFormat="1" ht="15">
      <c r="A251" s="111">
        <v>112</v>
      </c>
      <c r="B251" s="144" t="s">
        <v>225</v>
      </c>
      <c r="C251" s="144" t="s">
        <v>502</v>
      </c>
    </row>
    <row r="252" spans="1:3" s="111" customFormat="1" ht="15">
      <c r="A252" s="111">
        <v>113</v>
      </c>
      <c r="B252" s="144" t="s">
        <v>226</v>
      </c>
      <c r="C252" s="144" t="s">
        <v>503</v>
      </c>
    </row>
    <row r="253" spans="1:3" s="111" customFormat="1" ht="15">
      <c r="A253" s="111">
        <v>114</v>
      </c>
      <c r="B253" s="144" t="s">
        <v>227</v>
      </c>
      <c r="C253" s="144" t="s">
        <v>504</v>
      </c>
    </row>
    <row r="254" spans="1:3" s="111" customFormat="1" ht="15">
      <c r="A254" s="111">
        <v>115</v>
      </c>
      <c r="B254" s="144" t="s">
        <v>228</v>
      </c>
      <c r="C254" s="144" t="s">
        <v>505</v>
      </c>
    </row>
    <row r="255" spans="1:3" s="111" customFormat="1" ht="15">
      <c r="A255" s="111">
        <v>116</v>
      </c>
      <c r="B255" s="144" t="s">
        <v>229</v>
      </c>
      <c r="C255" s="144" t="s">
        <v>506</v>
      </c>
    </row>
    <row r="256" spans="1:3" s="111" customFormat="1" ht="15">
      <c r="A256" s="111">
        <v>117</v>
      </c>
      <c r="B256" s="144" t="s">
        <v>230</v>
      </c>
      <c r="C256" s="144" t="s">
        <v>507</v>
      </c>
    </row>
    <row r="257" spans="1:3" s="111" customFormat="1" ht="15">
      <c r="A257" s="111">
        <v>118</v>
      </c>
      <c r="B257" s="144" t="s">
        <v>231</v>
      </c>
      <c r="C257" s="144" t="s">
        <v>508</v>
      </c>
    </row>
    <row r="258" spans="1:3" s="111" customFormat="1" ht="15">
      <c r="A258" s="111">
        <v>119</v>
      </c>
      <c r="B258" s="144" t="s">
        <v>232</v>
      </c>
      <c r="C258" s="144" t="s">
        <v>509</v>
      </c>
    </row>
    <row r="259" spans="1:3" s="111" customFormat="1" ht="15">
      <c r="A259" s="111">
        <v>120</v>
      </c>
      <c r="B259" s="144" t="s">
        <v>233</v>
      </c>
      <c r="C259" s="144" t="s">
        <v>510</v>
      </c>
    </row>
    <row r="260" spans="1:3" s="111" customFormat="1" ht="15">
      <c r="A260" s="111">
        <v>121</v>
      </c>
      <c r="B260" s="144" t="s">
        <v>234</v>
      </c>
      <c r="C260" s="144" t="s">
        <v>511</v>
      </c>
    </row>
    <row r="261" spans="1:3" s="111" customFormat="1" ht="15">
      <c r="A261" s="111">
        <v>122</v>
      </c>
      <c r="B261" s="144" t="s">
        <v>235</v>
      </c>
      <c r="C261" s="144" t="s">
        <v>512</v>
      </c>
    </row>
    <row r="262" spans="1:3" s="111" customFormat="1" ht="15">
      <c r="A262" s="111">
        <v>123</v>
      </c>
      <c r="B262" s="144" t="s">
        <v>236</v>
      </c>
      <c r="C262" s="144" t="s">
        <v>513</v>
      </c>
    </row>
    <row r="263" spans="1:3" s="111" customFormat="1" ht="15">
      <c r="A263" s="111">
        <v>124</v>
      </c>
      <c r="B263" s="144" t="s">
        <v>237</v>
      </c>
      <c r="C263" s="144" t="s">
        <v>514</v>
      </c>
    </row>
    <row r="264" spans="1:3" s="111" customFormat="1" ht="15">
      <c r="A264" s="111">
        <v>125</v>
      </c>
      <c r="B264" s="144" t="s">
        <v>238</v>
      </c>
      <c r="C264" s="144" t="s">
        <v>515</v>
      </c>
    </row>
    <row r="265" spans="1:3" s="111" customFormat="1" ht="15">
      <c r="A265" s="111">
        <v>126</v>
      </c>
      <c r="B265" s="144" t="s">
        <v>239</v>
      </c>
      <c r="C265" s="144" t="s">
        <v>516</v>
      </c>
    </row>
    <row r="266" spans="1:3" s="111" customFormat="1" ht="15">
      <c r="A266" s="111">
        <v>127</v>
      </c>
      <c r="B266" s="144" t="s">
        <v>240</v>
      </c>
      <c r="C266" s="144" t="s">
        <v>517</v>
      </c>
    </row>
    <row r="267" spans="1:3" s="111" customFormat="1" ht="15">
      <c r="A267" s="111">
        <v>128</v>
      </c>
      <c r="B267" s="144" t="s">
        <v>241</v>
      </c>
      <c r="C267" s="144" t="s">
        <v>518</v>
      </c>
    </row>
    <row r="268" spans="1:3" s="111" customFormat="1" ht="15">
      <c r="A268" s="111">
        <v>129</v>
      </c>
      <c r="B268" s="144" t="s">
        <v>242</v>
      </c>
      <c r="C268" s="144" t="s">
        <v>519</v>
      </c>
    </row>
    <row r="269" spans="1:3" s="111" customFormat="1" ht="15">
      <c r="A269" s="111">
        <v>130</v>
      </c>
      <c r="B269" s="144" t="s">
        <v>243</v>
      </c>
      <c r="C269" s="144" t="s">
        <v>520</v>
      </c>
    </row>
    <row r="270" spans="1:3" s="111" customFormat="1" ht="15">
      <c r="A270" s="111">
        <v>131</v>
      </c>
      <c r="B270" s="144" t="s">
        <v>244</v>
      </c>
      <c r="C270" s="144" t="s">
        <v>521</v>
      </c>
    </row>
    <row r="271" spans="1:3" s="111" customFormat="1" ht="15">
      <c r="A271" s="111">
        <v>132</v>
      </c>
      <c r="B271" s="144" t="s">
        <v>245</v>
      </c>
      <c r="C271" s="144" t="s">
        <v>522</v>
      </c>
    </row>
    <row r="272" spans="1:3" s="111" customFormat="1" ht="15">
      <c r="A272" s="111">
        <v>133</v>
      </c>
      <c r="B272" s="144" t="s">
        <v>246</v>
      </c>
      <c r="C272" s="144" t="s">
        <v>523</v>
      </c>
    </row>
    <row r="273" spans="1:3" s="111" customFormat="1" ht="15">
      <c r="A273" s="111">
        <v>134</v>
      </c>
      <c r="B273" s="144" t="s">
        <v>247</v>
      </c>
      <c r="C273" s="144" t="s">
        <v>524</v>
      </c>
    </row>
    <row r="274" spans="1:3" s="111" customFormat="1" ht="15">
      <c r="A274" s="111">
        <v>135</v>
      </c>
      <c r="B274" s="144" t="s">
        <v>248</v>
      </c>
      <c r="C274" s="144" t="s">
        <v>525</v>
      </c>
    </row>
    <row r="275" spans="1:3" s="111" customFormat="1" ht="15">
      <c r="A275" s="111">
        <v>136</v>
      </c>
      <c r="B275" s="144" t="s">
        <v>249</v>
      </c>
      <c r="C275" s="144" t="s">
        <v>526</v>
      </c>
    </row>
    <row r="276" spans="1:3" s="111" customFormat="1" ht="15">
      <c r="A276" s="111">
        <v>137</v>
      </c>
      <c r="B276" s="144" t="s">
        <v>250</v>
      </c>
      <c r="C276" s="144" t="s">
        <v>527</v>
      </c>
    </row>
    <row r="277" spans="1:3" s="111" customFormat="1" ht="15">
      <c r="A277" s="111">
        <v>138</v>
      </c>
      <c r="B277" s="144" t="s">
        <v>251</v>
      </c>
      <c r="C277" s="144" t="s">
        <v>528</v>
      </c>
    </row>
    <row r="278" spans="1:3" s="111" customFormat="1" ht="15">
      <c r="A278" s="111">
        <v>139</v>
      </c>
      <c r="B278" s="144" t="s">
        <v>252</v>
      </c>
      <c r="C278" s="144" t="s">
        <v>529</v>
      </c>
    </row>
    <row r="279" spans="1:3" s="111" customFormat="1" ht="15">
      <c r="A279" s="111">
        <v>140</v>
      </c>
      <c r="B279" s="144" t="s">
        <v>253</v>
      </c>
      <c r="C279" s="144" t="s">
        <v>530</v>
      </c>
    </row>
    <row r="280" spans="1:3" s="111" customFormat="1" ht="15">
      <c r="A280" s="111">
        <v>141</v>
      </c>
      <c r="B280" s="144" t="s">
        <v>254</v>
      </c>
      <c r="C280" s="144" t="s">
        <v>531</v>
      </c>
    </row>
    <row r="281" spans="1:3" s="111" customFormat="1" ht="15">
      <c r="A281" s="111">
        <v>142</v>
      </c>
      <c r="B281" s="144" t="s">
        <v>571</v>
      </c>
      <c r="C281" s="144" t="s">
        <v>532</v>
      </c>
    </row>
    <row r="282" spans="1:5" s="111" customFormat="1" ht="15">
      <c r="A282" s="111">
        <v>143</v>
      </c>
      <c r="B282" s="144" t="s">
        <v>255</v>
      </c>
      <c r="C282" s="144" t="s">
        <v>533</v>
      </c>
      <c r="E282" s="144"/>
    </row>
    <row r="283" spans="1:3" s="111" customFormat="1" ht="15">
      <c r="A283" s="111">
        <v>144</v>
      </c>
      <c r="B283" s="144" t="s">
        <v>256</v>
      </c>
      <c r="C283" s="144" t="s">
        <v>534</v>
      </c>
    </row>
    <row r="284" spans="1:3" s="111" customFormat="1" ht="15">
      <c r="A284" s="111">
        <v>145</v>
      </c>
      <c r="B284" s="144" t="s">
        <v>257</v>
      </c>
      <c r="C284" s="144" t="s">
        <v>535</v>
      </c>
    </row>
    <row r="285" spans="1:3" s="111" customFormat="1" ht="15">
      <c r="A285" s="111">
        <v>146</v>
      </c>
      <c r="B285" s="144" t="s">
        <v>258</v>
      </c>
      <c r="C285" s="144" t="s">
        <v>536</v>
      </c>
    </row>
    <row r="286" spans="1:3" s="111" customFormat="1" ht="15">
      <c r="A286" s="111">
        <v>147</v>
      </c>
      <c r="B286" s="144" t="s">
        <v>259</v>
      </c>
      <c r="C286" s="144" t="s">
        <v>537</v>
      </c>
    </row>
    <row r="287" spans="1:3" s="111" customFormat="1" ht="15">
      <c r="A287" s="111">
        <v>148</v>
      </c>
      <c r="B287" s="144" t="s">
        <v>260</v>
      </c>
      <c r="C287" s="144" t="s">
        <v>538</v>
      </c>
    </row>
    <row r="288" spans="1:3" s="111" customFormat="1" ht="15">
      <c r="A288" s="111">
        <v>149</v>
      </c>
      <c r="B288" s="144" t="s">
        <v>261</v>
      </c>
      <c r="C288" s="144" t="s">
        <v>539</v>
      </c>
    </row>
    <row r="289" spans="1:3" s="111" customFormat="1" ht="15">
      <c r="A289" s="111">
        <v>150</v>
      </c>
      <c r="B289" s="144" t="s">
        <v>262</v>
      </c>
      <c r="C289" s="144" t="s">
        <v>540</v>
      </c>
    </row>
    <row r="290" spans="1:3" s="111" customFormat="1" ht="15">
      <c r="A290" s="111">
        <v>151</v>
      </c>
      <c r="B290" s="144" t="s">
        <v>263</v>
      </c>
      <c r="C290" s="144" t="s">
        <v>541</v>
      </c>
    </row>
    <row r="291" spans="1:3" s="111" customFormat="1" ht="15">
      <c r="A291" s="111">
        <v>152</v>
      </c>
      <c r="B291" s="144" t="s">
        <v>799</v>
      </c>
      <c r="C291" s="144" t="s">
        <v>800</v>
      </c>
    </row>
    <row r="292" spans="1:3" s="111" customFormat="1" ht="15">
      <c r="A292" s="111">
        <v>153</v>
      </c>
      <c r="B292" s="144" t="s">
        <v>264</v>
      </c>
      <c r="C292" s="144" t="s">
        <v>543</v>
      </c>
    </row>
    <row r="293" spans="1:3" s="111" customFormat="1" ht="15">
      <c r="A293" s="111">
        <v>154</v>
      </c>
      <c r="B293" s="144" t="s">
        <v>265</v>
      </c>
      <c r="C293" s="144" t="s">
        <v>544</v>
      </c>
    </row>
    <row r="294" spans="1:3" s="111" customFormat="1" ht="15">
      <c r="A294" s="111">
        <v>155</v>
      </c>
      <c r="B294" s="144" t="s">
        <v>266</v>
      </c>
      <c r="C294" s="144" t="s">
        <v>545</v>
      </c>
    </row>
    <row r="295" spans="1:3" s="111" customFormat="1" ht="15">
      <c r="A295" s="111">
        <v>156</v>
      </c>
      <c r="B295" s="144" t="s">
        <v>267</v>
      </c>
      <c r="C295" s="144" t="s">
        <v>546</v>
      </c>
    </row>
    <row r="296" spans="1:3" s="111" customFormat="1" ht="15">
      <c r="A296" s="111">
        <v>157</v>
      </c>
      <c r="B296" s="144" t="s">
        <v>268</v>
      </c>
      <c r="C296" s="144" t="s">
        <v>547</v>
      </c>
    </row>
    <row r="297" spans="1:3" s="111" customFormat="1" ht="15">
      <c r="A297" s="111">
        <v>158</v>
      </c>
      <c r="B297" s="144" t="s">
        <v>269</v>
      </c>
      <c r="C297" s="144" t="s">
        <v>548</v>
      </c>
    </row>
    <row r="298" spans="1:3" s="111" customFormat="1" ht="15">
      <c r="A298" s="111">
        <v>159</v>
      </c>
      <c r="B298" s="144" t="s">
        <v>270</v>
      </c>
      <c r="C298" s="144" t="s">
        <v>549</v>
      </c>
    </row>
    <row r="299" spans="1:3" s="111" customFormat="1" ht="15">
      <c r="A299" s="111">
        <v>160</v>
      </c>
      <c r="B299" s="144" t="s">
        <v>271</v>
      </c>
      <c r="C299" s="144" t="s">
        <v>550</v>
      </c>
    </row>
    <row r="300" spans="1:3" s="111" customFormat="1" ht="15">
      <c r="A300" s="111">
        <v>161</v>
      </c>
      <c r="B300" s="144" t="s">
        <v>272</v>
      </c>
      <c r="C300" s="144" t="s">
        <v>551</v>
      </c>
    </row>
    <row r="301" spans="1:3" s="111" customFormat="1" ht="15">
      <c r="A301" s="111">
        <v>162</v>
      </c>
      <c r="B301" s="144" t="s">
        <v>273</v>
      </c>
      <c r="C301" s="144" t="s">
        <v>552</v>
      </c>
    </row>
    <row r="302" s="111" customFormat="1" ht="15">
      <c r="A302" s="111">
        <v>163</v>
      </c>
    </row>
  </sheetData>
  <sheetProtection/>
  <mergeCells count="9">
    <mergeCell ref="G83:O87"/>
    <mergeCell ref="N79:O79"/>
    <mergeCell ref="A8:G8"/>
    <mergeCell ref="G14:O14"/>
    <mergeCell ref="G15:O15"/>
    <mergeCell ref="G16:O16"/>
    <mergeCell ref="K8:O8"/>
    <mergeCell ref="O76:P76"/>
    <mergeCell ref="G81:O81"/>
  </mergeCells>
  <conditionalFormatting sqref="E87">
    <cfRule type="expression" priority="433" dxfId="33" stopIfTrue="1">
      <formula>$S$90=1</formula>
    </cfRule>
  </conditionalFormatting>
  <conditionalFormatting sqref="E85">
    <cfRule type="cellIs" priority="434" dxfId="4" operator="lessThan" stopIfTrue="1">
      <formula>0</formula>
    </cfRule>
    <cfRule type="expression" priority="435" dxfId="33" stopIfTrue="1">
      <formula>$S$90=1</formula>
    </cfRule>
  </conditionalFormatting>
  <conditionalFormatting sqref="O57:O59">
    <cfRule type="cellIs" priority="432" dxfId="4" operator="lessThan" stopIfTrue="1">
      <formula>0</formula>
    </cfRule>
  </conditionalFormatting>
  <conditionalFormatting sqref="O63:O67">
    <cfRule type="cellIs" priority="431" dxfId="4" operator="lessThan" stopIfTrue="1">
      <formula>0</formula>
    </cfRule>
  </conditionalFormatting>
  <conditionalFormatting sqref="O70:O73">
    <cfRule type="cellIs" priority="430" dxfId="4" operator="lessThan" stopIfTrue="1">
      <formula>0</formula>
    </cfRule>
  </conditionalFormatting>
  <conditionalFormatting sqref="O75">
    <cfRule type="expression" priority="126" dxfId="158" stopIfTrue="1">
      <formula>"O75=E80"</formula>
    </cfRule>
    <cfRule type="expression" priority="429" dxfId="33" stopIfTrue="1">
      <formula>$S$77=1</formula>
    </cfRule>
  </conditionalFormatting>
  <conditionalFormatting sqref="C25:C30">
    <cfRule type="cellIs" priority="428" dxfId="4" operator="lessThan" stopIfTrue="1">
      <formula>0</formula>
    </cfRule>
  </conditionalFormatting>
  <conditionalFormatting sqref="C57:C60">
    <cfRule type="cellIs" priority="427" dxfId="4" operator="lessThan" stopIfTrue="1">
      <formula>0</formula>
    </cfRule>
  </conditionalFormatting>
  <conditionalFormatting sqref="C63:C67">
    <cfRule type="cellIs" priority="426" dxfId="4" operator="lessThan" stopIfTrue="1">
      <formula>0</formula>
    </cfRule>
  </conditionalFormatting>
  <conditionalFormatting sqref="C70:C73">
    <cfRule type="cellIs" priority="425" dxfId="4" operator="lessThan" stopIfTrue="1">
      <formula>0</formula>
    </cfRule>
  </conditionalFormatting>
  <conditionalFormatting sqref="C75">
    <cfRule type="cellIs" priority="424" dxfId="4" operator="lessThan" stopIfTrue="1">
      <formula>0</formula>
    </cfRule>
  </conditionalFormatting>
  <conditionalFormatting sqref="C79:C80">
    <cfRule type="cellIs" priority="423" dxfId="4" operator="lessThan" stopIfTrue="1">
      <formula>0</formula>
    </cfRule>
  </conditionalFormatting>
  <conditionalFormatting sqref="C85:C87">
    <cfRule type="cellIs" priority="422" dxfId="4" operator="lessThan" stopIfTrue="1">
      <formula>0</formula>
    </cfRule>
  </conditionalFormatting>
  <conditionalFormatting sqref="M75">
    <cfRule type="cellIs" priority="421" dxfId="4" operator="lessThan" stopIfTrue="1">
      <formula>0</formula>
    </cfRule>
  </conditionalFormatting>
  <conditionalFormatting sqref="M70:M73">
    <cfRule type="cellIs" priority="420" dxfId="4" operator="lessThan" stopIfTrue="1">
      <formula>0</formula>
    </cfRule>
  </conditionalFormatting>
  <conditionalFormatting sqref="M63:M67">
    <cfRule type="cellIs" priority="419" dxfId="4" operator="lessThan" stopIfTrue="1">
      <formula>0</formula>
    </cfRule>
  </conditionalFormatting>
  <conditionalFormatting sqref="M57:M59">
    <cfRule type="cellIs" priority="418" dxfId="4" operator="lessThan" stopIfTrue="1">
      <formula>0</formula>
    </cfRule>
  </conditionalFormatting>
  <conditionalFormatting sqref="G37:G48">
    <cfRule type="cellIs" priority="417" dxfId="4" operator="lessThan" stopIfTrue="1">
      <formula>0</formula>
    </cfRule>
  </conditionalFormatting>
  <conditionalFormatting sqref="C38:C48">
    <cfRule type="cellIs" priority="416" dxfId="4" operator="lessThan" stopIfTrue="1">
      <formula>0</formula>
    </cfRule>
  </conditionalFormatting>
  <conditionalFormatting sqref="O57">
    <cfRule type="expression" priority="350" dxfId="0">
      <formula>AND(OR($O$57=$M$58,$O$57=$M$59),$O$57&gt;0,$O$57&lt;&gt;$M$57)</formula>
    </cfRule>
  </conditionalFormatting>
  <conditionalFormatting sqref="O58">
    <cfRule type="expression" priority="348" dxfId="0">
      <formula>AND(OR($O$58=$M$57,$O$58=$M$59),$O$58&gt;0,$O$58&lt;&gt;$M$58)</formula>
    </cfRule>
  </conditionalFormatting>
  <conditionalFormatting sqref="O59">
    <cfRule type="expression" priority="346" dxfId="0">
      <formula>AND(OR($O$59=$M$57,$O$59=$M$58),$O$59&gt;0,$O$59&lt;&gt;$M$59)</formula>
    </cfRule>
  </conditionalFormatting>
  <conditionalFormatting sqref="O63">
    <cfRule type="expression" priority="334" dxfId="0">
      <formula>AND(OR($O$63=$M$64,$O$63=$M$65,$O$63=$M$66,$O$63=$M$67),$O$63&gt;0,$O$63&lt;&gt;$M$63)</formula>
    </cfRule>
  </conditionalFormatting>
  <conditionalFormatting sqref="O64">
    <cfRule type="expression" priority="332" dxfId="0">
      <formula>AND(OR($O$64=$M$63,$O$64=$M$65,$O$64=$M$66,$O$64=$M$67),$O$64&gt;0,$O$64&lt;&gt;$M$64)</formula>
    </cfRule>
  </conditionalFormatting>
  <conditionalFormatting sqref="O65">
    <cfRule type="expression" priority="330" dxfId="0">
      <formula>AND(OR($O$65=$M$63,$O$65=$M$64,$O$65=$M$66,$O$65=$M$67),$O$65&gt;0,$O$65&lt;&gt;$M$65)</formula>
    </cfRule>
  </conditionalFormatting>
  <conditionalFormatting sqref="O66">
    <cfRule type="expression" priority="328" dxfId="0">
      <formula>AND(OR($O$66=$M$63,$O$66=$M$64,$O$66=$M$65,$O$66=$M$67),$O$66&gt;0,$O$66&lt;&gt;$M$66)</formula>
    </cfRule>
  </conditionalFormatting>
  <conditionalFormatting sqref="O67">
    <cfRule type="expression" priority="326" dxfId="0">
      <formula>AND(OR($O$67=$M$63,$O$67=$M$64,$O$67=$M$65,$O$67=$M$66),$O$67&gt;0,$O$67&lt;&gt;$M$67)</formula>
    </cfRule>
  </conditionalFormatting>
  <conditionalFormatting sqref="O70">
    <cfRule type="expression" priority="316" dxfId="0">
      <formula>AND(OR($O$70=$M$71,$O$70=$M$72,$O$70=$M$73),$O$70&gt;0,$O$70&lt;&gt;$M$70)</formula>
    </cfRule>
  </conditionalFormatting>
  <conditionalFormatting sqref="O71">
    <cfRule type="expression" priority="314" dxfId="0">
      <formula>AND(OR($O$71=$M$70,$O$71=$M$72,$O$71=$M$73),$O$71&gt;0,$O$71&lt;&gt;$M$71)</formula>
    </cfRule>
  </conditionalFormatting>
  <conditionalFormatting sqref="O72">
    <cfRule type="expression" priority="312" dxfId="0">
      <formula>AND(OR($O$72=$M$70,$O$72=$M$71,$O$72=$M$73),$O$72&gt;0,$O$72&lt;&gt;$M$72)</formula>
    </cfRule>
  </conditionalFormatting>
  <conditionalFormatting sqref="O73">
    <cfRule type="expression" priority="310" dxfId="0">
      <formula>AND(OR($O$73=$M$70,$O$73=$M$71,$O$73=$M$72),$O$73&gt;0,$O$73&lt;&gt;$M$73)</formula>
    </cfRule>
  </conditionalFormatting>
  <conditionalFormatting sqref="I38">
    <cfRule type="expression" priority="108" dxfId="0" stopIfTrue="1">
      <formula>AND(OR(I39=$G$38,I39=$G$40,I39=$G$41,I39=$G$42,I39=$G$43,I39=$G$44,I39=$G$45,I39=$G$46,I39=$G$47,I39=$C$39),I39&gt;0,I39&lt;&gt;$I$40,I39&lt;&gt;$I$38,I39&lt;&gt;$I$41,I39&lt;&gt;$I$42,I39&lt;&gt;$I$43,I39&lt;&gt;$I$44,I39&lt;&gt;$I$45,I39&lt;&gt;$I$46,I39&lt;&gt;$I$47,I39&lt;&gt;$E$39)</formula>
    </cfRule>
    <cfRule type="containsBlanks" priority="244" dxfId="2" stopIfTrue="1">
      <formula>LEN(TRIM(I38))=0</formula>
    </cfRule>
    <cfRule type="expression" priority="245" dxfId="159" stopIfTrue="1">
      <formula>ABS(I38-G38)&gt;40000</formula>
    </cfRule>
    <cfRule type="expression" priority="246" dxfId="0" stopIfTrue="1">
      <formula>OR((AND(I38&gt;=G38*1000,G38&gt;0)),(AND(G38&gt;=I38*1000,I38&gt;0)))</formula>
    </cfRule>
    <cfRule type="cellIs" priority="247" dxfId="4" operator="lessThan" stopIfTrue="1">
      <formula>0</formula>
    </cfRule>
  </conditionalFormatting>
  <conditionalFormatting sqref="E25">
    <cfRule type="containsBlanks" priority="120" dxfId="2" stopIfTrue="1">
      <formula>LEN(TRIM(E25))=0</formula>
    </cfRule>
    <cfRule type="cellIs" priority="147" dxfId="4" operator="lessThan" stopIfTrue="1">
      <formula>0</formula>
    </cfRule>
    <cfRule type="expression" priority="240" dxfId="159" stopIfTrue="1">
      <formula>ABS(E25-C25)&gt;40000</formula>
    </cfRule>
    <cfRule type="expression" priority="241" dxfId="0" stopIfTrue="1">
      <formula>OR((AND(E25&gt;=C25*1000,C25&gt;0)),(AND(C25&gt;=E25*1000,E25&gt;0)))</formula>
    </cfRule>
    <cfRule type="expression" priority="242" dxfId="0" stopIfTrue="1">
      <formula>AND(OR(E25=$C$27,E25=$C$26,E25=$C$28,E25=$C$29),E25&gt;0,E25&lt;&gt;$E$26,E25&lt;&gt;$E$27,E25&lt;&gt;$E$28,E25&lt;&gt;$E$29)</formula>
    </cfRule>
  </conditionalFormatting>
  <conditionalFormatting sqref="E38">
    <cfRule type="expression" priority="119" dxfId="0" stopIfTrue="1">
      <formula>AND(OR(E38=$C$39,E38=$C$40,E38=$C$41,E38=$C$42,E38=$C$43,E38=$C$44,E38=$C$45,E38=$C$46,E38=$C$47,E38=$G$38),E38&gt;0,E38&lt;&gt;$E$40,E38&lt;&gt;$E$39,E38&lt;&gt;$E$41,E38&lt;&gt;$E$42,E38&lt;&gt;$E$43,E38&lt;&gt;$E$44,E38&lt;&gt;$E$45,E38&lt;&gt;$E$46,E38&lt;&gt;$E$47,E38&lt;&gt;$I$38)</formula>
    </cfRule>
    <cfRule type="containsBlanks" priority="220" dxfId="2" stopIfTrue="1">
      <formula>LEN(TRIM(E38))=0</formula>
    </cfRule>
    <cfRule type="cellIs" priority="221" dxfId="4" operator="lessThan" stopIfTrue="1">
      <formula>0</formula>
    </cfRule>
    <cfRule type="expression" priority="222" dxfId="159" stopIfTrue="1">
      <formula>ABS(E38-C38)&gt;40000</formula>
    </cfRule>
    <cfRule type="expression" priority="223" dxfId="0" stopIfTrue="1">
      <formula>OR((AND(E38&gt;=C38*1000,C38&gt;0)),(AND(C38&gt;=E38*1000,E38&gt;0)))</formula>
    </cfRule>
  </conditionalFormatting>
  <conditionalFormatting sqref="E39">
    <cfRule type="expression" priority="118" dxfId="0" stopIfTrue="1">
      <formula>AND(OR(E39=$C$38,E39=$C$40,E39=$C$41,E39=$C$42,E39=$C$43,E39=$C$44,E39=$C$45,E39=$C$46,E39=$C$47,E39=$G$39),E39&gt;0,E39&lt;&gt;$E$40,E39&lt;&gt;$E$38,E39&lt;&gt;$E$41,E39&lt;&gt;$E$42,E39&lt;&gt;$E$43,E39&lt;&gt;$E$44,E39&lt;&gt;$E$45,E39&lt;&gt;$E$46,E39&lt;&gt;$E$47,E39&lt;&gt;$I$39)</formula>
    </cfRule>
    <cfRule type="containsBlanks" priority="216" dxfId="2" stopIfTrue="1">
      <formula>LEN(TRIM(E39))=0</formula>
    </cfRule>
    <cfRule type="expression" priority="217" dxfId="159" stopIfTrue="1">
      <formula>ABS(E39-C39)&gt;40000</formula>
    </cfRule>
    <cfRule type="expression" priority="218" dxfId="0" stopIfTrue="1">
      <formula>OR((AND(E39&gt;=C39*1000,C39&gt;0)),(AND(C39&gt;=E39*1000,E39&gt;0)))</formula>
    </cfRule>
    <cfRule type="cellIs" priority="219" dxfId="4" operator="lessThan" stopIfTrue="1">
      <formula>0</formula>
    </cfRule>
  </conditionalFormatting>
  <conditionalFormatting sqref="E40">
    <cfRule type="expression" priority="117" dxfId="0" stopIfTrue="1">
      <formula>AND(OR(E40=$C$39,E40=$C$38,E40=$C$41,E40=$C$42,E40=$C$43,E40=$C$44,E40=$C$45,E40=$C$46,E40=$C$47,E40=$G$40),E40&gt;0,E40&lt;&gt;$E$38,E40&lt;&gt;$E$39,E40&lt;&gt;$E$41,E40&lt;&gt;$E$42,E40&lt;&gt;$E$43,E40&lt;&gt;$E$44,E40&lt;&gt;$E$45,E40&lt;&gt;$E$46,E40&lt;&gt;$E$47,E40&lt;&gt;$I$40)</formula>
    </cfRule>
    <cfRule type="containsBlanks" priority="212" dxfId="2" stopIfTrue="1">
      <formula>LEN(TRIM(E40))=0</formula>
    </cfRule>
    <cfRule type="expression" priority="213" dxfId="159" stopIfTrue="1">
      <formula>ABS(E40-C40)&gt;40000</formula>
    </cfRule>
    <cfRule type="expression" priority="214" dxfId="0" stopIfTrue="1">
      <formula>OR((AND(E40&gt;=C40*1000,C40&gt;0)),(AND(C40&gt;=E40*1000,E40&gt;0)))</formula>
    </cfRule>
    <cfRule type="cellIs" priority="215" dxfId="4" operator="lessThan" stopIfTrue="1">
      <formula>0</formula>
    </cfRule>
  </conditionalFormatting>
  <conditionalFormatting sqref="E41">
    <cfRule type="expression" priority="116" dxfId="0" stopIfTrue="1">
      <formula>AND(OR(E41=$C$39,E41=$C$40,E41=$C$38,E41=$C$42,E41=$C$43,E41=$C$44,E41=$C$45,E41=$C$46,E41=$C$47,E41=$G$41),E41&gt;0,E41&lt;&gt;$E$40,E41&lt;&gt;$E$39,E41&lt;&gt;$E$38,E41&lt;&gt;$E$42,E41&lt;&gt;$E$43,E41&lt;&gt;$E$44,E41&lt;&gt;$E$45,E41&lt;&gt;$E$46,E41&lt;&gt;$E$47,E41&lt;&gt;$I$41)</formula>
    </cfRule>
    <cfRule type="containsBlanks" priority="208" dxfId="2" stopIfTrue="1">
      <formula>LEN(TRIM(E41))=0</formula>
    </cfRule>
    <cfRule type="expression" priority="209" dxfId="159" stopIfTrue="1">
      <formula>ABS(E41-C41)&gt;40000</formula>
    </cfRule>
    <cfRule type="expression" priority="210" dxfId="0" stopIfTrue="1">
      <formula>OR((AND(E41&gt;=C41*1000,C41&gt;0)),(AND(C41&gt;=E41*1000,E41&gt;0)))</formula>
    </cfRule>
    <cfRule type="cellIs" priority="211" dxfId="4" operator="lessThan" stopIfTrue="1">
      <formula>0</formula>
    </cfRule>
  </conditionalFormatting>
  <conditionalFormatting sqref="E42">
    <cfRule type="expression" priority="115" dxfId="0" stopIfTrue="1">
      <formula>AND(OR(E42=$C$39,E42=$C$40,E42=$C$41,E42=$C$38,E42=$C$43,E42=$C$44,E42=$C$45,E42=$C$46,E42=$C$47,E42=$G$42),E42&gt;0,E42&lt;&gt;$E$40,E42&lt;&gt;$E$39,E42&lt;&gt;$E$41,E42&lt;&gt;$E$38,E42&lt;&gt;$E$43,E42&lt;&gt;$E$44,E42&lt;&gt;$E$45,E42&lt;&gt;$E$46,E42&lt;&gt;$E$47,E42&lt;&gt;$I$42)</formula>
    </cfRule>
    <cfRule type="containsBlanks" priority="204" dxfId="2" stopIfTrue="1">
      <formula>LEN(TRIM(E42))=0</formula>
    </cfRule>
    <cfRule type="expression" priority="205" dxfId="159" stopIfTrue="1">
      <formula>ABS(E42-C42)&gt;40000</formula>
    </cfRule>
    <cfRule type="expression" priority="206" dxfId="0" stopIfTrue="1">
      <formula>OR((AND(E42&gt;=C42*1000,C42&gt;0)),(AND(C42&gt;=E42*1000,E42&gt;0)))</formula>
    </cfRule>
    <cfRule type="cellIs" priority="207" dxfId="4" operator="lessThan" stopIfTrue="1">
      <formula>0</formula>
    </cfRule>
  </conditionalFormatting>
  <conditionalFormatting sqref="E43">
    <cfRule type="expression" priority="114" dxfId="0" stopIfTrue="1">
      <formula>AND(OR(E43=$C$39,E43=$C$40,E43=$C$41,E43=$C$42,E43=$C$38,E43=$C$44,E43=$C$45,E43=$C$46,E43=$C$47,E43=$G$43),E43&gt;0,E43&lt;&gt;$E$40,E43&lt;&gt;$E$39,E43&lt;&gt;$E$41,E43&lt;&gt;$E$42,E43&lt;&gt;$E$38,E43&lt;&gt;$E$44,E43&lt;&gt;$E$45,E43&lt;&gt;$E$46,E43&lt;&gt;$E$47,E43&lt;&gt;$I$43)</formula>
    </cfRule>
    <cfRule type="containsBlanks" priority="200" dxfId="2" stopIfTrue="1">
      <formula>LEN(TRIM(E43))=0</formula>
    </cfRule>
    <cfRule type="expression" priority="201" dxfId="159" stopIfTrue="1">
      <formula>ABS(E43-C43)&gt;40000</formula>
    </cfRule>
    <cfRule type="expression" priority="202" dxfId="0" stopIfTrue="1">
      <formula>OR((AND(E43&gt;=C43*1000,C43&gt;0)),(AND(C43&gt;=E43*1000,E43&gt;0)))</formula>
    </cfRule>
    <cfRule type="cellIs" priority="203" dxfId="4" operator="lessThan" stopIfTrue="1">
      <formula>0</formula>
    </cfRule>
  </conditionalFormatting>
  <conditionalFormatting sqref="E44">
    <cfRule type="expression" priority="113" dxfId="0" stopIfTrue="1">
      <formula>AND(OR(E44=$C$39,E44=$C$40,E44=$C$41,E44=$C$42,E44=$C$43,E44=$C$38,E44=$C$45,E44=$C$46,E44=$C$47,E44=$G$44),E44&gt;0,E44&lt;&gt;$E$40,E44&lt;&gt;$E$39,E44&lt;&gt;$E$41,E44&lt;&gt;$E$42,E44&lt;&gt;$E$43,E44&lt;&gt;$E$38,E44&lt;&gt;$E$45,E44&lt;&gt;$E$46,E44&lt;&gt;$E$47,E44&lt;&gt;$I$44)</formula>
    </cfRule>
    <cfRule type="containsBlanks" priority="196" dxfId="2" stopIfTrue="1">
      <formula>LEN(TRIM(E44))=0</formula>
    </cfRule>
    <cfRule type="expression" priority="197" dxfId="159" stopIfTrue="1">
      <formula>ABS(E44-C44)&gt;40000</formula>
    </cfRule>
    <cfRule type="expression" priority="198" dxfId="0" stopIfTrue="1">
      <formula>OR((AND(E44&gt;=C44*1000,C44&gt;0)),(AND(C44&gt;=E44*1000,E44&gt;0)))</formula>
    </cfRule>
    <cfRule type="cellIs" priority="199" dxfId="4" operator="lessThan" stopIfTrue="1">
      <formula>0</formula>
    </cfRule>
  </conditionalFormatting>
  <conditionalFormatting sqref="E45">
    <cfRule type="expression" priority="112" dxfId="0" stopIfTrue="1">
      <formula>AND(OR(E45=$C$39,E45=$C$40,E45=$C$41,E45=$C$42,E45=$C$43,E45=$C$44,E45=$C$38,E45=$C$46,E45=$C$47,E45=$G$45),E45&gt;0,E45&lt;&gt;$E$40,E45&lt;&gt;$E$39,E45&lt;&gt;$E$41,E45&lt;&gt;$E$42,E45&lt;&gt;$E$43,E45&lt;&gt;$E$44,E45&lt;&gt;$E$38,E45&lt;&gt;$E$46,E45&lt;&gt;$E$47,E45&lt;&gt;$I$45)</formula>
    </cfRule>
    <cfRule type="containsBlanks" priority="192" dxfId="2" stopIfTrue="1">
      <formula>LEN(TRIM(E45))=0</formula>
    </cfRule>
    <cfRule type="expression" priority="193" dxfId="159" stopIfTrue="1">
      <formula>ABS(E45-C45)&gt;40000</formula>
    </cfRule>
    <cfRule type="expression" priority="194" dxfId="0" stopIfTrue="1">
      <formula>OR((AND(E45&gt;=C45*1000,C45&gt;0)),(AND(C45&gt;=E45*1000,E45&gt;0)))</formula>
    </cfRule>
    <cfRule type="cellIs" priority="195" dxfId="4" operator="lessThan" stopIfTrue="1">
      <formula>0</formula>
    </cfRule>
  </conditionalFormatting>
  <conditionalFormatting sqref="E46">
    <cfRule type="expression" priority="111" dxfId="0" stopIfTrue="1">
      <formula>AND(OR(E46=$C$39,E46=$C$40,E46=$C$41,E46=$C$42,E46=$C$43,E46=$C$44,E46=$C$45,E46=$C$38,E46=$C$47,E46=$G$46),E46&gt;0,E46&lt;&gt;$E$40,E46&lt;&gt;$E$39,E46&lt;&gt;$E$41,E46&lt;&gt;$E$42,E46&lt;&gt;$E$43,E46&lt;&gt;$E$44,E46&lt;&gt;$E$45,E46&lt;&gt;$E$38,E46&lt;&gt;$E$47,E46&lt;&gt;$I$46)</formula>
    </cfRule>
    <cfRule type="containsBlanks" priority="188" dxfId="2" stopIfTrue="1">
      <formula>LEN(TRIM(E46))=0</formula>
    </cfRule>
    <cfRule type="expression" priority="189" dxfId="159" stopIfTrue="1">
      <formula>ABS(E46-C46)&gt;40000</formula>
    </cfRule>
    <cfRule type="expression" priority="190" dxfId="0" stopIfTrue="1">
      <formula>OR((AND(E46&gt;=C46*1000,C46&gt;0)),(AND(C46&gt;=E46*1000,E46&gt;0)))</formula>
    </cfRule>
    <cfRule type="cellIs" priority="191" dxfId="4" operator="lessThan" stopIfTrue="1">
      <formula>0</formula>
    </cfRule>
  </conditionalFormatting>
  <conditionalFormatting sqref="E47">
    <cfRule type="expression" priority="110" dxfId="0" stopIfTrue="1">
      <formula>AND(OR(E47=$C$39,E47=$C$40,E47=$C$41,E47=$C$42,E47=$C$43,E47=$C$44,E47=$C$45,E47=$C$46,E47=$C$38,E47=$G$47),E47&gt;0,E47&lt;&gt;$E$40,E47&lt;&gt;$E$39,E47&lt;&gt;$E$41,E47&lt;&gt;$E$42,E47&lt;&gt;$E$43,E47&lt;&gt;$E$44,E47&lt;&gt;$E$45,E47&lt;&gt;$E$46,E47&lt;&gt;$E$38,E47&lt;&gt;$I$47)</formula>
    </cfRule>
    <cfRule type="containsBlanks" priority="184" dxfId="2" stopIfTrue="1">
      <formula>LEN(TRIM(E47))=0</formula>
    </cfRule>
    <cfRule type="expression" priority="185" dxfId="159" stopIfTrue="1">
      <formula>ABS(E47-C47)&gt;40000</formula>
    </cfRule>
    <cfRule type="expression" priority="186" dxfId="0" stopIfTrue="1">
      <formula>OR((AND(E47&gt;=C47*1000,C47&gt;0)),(AND(C47&gt;=E47*1000,E47&gt;0)))</formula>
    </cfRule>
    <cfRule type="cellIs" priority="187" dxfId="4" operator="lessThan" stopIfTrue="1">
      <formula>0</formula>
    </cfRule>
  </conditionalFormatting>
  <conditionalFormatting sqref="I39">
    <cfRule type="expression" priority="107" dxfId="0" stopIfTrue="1">
      <formula>"AND(OR(I39=$G$38,I39=$G$40,I39=$G$41,I39=$G$42,I39=$G$43,I39=$G$44,I39=$G$45,I39=$G$46,I39=$G$47,I39=$C$39),I39&gt;0,I39&lt;&gt;$I$40,I39&lt;&gt;$I$38,I39&lt;&gt;$I$41,I39&lt;&gt;$I$42,I39&lt;&gt;$I$43,I39&lt;&gt;$I$44,I39&lt;&gt;$I$45,I39&lt;&gt;$I$46,I39&lt;&gt;$I$47,I39&lt;&gt;$E$39)"</formula>
    </cfRule>
    <cfRule type="containsBlanks" priority="180" dxfId="2" stopIfTrue="1">
      <formula>LEN(TRIM(I39))=0</formula>
    </cfRule>
    <cfRule type="expression" priority="181" dxfId="159" stopIfTrue="1">
      <formula>ABS(I39-G39)&gt;40000</formula>
    </cfRule>
    <cfRule type="expression" priority="182" dxfId="0" stopIfTrue="1">
      <formula>OR((AND(I39&gt;=G39*1000,G39&gt;0)),(AND(G39&gt;=I39*1000,I39&gt;0)))</formula>
    </cfRule>
    <cfRule type="cellIs" priority="183" dxfId="4" operator="lessThan" stopIfTrue="1">
      <formula>0</formula>
    </cfRule>
  </conditionalFormatting>
  <conditionalFormatting sqref="I40">
    <cfRule type="expression" priority="106" dxfId="0" stopIfTrue="1">
      <formula>AND(OR(I40=$G$39,I40=$G$38,I40=$G$41,I40=$G$42,I40=$G$43,I40=$G$44,I40=$G$45,I40=$G$46,I40=$G$47,I40=$C$40),I40&gt;0,I40&lt;&gt;$I$38,I40&lt;&gt;$I$39,I40&lt;&gt;$I$41,I40&lt;&gt;$I$42,I40&lt;&gt;$I$43,I40&lt;&gt;$I$44,I40&lt;&gt;$I$45,I40&lt;&gt;$I$46,I40&lt;&gt;$I$47,I40&lt;&gt;$E$40)</formula>
    </cfRule>
    <cfRule type="containsBlanks" priority="176" dxfId="2" stopIfTrue="1">
      <formula>LEN(TRIM(I40))=0</formula>
    </cfRule>
    <cfRule type="expression" priority="177" dxfId="159" stopIfTrue="1">
      <formula>ABS(I40-G40)&gt;40000</formula>
    </cfRule>
    <cfRule type="expression" priority="178" dxfId="0" stopIfTrue="1">
      <formula>OR((AND(I40&gt;=G40*1000,G40&gt;0)),(AND(G40&gt;=I40*1000,I40&gt;0)))</formula>
    </cfRule>
    <cfRule type="cellIs" priority="179" dxfId="4" operator="lessThan" stopIfTrue="1">
      <formula>0</formula>
    </cfRule>
  </conditionalFormatting>
  <conditionalFormatting sqref="I41">
    <cfRule type="expression" priority="105" dxfId="0" stopIfTrue="1">
      <formula>AND(OR(I41=$G$39,I41=$G$40,I41=$G$38,I41=$G$42,I41=$G$43,I41=$G$44,I41=$G$45,I41=$G$46,I41=$G$47,I41=$C$41),I41&gt;0,I41&lt;&gt;$I$40,I41&lt;&gt;$I$39,I41&lt;&gt;$I$38,I41&lt;&gt;$I$42,I41&lt;&gt;$I$43,I41&lt;&gt;$I$44,I41&lt;&gt;$I$45,I41&lt;&gt;$I$46,I41&lt;&gt;$I$47,I41&lt;&gt;$E$41)</formula>
    </cfRule>
    <cfRule type="containsBlanks" priority="172" dxfId="2" stopIfTrue="1">
      <formula>LEN(TRIM(I41))=0</formula>
    </cfRule>
    <cfRule type="expression" priority="173" dxfId="159" stopIfTrue="1">
      <formula>ABS(I41-G41)&gt;40000</formula>
    </cfRule>
    <cfRule type="expression" priority="174" dxfId="0" stopIfTrue="1">
      <formula>OR((AND(I41&gt;=G41*1000,G41&gt;0)),(AND(G41&gt;=I41*1000,I41&gt;0)))</formula>
    </cfRule>
    <cfRule type="cellIs" priority="175" dxfId="4" operator="lessThan" stopIfTrue="1">
      <formula>0</formula>
    </cfRule>
  </conditionalFormatting>
  <conditionalFormatting sqref="I42">
    <cfRule type="expression" priority="104" dxfId="0" stopIfTrue="1">
      <formula>AND(OR(I42=$G$39,I42=$G$40,I42=$G$41,I42=$G$38,I42=$G$43,I42=$G$44,I42=$G$45,I42=$G$46,I42=$G$47,I42=$C$42),I42&gt;0,I42&lt;&gt;$I$40,I42&lt;&gt;$I$39,I42&lt;&gt;$I$41,I42&lt;&gt;$I$38,I42&lt;&gt;$I$43,I42&lt;&gt;$I$44,I42&lt;&gt;$I$45,I42&lt;&gt;$I$46,I42&lt;&gt;$I$47,I42&lt;&gt;$E$42)</formula>
    </cfRule>
    <cfRule type="containsBlanks" priority="168" dxfId="2" stopIfTrue="1">
      <formula>LEN(TRIM(I42))=0</formula>
    </cfRule>
    <cfRule type="expression" priority="169" dxfId="159" stopIfTrue="1">
      <formula>ABS(I42-G42)&gt;40000</formula>
    </cfRule>
    <cfRule type="expression" priority="170" dxfId="0" stopIfTrue="1">
      <formula>OR((AND(I42&gt;=G42*1000,G42&gt;0)),(AND(G42&gt;=I42*1000,I42&gt;0)))</formula>
    </cfRule>
    <cfRule type="cellIs" priority="171" dxfId="4" operator="lessThan" stopIfTrue="1">
      <formula>0</formula>
    </cfRule>
  </conditionalFormatting>
  <conditionalFormatting sqref="I43">
    <cfRule type="expression" priority="103" dxfId="0" stopIfTrue="1">
      <formula>AND(OR(I43=$G$39,I43=$G$40,I43=$G$41,I43=$G$42,I43=$G$38,I43=$G$44,I43=$G$45,I43=$G$46,I43=$G$47,I43=$C$43),I43&gt;0,I43&lt;&gt;$I$40,I43&lt;&gt;$I$39,I43&lt;&gt;$I$41,I43&lt;&gt;$I$42,I43&lt;&gt;$I$38,I43&lt;&gt;$I$44,I43&lt;&gt;$I$45,I43&lt;&gt;$I$46,I43&lt;&gt;$I$47,I43&lt;&gt;$E$43)</formula>
    </cfRule>
    <cfRule type="containsBlanks" priority="164" dxfId="2" stopIfTrue="1">
      <formula>LEN(TRIM(I43))=0</formula>
    </cfRule>
    <cfRule type="expression" priority="165" dxfId="159" stopIfTrue="1">
      <formula>ABS(I43-G43)&gt;40000</formula>
    </cfRule>
    <cfRule type="expression" priority="166" dxfId="0" stopIfTrue="1">
      <formula>OR((AND(I43&gt;=G43*1000,G43&gt;0)),(AND(G43&gt;=I43*1000,I43&gt;0)))</formula>
    </cfRule>
    <cfRule type="cellIs" priority="167" dxfId="4" operator="lessThan" stopIfTrue="1">
      <formula>0</formula>
    </cfRule>
  </conditionalFormatting>
  <conditionalFormatting sqref="I44">
    <cfRule type="expression" priority="102" dxfId="0" stopIfTrue="1">
      <formula>AND(OR(I44=$G$39,I44=$G$40,I44=$G$41,I44=$G$42,I44=$G$43,I44=$G$38,I44=$G$45,I44=$G$46,I44=$G$47,I44=$C$44),I44&gt;0,I44&lt;&gt;$I$40,I44&lt;&gt;$I$39,I44&lt;&gt;$I$41,I44&lt;&gt;$I$42,I44&lt;&gt;$I$43,I44&lt;&gt;$I$38,I44&lt;&gt;$I$45,I44&lt;&gt;$I$46,I44&lt;&gt;$I$47,I44&lt;&gt;$E$44)</formula>
    </cfRule>
    <cfRule type="containsBlanks" priority="160" dxfId="2" stopIfTrue="1">
      <formula>LEN(TRIM(I44))=0</formula>
    </cfRule>
    <cfRule type="expression" priority="161" dxfId="159" stopIfTrue="1">
      <formula>ABS(I44-G44)&gt;40000</formula>
    </cfRule>
    <cfRule type="expression" priority="162" dxfId="0" stopIfTrue="1">
      <formula>OR((AND(I44&gt;=G44*1000,G44&gt;0)),(AND(G44&gt;=I44*1000,I44&gt;0)))</formula>
    </cfRule>
    <cfRule type="cellIs" priority="163" dxfId="4" operator="lessThan" stopIfTrue="1">
      <formula>0</formula>
    </cfRule>
  </conditionalFormatting>
  <conditionalFormatting sqref="I45">
    <cfRule type="expression" priority="101" dxfId="0" stopIfTrue="1">
      <formula>AND(OR(I45=$G$39,I45=$G$40,I45=$G$41,I45=$G$42,I45=$G$43,I45=$G$44,I45=$G$38,I45=$G$46,I45=$G$47,I45=$C$45),I45&gt;0,I45&lt;&gt;$I$40,I45&lt;&gt;$I$39,I45&lt;&gt;$I$41,I45&lt;&gt;$I$42,I45&lt;&gt;$I$43,I45&lt;&gt;$I$44,I45&lt;&gt;$I$38,I45&lt;&gt;$I$46,I45&lt;&gt;$I$47,I45&lt;&gt;$E$45)</formula>
    </cfRule>
    <cfRule type="containsBlanks" priority="156" dxfId="2" stopIfTrue="1">
      <formula>LEN(TRIM(I45))=0</formula>
    </cfRule>
    <cfRule type="expression" priority="157" dxfId="159" stopIfTrue="1">
      <formula>ABS(I45-G45)&gt;40000</formula>
    </cfRule>
    <cfRule type="expression" priority="158" dxfId="0" stopIfTrue="1">
      <formula>OR((AND(I45&gt;=G45*1000,G45&gt;0)),(AND(G45&gt;=I45*1000,I45&gt;0)))</formula>
    </cfRule>
    <cfRule type="cellIs" priority="159" dxfId="4" operator="lessThan" stopIfTrue="1">
      <formula>0</formula>
    </cfRule>
  </conditionalFormatting>
  <conditionalFormatting sqref="I46">
    <cfRule type="expression" priority="100" dxfId="0" stopIfTrue="1">
      <formula>AND(OR(I46=$G$39,I46=$G$40,I46=$G$41,I46=$G$42,I46=$G$43,I46=$G$44,I46=$G$45,I46=$G$38,I46=$G$47,I46=$C$46),I46&gt;0,I46&lt;&gt;$I$40,I46&lt;&gt;$I$39,I46&lt;&gt;$I$41,I46&lt;&gt;$I$42,I46&lt;&gt;$I$43,I46&lt;&gt;$I$44,I46&lt;&gt;$I$45,I46&lt;&gt;$I$38,I46&lt;&gt;$I$47,I46&lt;&gt;$E$46)</formula>
    </cfRule>
    <cfRule type="containsBlanks" priority="152" dxfId="2" stopIfTrue="1">
      <formula>LEN(TRIM(I46))=0</formula>
    </cfRule>
    <cfRule type="expression" priority="153" dxfId="159" stopIfTrue="1">
      <formula>ABS(I46-G46)&gt;40000</formula>
    </cfRule>
    <cfRule type="expression" priority="154" dxfId="0" stopIfTrue="1">
      <formula>OR((AND(I46&gt;=G46*1000,G46&gt;0)),(AND(G46&gt;=I46*1000,I46&gt;0)))</formula>
    </cfRule>
    <cfRule type="cellIs" priority="155" dxfId="4" operator="lessThan" stopIfTrue="1">
      <formula>0</formula>
    </cfRule>
  </conditionalFormatting>
  <conditionalFormatting sqref="I47">
    <cfRule type="expression" priority="99" dxfId="0" stopIfTrue="1">
      <formula>AND(OR(I47=$G$39,I47=$G$40,I47=$G$41,I47=$G$42,I47=$G$43,I47=$G$44,I47=$G$45,I47=$G$46,I47=$G$38,I47=$C$47),I47&gt;0,I47&lt;&gt;$I$40,I47&lt;&gt;$I$39,I47&lt;&gt;$I$41,I47&lt;&gt;$I$42,I47&lt;&gt;$I$43,I47&lt;&gt;$I$44,I47&lt;&gt;$I$45,I47&lt;&gt;$I$46,I47&lt;&gt;$I$38,I47&lt;&gt;$E$47)</formula>
    </cfRule>
    <cfRule type="containsBlanks" priority="148" dxfId="2" stopIfTrue="1">
      <formula>LEN(TRIM(I47))=0</formula>
    </cfRule>
    <cfRule type="expression" priority="149" dxfId="159" stopIfTrue="1">
      <formula>ABS(I47-G47)&gt;40000</formula>
    </cfRule>
    <cfRule type="expression" priority="150" dxfId="0" stopIfTrue="1">
      <formula>OR((AND(I47&gt;=G47*1000,G47&gt;0)),(AND(G47&gt;=I47*1000,I47&gt;0)))</formula>
    </cfRule>
    <cfRule type="cellIs" priority="151" dxfId="4" operator="lessThan" stopIfTrue="1">
      <formula>0</formula>
    </cfRule>
  </conditionalFormatting>
  <conditionalFormatting sqref="E26">
    <cfRule type="containsBlanks" priority="142" dxfId="2" stopIfTrue="1">
      <formula>LEN(TRIM(E26))=0</formula>
    </cfRule>
    <cfRule type="expression" priority="143" dxfId="0" stopIfTrue="1">
      <formula>AND(OR(E26=$C$25,E26=$C$27,E26=$C$28,E26=$C$29),E26&gt;0,E26&lt;&gt;$E$27,E26&lt;&gt;$E$25,E26&lt;&gt;$E$28,E26&lt;&gt;$E$29)</formula>
    </cfRule>
    <cfRule type="expression" priority="144" dxfId="159" stopIfTrue="1">
      <formula>ABS(E26-C26)&gt;40000</formula>
    </cfRule>
    <cfRule type="expression" priority="145" dxfId="0" stopIfTrue="1">
      <formula>OR((AND(E26&gt;=C26*1000,C26&gt;0)),(AND(C26&gt;=E26*1000,E26&gt;0)))</formula>
    </cfRule>
    <cfRule type="cellIs" priority="146" dxfId="4" operator="lessThan" stopIfTrue="1">
      <formula>0</formula>
    </cfRule>
  </conditionalFormatting>
  <conditionalFormatting sqref="E28">
    <cfRule type="containsBlanks" priority="132" dxfId="2" stopIfTrue="1">
      <formula>LEN(TRIM(E28))=0</formula>
    </cfRule>
    <cfRule type="expression" priority="133" dxfId="0" stopIfTrue="1">
      <formula>AND(OR(E28=$C$25,E28=$C$26,E28=$C$27,E28=$C$29),E28&gt;0,E28&lt;&gt;$E$26,E28&lt;&gt;$E$25,E28&lt;&gt;$E$27,E28&lt;&gt;$E$29)</formula>
    </cfRule>
    <cfRule type="expression" priority="134" dxfId="159" stopIfTrue="1">
      <formula>ABS(E28-C28)&gt;40000</formula>
    </cfRule>
    <cfRule type="expression" priority="135" dxfId="0" stopIfTrue="1">
      <formula>OR((AND(E28&gt;=C28*1000,C28&gt;0)),(AND(C28&gt;=E28*1000,E28&gt;0)))</formula>
    </cfRule>
    <cfRule type="cellIs" priority="136" dxfId="4" operator="lessThan" stopIfTrue="1">
      <formula>0</formula>
    </cfRule>
  </conditionalFormatting>
  <conditionalFormatting sqref="E29">
    <cfRule type="containsBlanks" priority="127" dxfId="2" stopIfTrue="1">
      <formula>LEN(TRIM(E29))=0</formula>
    </cfRule>
    <cfRule type="expression" priority="128" dxfId="0" stopIfTrue="1">
      <formula>AND(OR(E29=$C$25,E29=$C$26,E29=$C$28,E29=$C$27),E29&gt;0,E29&lt;&gt;$E$26,E29&lt;&gt;$E$25,E29&lt;&gt;$E$28,E29&lt;&gt;$E$27)</formula>
    </cfRule>
    <cfRule type="expression" priority="129" dxfId="159" stopIfTrue="1">
      <formula>ABS(E29-C29)&gt;40000</formula>
    </cfRule>
    <cfRule type="expression" priority="130" dxfId="0" stopIfTrue="1">
      <formula>OR((AND(E29&gt;=C29*1000,C29&gt;0)),(AND(C29&gt;=E29*1000,E29&gt;0)))</formula>
    </cfRule>
    <cfRule type="cellIs" priority="131" dxfId="4" operator="lessThan" stopIfTrue="1">
      <formula>0</formula>
    </cfRule>
  </conditionalFormatting>
  <conditionalFormatting sqref="E27">
    <cfRule type="containsBlanks" priority="121" dxfId="2" stopIfTrue="1">
      <formula>LEN(TRIM(E27))=0</formula>
    </cfRule>
    <cfRule type="expression" priority="122" dxfId="0" stopIfTrue="1">
      <formula>AND(OR(E27=$C$25,E27=$C$26,E27=$C$28,E27=$C$29),E27&gt;0,E27&lt;&gt;$E$26,E27&lt;&gt;$E$25,E27&lt;&gt;$E$28,E27&lt;&gt;$E$29)</formula>
    </cfRule>
    <cfRule type="expression" priority="123" dxfId="159" stopIfTrue="1">
      <formula>ABS(E27-C27)&gt;40000</formula>
    </cfRule>
    <cfRule type="expression" priority="124" dxfId="0" stopIfTrue="1">
      <formula>OR((AND(E27&gt;=C27*1000,C27&gt;0)),(AND(C27&gt;=E27*1000,E27&gt;0)))</formula>
    </cfRule>
    <cfRule type="cellIs" priority="125" dxfId="4" operator="lessThan" stopIfTrue="1">
      <formula>0</formula>
    </cfRule>
  </conditionalFormatting>
  <conditionalFormatting sqref="E63">
    <cfRule type="containsBlanks" priority="86" dxfId="2" stopIfTrue="1">
      <formula>LEN(TRIM(E63))=0</formula>
    </cfRule>
    <cfRule type="cellIs" priority="87" dxfId="4" operator="lessThan" stopIfTrue="1">
      <formula>0</formula>
    </cfRule>
    <cfRule type="expression" priority="88" dxfId="159" stopIfTrue="1">
      <formula>ABS(E63-C63)&gt;40000</formula>
    </cfRule>
    <cfRule type="expression" priority="89" dxfId="0" stopIfTrue="1">
      <formula>OR((AND(E63&gt;=C63*1000,C63&gt;0)),(AND(C63&gt;=E63*1000,E63&gt;0)))</formula>
    </cfRule>
    <cfRule type="expression" priority="90" dxfId="0" stopIfTrue="1">
      <formula>AND(OR(E63=$C$64,E63=$C$65,E63=$C$66,E63=$C$67),E63&gt;0,E63&lt;&gt;$E$64,E63&lt;&gt;$E$65,E63&lt;&gt;$E$66,E63&lt;&gt;$E$67)</formula>
    </cfRule>
  </conditionalFormatting>
  <conditionalFormatting sqref="E64">
    <cfRule type="containsBlanks" priority="81" dxfId="2" stopIfTrue="1">
      <formula>LEN(TRIM(E64))=0</formula>
    </cfRule>
    <cfRule type="expression" priority="82" dxfId="0" stopIfTrue="1">
      <formula>AND(OR(E64=$C$63,E64=$C$65,E64=$C$66,E64=$C$67),E64&gt;0,E64&lt;&gt;$E$63,E64&lt;&gt;$E$65,E64&lt;&gt;$E$66,E64&lt;&gt;$E$67)</formula>
    </cfRule>
    <cfRule type="expression" priority="83" dxfId="159" stopIfTrue="1">
      <formula>ABS(E64-C64)&gt;40000</formula>
    </cfRule>
    <cfRule type="expression" priority="84" dxfId="0" stopIfTrue="1">
      <formula>OR((AND(E64&gt;=C64*1000,C64&gt;0)),(AND(C64&gt;=E64*1000,E64&gt;0)))</formula>
    </cfRule>
    <cfRule type="cellIs" priority="85" dxfId="4" operator="lessThan" stopIfTrue="1">
      <formula>0</formula>
    </cfRule>
  </conditionalFormatting>
  <conditionalFormatting sqref="E65">
    <cfRule type="containsBlanks" priority="76" dxfId="2" stopIfTrue="1">
      <formula>LEN(TRIM(E65))=0</formula>
    </cfRule>
    <cfRule type="cellIs" priority="77" dxfId="4" operator="lessThan" stopIfTrue="1">
      <formula>0</formula>
    </cfRule>
    <cfRule type="expression" priority="78" dxfId="159" stopIfTrue="1">
      <formula>ABS(E65-C65)&gt;40000</formula>
    </cfRule>
    <cfRule type="expression" priority="79" dxfId="0" stopIfTrue="1">
      <formula>OR((AND(E65&gt;=C65*1000,C65&gt;0)),(AND(C65&gt;=E65*1000,E65&gt;0)))</formula>
    </cfRule>
    <cfRule type="expression" priority="80" dxfId="0" stopIfTrue="1">
      <formula>AND(OR(E65=$C$64,E65=$C$63,E65=$C$66,E65=$C$67),E65&gt;0,E65&lt;&gt;$E$64,E65&lt;&gt;$E$63,E65&lt;&gt;$E$66,E65&lt;&gt;$E$67)</formula>
    </cfRule>
  </conditionalFormatting>
  <conditionalFormatting sqref="E66">
    <cfRule type="containsBlanks" priority="71" dxfId="2" stopIfTrue="1">
      <formula>LEN(TRIM(E66))=0</formula>
    </cfRule>
    <cfRule type="cellIs" priority="72" dxfId="4" operator="lessThan" stopIfTrue="1">
      <formula>0</formula>
    </cfRule>
    <cfRule type="expression" priority="73" dxfId="159" stopIfTrue="1">
      <formula>ABS(E66-C66)&gt;40000</formula>
    </cfRule>
    <cfRule type="expression" priority="74" dxfId="0" stopIfTrue="1">
      <formula>OR((AND(E66&gt;=C66*1000,C66&gt;0)),(AND(C66&gt;=E66*1000,E66&gt;0)))</formula>
    </cfRule>
    <cfRule type="expression" priority="75" dxfId="0" stopIfTrue="1">
      <formula>AND(OR(E66=$C$64,E66=$C$65,E66=$C$63,E66=$C$67),E66&gt;0,E66&lt;&gt;$E$64,E66&lt;&gt;$E$65,E66&lt;&gt;$E$63,E66&lt;&gt;$E$67)</formula>
    </cfRule>
  </conditionalFormatting>
  <conditionalFormatting sqref="E67">
    <cfRule type="containsBlanks" priority="66" dxfId="2" stopIfTrue="1">
      <formula>LEN(TRIM(E67))=0</formula>
    </cfRule>
    <cfRule type="cellIs" priority="67" dxfId="4" operator="lessThan" stopIfTrue="1">
      <formula>0</formula>
    </cfRule>
    <cfRule type="expression" priority="68" dxfId="159" stopIfTrue="1">
      <formula>ABS(E67-C67)&gt;40000</formula>
    </cfRule>
    <cfRule type="expression" priority="69" dxfId="0" stopIfTrue="1">
      <formula>OR((AND(E67&gt;=C67*1000,C67&gt;0)),(AND(C67&gt;=E67*1000,E67&gt;0)))</formula>
    </cfRule>
    <cfRule type="expression" priority="70" dxfId="0" stopIfTrue="1">
      <formula>AND(OR(E67=$C$64,E67=$C$65,E67=$C$66,E67=$C$63),E67&gt;0,E67&lt;&gt;$E$64,E67&lt;&gt;$E$65,E67&lt;&gt;$E$66,E67&lt;&gt;$E$63)</formula>
    </cfRule>
  </conditionalFormatting>
  <conditionalFormatting sqref="E86">
    <cfRule type="cellIs" priority="59" dxfId="4" operator="lessThan" stopIfTrue="1">
      <formula>0</formula>
    </cfRule>
    <cfRule type="expression" priority="60" dxfId="33" stopIfTrue="1">
      <formula>$S$90=1</formula>
    </cfRule>
  </conditionalFormatting>
  <conditionalFormatting sqref="E79">
    <cfRule type="containsBlanks" priority="54" dxfId="2" stopIfTrue="1">
      <formula>LEN(TRIM(E79))=0</formula>
    </cfRule>
    <cfRule type="cellIs" priority="55" dxfId="4" operator="lessThan" stopIfTrue="1">
      <formula>0</formula>
    </cfRule>
    <cfRule type="expression" priority="56" dxfId="159" stopIfTrue="1">
      <formula>ABS(E79-C79)&gt;40000</formula>
    </cfRule>
    <cfRule type="expression" priority="57" dxfId="0" stopIfTrue="1">
      <formula>OR((AND(E79&gt;=C79*1000,C79&gt;0)),(AND(C79&gt;=E79*1000,E79&gt;0)))</formula>
    </cfRule>
    <cfRule type="expression" priority="58" dxfId="0" stopIfTrue="1">
      <formula>AND(E79=$C$80,E79&gt;0,E79&lt;&gt;C79)</formula>
    </cfRule>
  </conditionalFormatting>
  <conditionalFormatting sqref="E80">
    <cfRule type="containsBlanks" priority="1" dxfId="2" stopIfTrue="1">
      <formula>LEN(TRIM(E80))=0</formula>
    </cfRule>
    <cfRule type="expression" priority="7" dxfId="0" stopIfTrue="1">
      <formula>(ABS($E$80-$C$80)*1.04)&lt;(ABS($E$85-$E$86))</formula>
    </cfRule>
    <cfRule type="expression" priority="49" dxfId="0" stopIfTrue="1">
      <formula>IF($G$56="Deposits",IF($E$80&lt;&gt;$O$75,"Please complete breakdown in boxes 48-59",""),"")</formula>
    </cfRule>
    <cfRule type="cellIs" priority="50" dxfId="4" operator="lessThan" stopIfTrue="1">
      <formula>0</formula>
    </cfRule>
    <cfRule type="expression" priority="51" dxfId="159" stopIfTrue="1">
      <formula>ABS(E80-C80)&gt;40000</formula>
    </cfRule>
    <cfRule type="expression" priority="52" dxfId="0" stopIfTrue="1">
      <formula>OR((AND(E80&gt;=C80*1000,C80&gt;0)),(AND(C80&gt;=E80*1000,E80&gt;0)))</formula>
    </cfRule>
    <cfRule type="expression" priority="53" dxfId="0" stopIfTrue="1">
      <formula>AND(E80=$C$79,E80&gt;0,E80&lt;&gt;C80)</formula>
    </cfRule>
  </conditionalFormatting>
  <conditionalFormatting sqref="E57">
    <cfRule type="containsBlanks" priority="44" dxfId="2" stopIfTrue="1">
      <formula>LEN(TRIM(E57))=0</formula>
    </cfRule>
    <cfRule type="cellIs" priority="45" dxfId="4" operator="lessThan" stopIfTrue="1">
      <formula>0</formula>
    </cfRule>
    <cfRule type="expression" priority="46" dxfId="159" stopIfTrue="1">
      <formula>ABS(E57-C57)&gt;40000</formula>
    </cfRule>
    <cfRule type="expression" priority="47" dxfId="0" stopIfTrue="1">
      <formula>OR((AND(E57&gt;=C57*1000,C57&gt;0)),(AND(C57&gt;=E57*1000,E57&gt;0)))</formula>
    </cfRule>
    <cfRule type="expression" priority="48" dxfId="0" stopIfTrue="1">
      <formula>AND(OR(E57=$C$58,E57=$C$59,E57=$C$60),E57&gt;0,E57&lt;&gt;$E$58,E57&lt;&gt;$E$59,E57&lt;&gt;$E$60)</formula>
    </cfRule>
  </conditionalFormatting>
  <conditionalFormatting sqref="E58">
    <cfRule type="containsBlanks" priority="39" dxfId="2" stopIfTrue="1">
      <formula>LEN(TRIM(E58))=0</formula>
    </cfRule>
    <cfRule type="cellIs" priority="40" dxfId="4" operator="lessThan" stopIfTrue="1">
      <formula>0</formula>
    </cfRule>
    <cfRule type="expression" priority="41" dxfId="159" stopIfTrue="1">
      <formula>ABS(E58-C58)&gt;40000</formula>
    </cfRule>
    <cfRule type="expression" priority="42" dxfId="0" stopIfTrue="1">
      <formula>OR((AND(E58&gt;=C58*1000,C58&gt;0)),(AND(C58&gt;=E58*1000,E58&gt;0)))</formula>
    </cfRule>
    <cfRule type="expression" priority="43" dxfId="0" stopIfTrue="1">
      <formula>AND(OR(E58=$C$57,E58=$C$59,E58=$C$60),E58&gt;0,E58&lt;&gt;$E$57,E58&lt;&gt;$E$59,E58&lt;&gt;$E$60)</formula>
    </cfRule>
  </conditionalFormatting>
  <conditionalFormatting sqref="E59">
    <cfRule type="containsBlanks" priority="34" dxfId="2" stopIfTrue="1">
      <formula>LEN(TRIM(E59))=0</formula>
    </cfRule>
    <cfRule type="cellIs" priority="35" dxfId="4" operator="lessThan" stopIfTrue="1">
      <formula>0</formula>
    </cfRule>
    <cfRule type="expression" priority="36" dxfId="159" stopIfTrue="1">
      <formula>ABS(E59-C59)&gt;40000</formula>
    </cfRule>
    <cfRule type="expression" priority="37" dxfId="0" stopIfTrue="1">
      <formula>OR((AND(E59&gt;=C59*1000,C59&gt;0)),(AND(C59&gt;=E59*1000,E59&gt;0)))</formula>
    </cfRule>
    <cfRule type="expression" priority="38" dxfId="0" stopIfTrue="1">
      <formula>AND(OR(E59=$C$58,E59=$C$57,E59=$C$60),E59&gt;0,E59&lt;&gt;$E$58,E59&lt;&gt;$E$57,E59&lt;&gt;$E$60)</formula>
    </cfRule>
  </conditionalFormatting>
  <conditionalFormatting sqref="E60">
    <cfRule type="containsBlanks" priority="29" dxfId="2" stopIfTrue="1">
      <formula>LEN(TRIM(E60))=0</formula>
    </cfRule>
    <cfRule type="cellIs" priority="30" dxfId="4" operator="lessThan" stopIfTrue="1">
      <formula>0</formula>
    </cfRule>
    <cfRule type="expression" priority="31" dxfId="159" stopIfTrue="1">
      <formula>ABS(E60-C60)&gt;40000</formula>
    </cfRule>
    <cfRule type="expression" priority="32" dxfId="0" stopIfTrue="1">
      <formula>OR((AND(E60&gt;=C60*1000,C60&gt;0)),(AND(C60&gt;=E60*1000,E60&gt;0)))</formula>
    </cfRule>
    <cfRule type="expression" priority="33" dxfId="0" stopIfTrue="1">
      <formula>AND(OR(E60=$C$58,E60=$C$59,E60=$C$57),E60&gt;0,E60&lt;&gt;$E$58,E60&lt;&gt;$E$59,E60&lt;&gt;$E$57)</formula>
    </cfRule>
  </conditionalFormatting>
  <conditionalFormatting sqref="E70">
    <cfRule type="containsBlanks" priority="24" dxfId="2" stopIfTrue="1">
      <formula>LEN(TRIM(E70))=0</formula>
    </cfRule>
    <cfRule type="cellIs" priority="25" dxfId="4" operator="lessThan" stopIfTrue="1">
      <formula>0</formula>
    </cfRule>
    <cfRule type="expression" priority="26" dxfId="159" stopIfTrue="1">
      <formula>ABS(E70-C70)&gt;40000</formula>
    </cfRule>
    <cfRule type="expression" priority="27" dxfId="0" stopIfTrue="1">
      <formula>OR((AND(E70&gt;=C70*1000,C70&gt;0)),(AND(C70&gt;=E70*1000,E70&gt;0)))</formula>
    </cfRule>
    <cfRule type="expression" priority="28" dxfId="0" stopIfTrue="1">
      <formula>AND(OR(E70=$C$71,E70=$C$72,E70=$C$73),E70&gt;0,E70&lt;&gt;$E$71,E70&lt;&gt;$E$72,E70&lt;&gt;$E$73)</formula>
    </cfRule>
  </conditionalFormatting>
  <conditionalFormatting sqref="E71">
    <cfRule type="containsBlanks" priority="19" dxfId="2" stopIfTrue="1">
      <formula>LEN(TRIM(E71))=0</formula>
    </cfRule>
    <cfRule type="cellIs" priority="20" dxfId="4" operator="lessThan" stopIfTrue="1">
      <formula>0</formula>
    </cfRule>
    <cfRule type="expression" priority="21" dxfId="159" stopIfTrue="1">
      <formula>ABS(E71-C71)&gt;40000</formula>
    </cfRule>
    <cfRule type="expression" priority="22" dxfId="0" stopIfTrue="1">
      <formula>OR((AND(E71&gt;=C71*1000,C71&gt;0)),(AND(C71&gt;=E71*1000,E71&gt;0)))</formula>
    </cfRule>
    <cfRule type="expression" priority="23" dxfId="0" stopIfTrue="1">
      <formula>AND(OR(E71=$C$70,E71=$C$72,E71=$C$73),E71&gt;0,E71&lt;&gt;$E$70,E71&lt;&gt;$E$72,E71&lt;&gt;$E$73)</formula>
    </cfRule>
  </conditionalFormatting>
  <conditionalFormatting sqref="E72">
    <cfRule type="containsBlanks" priority="14" dxfId="2" stopIfTrue="1">
      <formula>LEN(TRIM(E72))=0</formula>
    </cfRule>
    <cfRule type="cellIs" priority="15" dxfId="4" operator="lessThan" stopIfTrue="1">
      <formula>0</formula>
    </cfRule>
    <cfRule type="expression" priority="16" dxfId="159" stopIfTrue="1">
      <formula>ABS(E72-C72)&gt;40000</formula>
    </cfRule>
    <cfRule type="expression" priority="17" dxfId="0" stopIfTrue="1">
      <formula>OR((AND(E72&gt;=C72*1000,C72&gt;0)),(AND(C72&gt;=E72*1000,E72&gt;0)))</formula>
    </cfRule>
    <cfRule type="expression" priority="18" dxfId="0" stopIfTrue="1">
      <formula>AND(OR(E72=$C$70,E72=$C$71,E72=$C$73),E72&gt;0,E72&lt;&gt;$E$70,E72&lt;&gt;$E$71,E72&lt;&gt;$E$73)</formula>
    </cfRule>
  </conditionalFormatting>
  <conditionalFormatting sqref="E73">
    <cfRule type="containsBlanks" priority="9" dxfId="2" stopIfTrue="1">
      <formula>LEN(TRIM(E73))=0</formula>
    </cfRule>
    <cfRule type="cellIs" priority="10" dxfId="4" operator="lessThan" stopIfTrue="1">
      <formula>0</formula>
    </cfRule>
    <cfRule type="expression" priority="11" dxfId="159" stopIfTrue="1">
      <formula>ABS(E73-C73)&gt;40000</formula>
    </cfRule>
    <cfRule type="expression" priority="12" dxfId="0" stopIfTrue="1">
      <formula>OR((AND(E73&gt;=C73*1000,C73&gt;0)),(AND(C73&gt;=E73*1000,E73&gt;0)))</formula>
    </cfRule>
    <cfRule type="expression" priority="13" dxfId="0" stopIfTrue="1">
      <formula>AND(OR(E73=$C$70,E73=$C$72,E73=$C$71),E73&gt;0,E73&lt;&gt;$E$70,E73&lt;&gt;$E$72,E73&lt;&gt;$E$71)</formula>
    </cfRule>
  </conditionalFormatting>
  <conditionalFormatting sqref="I37">
    <cfRule type="containsBlanks" priority="2" dxfId="2" stopIfTrue="1">
      <formula>LEN(TRIM(I37))=0</formula>
    </cfRule>
    <cfRule type="expression" priority="3" dxfId="159" stopIfTrue="1">
      <formula>ABS(I37-G37)&gt;40000</formula>
    </cfRule>
    <cfRule type="expression" priority="4" dxfId="0" stopIfTrue="1">
      <formula>OR((AND(I37&gt;=G37*1000,G37&gt;0)),(AND(G37&gt;=I37*1000,I37&gt;0)))</formula>
    </cfRule>
    <cfRule type="cellIs" priority="5" dxfId="4" operator="lessThanOrEqual" stopIfTrue="1">
      <formula>-1</formula>
    </cfRule>
    <cfRule type="expression" priority="6" dxfId="0" stopIfTrue="1">
      <formula>AND((OR($I$37=$G$38,$I$37=$G$39,$I$37=$G$40,$I$37=$G$41,$I$37=$H$42,$I$37=$G$43,$I$37=$G$44,$I$37=$G$45,$I$37=$G$46,$I$37=$G$47)),$I$37&gt;0,$I$37&lt;&gt;$G$37)</formula>
    </cfRule>
  </conditionalFormatting>
  <dataValidations count="7">
    <dataValidation type="whole" operator="greaterThanOrEqual" allowBlank="1" showInputMessage="1" showErrorMessage="1" error="Figures should be positive whole numbers." sqref="C38:C48 I39:I45 I37 E25:E29 E57:E60 E63:E67 E70:E73 E79 C25:C30 C57:C60 C63:C67 C70:C73 C75 C79:C80 C85:C87 M75 M70:M73 M63:M67 M57:M59 G37:G48 E38:E47">
      <formula1>0</formula1>
    </dataValidation>
    <dataValidation errorStyle="warning" type="custom" operator="equal" allowBlank="1" showInputMessage="1" showErrorMessage="1" errorTitle="Externally Managed Funds Error" error="Any change in Box 45 -the amount of other externally managed funds -between this month and last, needs to be accounted for in boxes 46 and 47." sqref="E85:E87">
      <formula1>$S$90=0</formula1>
    </dataValidation>
    <dataValidation errorStyle="warning" type="custom" operator="greaterThanOrEqual" allowBlank="1" showInputMessage="1" showErrorMessage="1" errorTitle="Inconsistency in amount recorded" error="The total investments in externally managed funds differs to the amount recorded in last month's form.&#10;Please check the figures." sqref="O57:O59 O63:O67 O70:O73">
      <formula1>$S$77=0</formula1>
    </dataValidation>
    <dataValidation errorStyle="warning" type="custom" showInputMessage="1" showErrorMessage="1" errorTitle="Please do not inupt a total" error="Please provide a breakdown in boxes 48-59. A total will be automatically calculated." sqref="O75">
      <formula1>SUM(O57:O59,O63:O67,O70:O73)</formula1>
    </dataValidation>
    <dataValidation type="list" allowBlank="1" showInputMessage="1" showErrorMessage="1" sqref="K8:L8">
      <formula1>$E$141:$E$152</formula1>
    </dataValidation>
    <dataValidation type="list" allowBlank="1" showInputMessage="1" showErrorMessage="1" sqref="A8:G8">
      <formula1>$A$140:$A$302</formula1>
    </dataValidation>
    <dataValidation errorStyle="warning" type="custom" operator="equal" allowBlank="1" showInputMessage="1" showErrorMessage="1" errorTitle="Externally Managed Funds Error" error="Any change in Box 45 -the amount of other externally managed funds -between this month and last, needs to be accounted for in boxes 46 and 47." sqref="E80">
      <formula1>$R$86=0</formula1>
    </dataValidation>
  </dataValidations>
  <hyperlinks>
    <hyperlink ref="J79" location="Validation!A23" display="(please see validation)"/>
  </hyperlinks>
  <printOptions/>
  <pageMargins left="0.17" right="0.17" top="0.31" bottom="0.31" header="0.3" footer="0.3"/>
  <pageSetup fitToHeight="1" fitToWidth="1" horizontalDpi="600" verticalDpi="600" orientation="portrait" paperSize="9" scale="58" r:id="rId4"/>
  <headerFooter>
    <oddHeader>&amp;L&amp;G</oddHeader>
  </headerFooter>
  <legacyDrawing r:id="rId2"/>
  <legacyDrawingHF r:id="rId3"/>
</worksheet>
</file>

<file path=xl/worksheets/sheet4.xml><?xml version="1.0" encoding="utf-8"?>
<worksheet xmlns="http://schemas.openxmlformats.org/spreadsheetml/2006/main" xmlns:r="http://schemas.openxmlformats.org/officeDocument/2006/relationships">
  <dimension ref="A1:Q60"/>
  <sheetViews>
    <sheetView zoomScaleSheetLayoutView="84" zoomScalePageLayoutView="0" workbookViewId="0" topLeftCell="A1">
      <selection activeCell="A1" sqref="A1"/>
    </sheetView>
  </sheetViews>
  <sheetFormatPr defaultColWidth="8.88671875" defaultRowHeight="15"/>
  <cols>
    <col min="1" max="7" width="8.88671875" style="1" customWidth="1"/>
    <col min="8" max="9" width="10.4453125" style="1" bestFit="1" customWidth="1"/>
    <col min="10" max="10" width="9.10546875" style="1" bestFit="1" customWidth="1"/>
    <col min="11" max="13" width="8.88671875" style="1" customWidth="1"/>
    <col min="14" max="23" width="8.88671875" style="132" customWidth="1"/>
    <col min="24" max="16384" width="8.88671875" style="1" customWidth="1"/>
  </cols>
  <sheetData>
    <row r="1" spans="1:13" ht="15">
      <c r="A1" s="68" t="e">
        <f>LA_info!D2</f>
        <v>#N/A</v>
      </c>
      <c r="B1" s="43"/>
      <c r="C1" s="43"/>
      <c r="D1" s="43"/>
      <c r="E1" s="43"/>
      <c r="F1" s="43"/>
      <c r="G1" s="43"/>
      <c r="H1" s="43"/>
      <c r="I1" s="43"/>
      <c r="J1" s="43"/>
      <c r="K1" s="43"/>
      <c r="L1" s="43"/>
      <c r="M1" s="44"/>
    </row>
    <row r="2" spans="1:13" ht="15">
      <c r="A2" s="69" t="s">
        <v>355</v>
      </c>
      <c r="B2" s="46"/>
      <c r="C2" s="46"/>
      <c r="D2" s="46"/>
      <c r="E2" s="46"/>
      <c r="F2" s="46"/>
      <c r="G2" s="46"/>
      <c r="H2" s="46"/>
      <c r="I2" s="46"/>
      <c r="J2" s="46"/>
      <c r="K2" s="46"/>
      <c r="L2" s="46"/>
      <c r="M2" s="47"/>
    </row>
    <row r="3" spans="1:13" ht="15">
      <c r="A3" s="69" t="s">
        <v>356</v>
      </c>
      <c r="B3" s="46"/>
      <c r="C3" s="46"/>
      <c r="D3" s="46"/>
      <c r="E3" s="46"/>
      <c r="F3" s="46"/>
      <c r="G3" s="46"/>
      <c r="H3" s="46"/>
      <c r="I3" s="46"/>
      <c r="J3" s="46"/>
      <c r="K3" s="46"/>
      <c r="L3" s="46"/>
      <c r="M3" s="47"/>
    </row>
    <row r="4" spans="1:13" ht="15">
      <c r="A4" s="69" t="s">
        <v>357</v>
      </c>
      <c r="B4" s="46"/>
      <c r="C4" s="46"/>
      <c r="D4" s="46"/>
      <c r="E4" s="46"/>
      <c r="F4" s="46"/>
      <c r="G4" s="46"/>
      <c r="H4" s="46"/>
      <c r="I4" s="46"/>
      <c r="J4" s="46"/>
      <c r="K4" s="46"/>
      <c r="L4" s="46"/>
      <c r="M4" s="47"/>
    </row>
    <row r="5" spans="1:13" ht="15">
      <c r="A5" s="45"/>
      <c r="B5" s="46"/>
      <c r="C5" s="46"/>
      <c r="D5" s="46"/>
      <c r="E5" s="46"/>
      <c r="F5" s="46"/>
      <c r="G5" s="46"/>
      <c r="H5" s="46"/>
      <c r="I5" s="46"/>
      <c r="J5" s="46"/>
      <c r="K5" s="46"/>
      <c r="L5" s="46"/>
      <c r="M5" s="47"/>
    </row>
    <row r="6" spans="1:13" ht="15">
      <c r="A6" s="70" t="s">
        <v>358</v>
      </c>
      <c r="B6" s="46"/>
      <c r="C6" s="46"/>
      <c r="D6" s="46"/>
      <c r="E6" s="46"/>
      <c r="F6" s="46"/>
      <c r="G6" s="46"/>
      <c r="H6" s="46"/>
      <c r="I6" s="46"/>
      <c r="J6" s="46"/>
      <c r="K6" s="46"/>
      <c r="L6" s="46"/>
      <c r="M6" s="47"/>
    </row>
    <row r="7" spans="1:13" ht="15.75" thickBot="1">
      <c r="A7" s="53"/>
      <c r="B7" s="54"/>
      <c r="C7" s="54"/>
      <c r="D7" s="54"/>
      <c r="E7" s="54"/>
      <c r="F7" s="54"/>
      <c r="G7" s="54"/>
      <c r="H7" s="54"/>
      <c r="I7" s="54"/>
      <c r="J7" s="54"/>
      <c r="K7" s="54"/>
      <c r="L7" s="54"/>
      <c r="M7" s="55"/>
    </row>
    <row r="8" spans="1:13" ht="15">
      <c r="A8" s="71"/>
      <c r="B8" s="72"/>
      <c r="C8" s="72"/>
      <c r="D8" s="72"/>
      <c r="E8" s="72"/>
      <c r="F8" s="72"/>
      <c r="G8" s="72"/>
      <c r="H8" s="72"/>
      <c r="I8" s="72"/>
      <c r="J8" s="72"/>
      <c r="K8" s="72"/>
      <c r="L8" s="72"/>
      <c r="M8" s="73"/>
    </row>
    <row r="9" spans="1:13" ht="15">
      <c r="A9" s="96" t="s">
        <v>359</v>
      </c>
      <c r="B9" s="72"/>
      <c r="C9" s="72"/>
      <c r="D9" s="72"/>
      <c r="E9" s="72"/>
      <c r="F9" s="72"/>
      <c r="G9" s="72"/>
      <c r="H9" s="72"/>
      <c r="I9" s="72"/>
      <c r="J9" s="72"/>
      <c r="K9" s="72"/>
      <c r="L9" s="72"/>
      <c r="M9" s="73"/>
    </row>
    <row r="10" spans="1:13" ht="15">
      <c r="A10" s="71"/>
      <c r="B10" s="97" t="s">
        <v>360</v>
      </c>
      <c r="C10" s="72"/>
      <c r="D10" s="72"/>
      <c r="E10" s="72"/>
      <c r="F10" s="72"/>
      <c r="G10" s="72"/>
      <c r="H10" s="72"/>
      <c r="I10" s="72"/>
      <c r="J10" s="72"/>
      <c r="K10" s="72"/>
      <c r="L10" s="72"/>
      <c r="M10" s="73"/>
    </row>
    <row r="11" spans="1:13" ht="15">
      <c r="A11" s="71"/>
      <c r="B11" s="72"/>
      <c r="C11" s="72"/>
      <c r="D11" s="72"/>
      <c r="E11" s="72"/>
      <c r="F11" s="72"/>
      <c r="G11" s="72"/>
      <c r="H11" s="72"/>
      <c r="I11" s="72"/>
      <c r="J11" s="72"/>
      <c r="K11" s="72"/>
      <c r="L11" s="72"/>
      <c r="M11" s="73"/>
    </row>
    <row r="12" spans="1:13" ht="15">
      <c r="A12" s="96" t="s">
        <v>361</v>
      </c>
      <c r="B12" s="72"/>
      <c r="C12" s="72"/>
      <c r="D12" s="72"/>
      <c r="E12" s="72"/>
      <c r="F12" s="72"/>
      <c r="G12" s="72"/>
      <c r="H12" s="72"/>
      <c r="I12" s="72"/>
      <c r="J12" s="72"/>
      <c r="K12" s="72"/>
      <c r="L12" s="72"/>
      <c r="M12" s="73"/>
    </row>
    <row r="13" spans="1:13" ht="15">
      <c r="A13" s="71"/>
      <c r="B13" s="72"/>
      <c r="C13" s="72"/>
      <c r="D13" s="72"/>
      <c r="E13" s="72"/>
      <c r="F13" s="72"/>
      <c r="G13" s="72"/>
      <c r="H13" s="72"/>
      <c r="I13" s="72"/>
      <c r="J13" s="72"/>
      <c r="K13" s="72"/>
      <c r="L13" s="72"/>
      <c r="M13" s="73"/>
    </row>
    <row r="14" spans="1:13" ht="15">
      <c r="A14" s="71"/>
      <c r="B14" s="98" t="s">
        <v>362</v>
      </c>
      <c r="C14" s="72"/>
      <c r="D14" s="72"/>
      <c r="E14" s="72"/>
      <c r="F14" s="72"/>
      <c r="G14" s="72"/>
      <c r="H14" s="99">
        <f>Form!E80</f>
        <v>0</v>
      </c>
      <c r="I14" s="72"/>
      <c r="J14" s="72"/>
      <c r="K14" s="72"/>
      <c r="L14" s="72"/>
      <c r="M14" s="73"/>
    </row>
    <row r="15" spans="1:13" ht="15">
      <c r="A15" s="71"/>
      <c r="B15" s="98" t="s">
        <v>363</v>
      </c>
      <c r="C15" s="72"/>
      <c r="D15" s="72"/>
      <c r="E15" s="72"/>
      <c r="F15" s="72"/>
      <c r="G15" s="72"/>
      <c r="H15" s="99">
        <f>Form!E85</f>
        <v>0</v>
      </c>
      <c r="I15" s="72"/>
      <c r="J15" s="72"/>
      <c r="K15" s="72"/>
      <c r="L15" s="72"/>
      <c r="M15" s="73"/>
    </row>
    <row r="16" spans="1:13" ht="15">
      <c r="A16" s="71"/>
      <c r="B16" s="98" t="s">
        <v>364</v>
      </c>
      <c r="C16" s="72"/>
      <c r="D16" s="72"/>
      <c r="E16" s="72"/>
      <c r="F16" s="72"/>
      <c r="G16" s="72"/>
      <c r="H16" s="99">
        <f>Form!E86</f>
        <v>0</v>
      </c>
      <c r="I16" s="72"/>
      <c r="J16" s="72"/>
      <c r="K16" s="72"/>
      <c r="L16" s="72"/>
      <c r="M16" s="73"/>
    </row>
    <row r="17" spans="1:13" ht="15">
      <c r="A17" s="71"/>
      <c r="B17" s="98" t="s">
        <v>365</v>
      </c>
      <c r="C17" s="72"/>
      <c r="D17" s="72"/>
      <c r="E17" s="72"/>
      <c r="F17" s="72"/>
      <c r="G17" s="72"/>
      <c r="H17" s="98" t="e">
        <f>VLOOKUP(LA_info!E2,'Underlying Data'!A3:AX163,48,FALSE)</f>
        <v>#N/A</v>
      </c>
      <c r="I17" s="72"/>
      <c r="J17" s="72"/>
      <c r="K17" s="72"/>
      <c r="L17" s="72"/>
      <c r="M17" s="73"/>
    </row>
    <row r="18" spans="1:13" ht="15">
      <c r="A18" s="71"/>
      <c r="B18" s="98" t="s">
        <v>366</v>
      </c>
      <c r="C18" s="72"/>
      <c r="D18" s="72"/>
      <c r="E18" s="72"/>
      <c r="F18" s="72"/>
      <c r="G18" s="72"/>
      <c r="H18" s="98" t="e">
        <f>ABS(H17+H15-H16-H14)</f>
        <v>#N/A</v>
      </c>
      <c r="I18" s="72"/>
      <c r="J18" s="72"/>
      <c r="K18" s="72"/>
      <c r="L18" s="72"/>
      <c r="M18" s="73"/>
    </row>
    <row r="19" spans="1:13" ht="15.75" thickBot="1">
      <c r="A19" s="71"/>
      <c r="B19" s="72"/>
      <c r="C19" s="72"/>
      <c r="D19" s="72"/>
      <c r="E19" s="72"/>
      <c r="F19" s="72"/>
      <c r="G19" s="72"/>
      <c r="H19" s="72"/>
      <c r="I19" s="72"/>
      <c r="J19" s="72"/>
      <c r="K19" s="72"/>
      <c r="L19" s="72"/>
      <c r="M19" s="73"/>
    </row>
    <row r="20" spans="1:13" ht="15.75" thickBot="1">
      <c r="A20" s="71"/>
      <c r="B20" s="98" t="s">
        <v>367</v>
      </c>
      <c r="C20" s="72"/>
      <c r="D20" s="72"/>
      <c r="E20" s="72"/>
      <c r="F20" s="72"/>
      <c r="G20" s="72"/>
      <c r="H20" s="72"/>
      <c r="I20" s="190">
        <f>IF(Form!S30=0,"",IF(H18&gt;VLOOKUP(LA_info!E2,'Underlying Data'!A3:BC163,52,FALSE),H18,""))</f>
      </c>
      <c r="J20" s="191"/>
      <c r="K20" s="72"/>
      <c r="L20" s="72"/>
      <c r="M20" s="73"/>
    </row>
    <row r="21" spans="1:13" ht="15">
      <c r="A21" s="71"/>
      <c r="B21" s="72"/>
      <c r="C21" s="72"/>
      <c r="D21" s="72"/>
      <c r="E21" s="72"/>
      <c r="F21" s="72"/>
      <c r="G21" s="72"/>
      <c r="H21" s="72"/>
      <c r="I21" s="72"/>
      <c r="J21" s="72"/>
      <c r="K21" s="72"/>
      <c r="L21" s="72"/>
      <c r="M21" s="73"/>
    </row>
    <row r="22" spans="1:13" ht="15">
      <c r="A22" s="71"/>
      <c r="B22" s="100" t="s">
        <v>368</v>
      </c>
      <c r="C22" s="72"/>
      <c r="D22" s="72"/>
      <c r="E22" s="72"/>
      <c r="F22" s="72"/>
      <c r="G22" s="72"/>
      <c r="H22" s="72"/>
      <c r="I22" s="72"/>
      <c r="J22" s="72"/>
      <c r="K22" s="72"/>
      <c r="L22" s="72"/>
      <c r="M22" s="73"/>
    </row>
    <row r="23" spans="1:13" ht="15">
      <c r="A23" s="71"/>
      <c r="B23" s="72"/>
      <c r="C23" s="72"/>
      <c r="D23" s="72"/>
      <c r="E23" s="72"/>
      <c r="F23" s="72"/>
      <c r="G23" s="72"/>
      <c r="H23" s="72"/>
      <c r="I23" s="192"/>
      <c r="J23" s="192"/>
      <c r="K23" s="192"/>
      <c r="L23" s="192"/>
      <c r="M23" s="193"/>
    </row>
    <row r="24" spans="1:13" ht="15.75" thickBot="1">
      <c r="A24" s="80"/>
      <c r="B24" s="81"/>
      <c r="C24" s="81"/>
      <c r="D24" s="81"/>
      <c r="E24" s="81"/>
      <c r="F24" s="81"/>
      <c r="G24" s="81"/>
      <c r="H24" s="81"/>
      <c r="I24" s="194"/>
      <c r="J24" s="194"/>
      <c r="K24" s="194"/>
      <c r="L24" s="194"/>
      <c r="M24" s="195"/>
    </row>
    <row r="25" spans="1:13" ht="15">
      <c r="A25" s="71"/>
      <c r="B25" s="72"/>
      <c r="C25" s="72"/>
      <c r="D25" s="72"/>
      <c r="E25" s="72"/>
      <c r="F25" s="72"/>
      <c r="G25" s="72"/>
      <c r="H25" s="72"/>
      <c r="I25" s="72"/>
      <c r="J25" s="72"/>
      <c r="K25" s="72"/>
      <c r="L25" s="72"/>
      <c r="M25" s="73"/>
    </row>
    <row r="26" spans="1:13" ht="15">
      <c r="A26" s="71"/>
      <c r="B26" s="72"/>
      <c r="C26" s="72"/>
      <c r="D26" s="72"/>
      <c r="E26" s="72"/>
      <c r="F26" s="72"/>
      <c r="G26" s="72"/>
      <c r="H26" s="72"/>
      <c r="I26" s="72"/>
      <c r="J26" s="72"/>
      <c r="K26" s="72"/>
      <c r="L26" s="72"/>
      <c r="M26" s="73"/>
    </row>
    <row r="27" spans="1:13" ht="15">
      <c r="A27" s="96" t="s">
        <v>369</v>
      </c>
      <c r="B27" s="72"/>
      <c r="C27" s="72"/>
      <c r="D27" s="72"/>
      <c r="E27" s="72"/>
      <c r="F27" s="72"/>
      <c r="G27" s="72"/>
      <c r="H27" s="72"/>
      <c r="I27" s="72"/>
      <c r="J27" s="72"/>
      <c r="K27" s="72"/>
      <c r="L27" s="72"/>
      <c r="M27" s="73"/>
    </row>
    <row r="28" spans="1:13" ht="15">
      <c r="A28" s="71"/>
      <c r="B28" s="72"/>
      <c r="C28" s="72"/>
      <c r="D28" s="72"/>
      <c r="E28" s="72"/>
      <c r="F28" s="72"/>
      <c r="G28" s="72"/>
      <c r="H28" s="72"/>
      <c r="I28" s="72"/>
      <c r="J28" s="72"/>
      <c r="K28" s="72"/>
      <c r="L28" s="72"/>
      <c r="M28" s="73"/>
    </row>
    <row r="29" spans="1:13" ht="15">
      <c r="A29" s="96" t="s">
        <v>370</v>
      </c>
      <c r="B29" s="72"/>
      <c r="C29" s="72"/>
      <c r="D29" s="72"/>
      <c r="E29" s="72"/>
      <c r="F29" s="72"/>
      <c r="G29" s="72"/>
      <c r="H29" s="72"/>
      <c r="I29" s="72"/>
      <c r="J29" s="72"/>
      <c r="K29" s="72"/>
      <c r="L29" s="72"/>
      <c r="M29" s="73"/>
    </row>
    <row r="30" spans="1:13" ht="15">
      <c r="A30" s="71"/>
      <c r="B30" s="97" t="s">
        <v>371</v>
      </c>
      <c r="C30" s="72"/>
      <c r="D30" s="72"/>
      <c r="E30" s="72"/>
      <c r="F30" s="72"/>
      <c r="G30" s="72"/>
      <c r="H30" s="72"/>
      <c r="I30" s="72"/>
      <c r="J30" s="72"/>
      <c r="K30" s="72"/>
      <c r="L30" s="72"/>
      <c r="M30" s="73"/>
    </row>
    <row r="31" spans="1:13" ht="15">
      <c r="A31" s="71"/>
      <c r="B31" s="97" t="s">
        <v>372</v>
      </c>
      <c r="C31" s="72"/>
      <c r="D31" s="72"/>
      <c r="E31" s="72"/>
      <c r="F31" s="72"/>
      <c r="G31" s="72"/>
      <c r="H31" s="72"/>
      <c r="I31" s="72"/>
      <c r="J31" s="72"/>
      <c r="K31" s="72"/>
      <c r="L31" s="72"/>
      <c r="M31" s="73"/>
    </row>
    <row r="32" spans="1:13" ht="15">
      <c r="A32" s="71"/>
      <c r="B32" s="97" t="s">
        <v>373</v>
      </c>
      <c r="C32" s="72"/>
      <c r="D32" s="72"/>
      <c r="E32" s="72"/>
      <c r="F32" s="72"/>
      <c r="G32" s="72"/>
      <c r="H32" s="72"/>
      <c r="I32" s="72"/>
      <c r="J32" s="72"/>
      <c r="K32" s="72"/>
      <c r="L32" s="72"/>
      <c r="M32" s="73"/>
    </row>
    <row r="33" spans="1:13" ht="15">
      <c r="A33" s="71"/>
      <c r="B33" s="97" t="s">
        <v>374</v>
      </c>
      <c r="C33" s="72"/>
      <c r="D33" s="72"/>
      <c r="E33" s="72"/>
      <c r="F33" s="72"/>
      <c r="G33" s="72"/>
      <c r="H33" s="72"/>
      <c r="I33" s="72"/>
      <c r="J33" s="72"/>
      <c r="K33" s="72"/>
      <c r="L33" s="72"/>
      <c r="M33" s="73"/>
    </row>
    <row r="34" spans="1:13" ht="15">
      <c r="A34" s="71"/>
      <c r="B34" s="72"/>
      <c r="C34" s="72"/>
      <c r="D34" s="72"/>
      <c r="E34" s="72"/>
      <c r="F34" s="72"/>
      <c r="G34" s="72"/>
      <c r="H34" s="119" t="s">
        <v>383</v>
      </c>
      <c r="I34" s="119" t="s">
        <v>383</v>
      </c>
      <c r="J34" s="119" t="s">
        <v>384</v>
      </c>
      <c r="K34" s="72"/>
      <c r="L34" s="72"/>
      <c r="M34" s="73"/>
    </row>
    <row r="35" spans="1:13" ht="15">
      <c r="A35" s="71"/>
      <c r="B35" s="72"/>
      <c r="C35" s="72"/>
      <c r="D35" s="72"/>
      <c r="E35" s="72"/>
      <c r="F35" s="72"/>
      <c r="G35" s="72"/>
      <c r="H35" s="122" t="s">
        <v>385</v>
      </c>
      <c r="I35" s="122" t="s">
        <v>386</v>
      </c>
      <c r="J35" s="122" t="s">
        <v>385</v>
      </c>
      <c r="K35" s="72"/>
      <c r="L35" s="72"/>
      <c r="M35" s="73"/>
    </row>
    <row r="36" spans="1:13" ht="15">
      <c r="A36" s="71"/>
      <c r="B36" s="98" t="s">
        <v>375</v>
      </c>
      <c r="C36" s="72"/>
      <c r="D36" s="72"/>
      <c r="E36" s="72"/>
      <c r="F36" s="72"/>
      <c r="G36" s="72"/>
      <c r="H36" s="115">
        <f>Form!E30</f>
        <v>0</v>
      </c>
      <c r="I36" s="121" t="e">
        <f>VLOOKUP(LA_info!E2,'Underlying Data'!A3:AX163,9,FALSE)</f>
        <v>#N/A</v>
      </c>
      <c r="J36" s="113" t="e">
        <f>H36-I36</f>
        <v>#N/A</v>
      </c>
      <c r="K36" s="72"/>
      <c r="L36" s="72"/>
      <c r="M36" s="73"/>
    </row>
    <row r="37" spans="1:13" ht="15">
      <c r="A37" s="71"/>
      <c r="B37" s="98" t="s">
        <v>376</v>
      </c>
      <c r="C37" s="72"/>
      <c r="D37" s="72"/>
      <c r="E37" s="72"/>
      <c r="F37" s="72"/>
      <c r="G37" s="72"/>
      <c r="H37" s="115">
        <f>Form!E48</f>
        <v>0</v>
      </c>
      <c r="I37" s="121" t="e">
        <f>VLOOKUP(LA_info!E2,'Underlying Data'!A3:AX163,20,FALSE)</f>
        <v>#N/A</v>
      </c>
      <c r="J37" s="113" t="e">
        <f>H37-I37</f>
        <v>#N/A</v>
      </c>
      <c r="K37" s="72"/>
      <c r="L37" s="72"/>
      <c r="M37" s="73"/>
    </row>
    <row r="38" spans="1:13" ht="15">
      <c r="A38" s="71"/>
      <c r="B38" s="98" t="s">
        <v>377</v>
      </c>
      <c r="C38" s="72"/>
      <c r="D38" s="72"/>
      <c r="E38" s="72"/>
      <c r="F38" s="72"/>
      <c r="G38" s="72"/>
      <c r="H38" s="115">
        <f>Form!I48</f>
        <v>0</v>
      </c>
      <c r="I38" s="121" t="e">
        <f>VLOOKUP(LA_info!E2,'Underlying Data'!A3:AX163,32,FALSE)</f>
        <v>#N/A</v>
      </c>
      <c r="J38" s="113" t="e">
        <f>H38-I38</f>
        <v>#N/A</v>
      </c>
      <c r="K38" s="72"/>
      <c r="L38" s="72"/>
      <c r="M38" s="73"/>
    </row>
    <row r="39" spans="1:13" ht="15">
      <c r="A39" s="71"/>
      <c r="B39" s="102"/>
      <c r="C39" s="72"/>
      <c r="D39" s="72"/>
      <c r="E39" s="72"/>
      <c r="F39" s="72"/>
      <c r="G39" s="72"/>
      <c r="H39" s="116"/>
      <c r="I39" s="116"/>
      <c r="J39" s="114"/>
      <c r="K39" s="72"/>
      <c r="L39" s="72"/>
      <c r="M39" s="73"/>
    </row>
    <row r="40" spans="1:13" ht="15">
      <c r="A40" s="71"/>
      <c r="B40" s="100" t="s">
        <v>378</v>
      </c>
      <c r="C40" s="72"/>
      <c r="D40" s="72"/>
      <c r="E40" s="72"/>
      <c r="F40" s="72"/>
      <c r="G40" s="72"/>
      <c r="H40" s="116"/>
      <c r="I40" s="116"/>
      <c r="J40" s="114"/>
      <c r="K40" s="72"/>
      <c r="L40" s="72"/>
      <c r="M40" s="73"/>
    </row>
    <row r="41" spans="1:13" ht="15">
      <c r="A41" s="71"/>
      <c r="B41" s="98" t="s">
        <v>379</v>
      </c>
      <c r="C41" s="72"/>
      <c r="D41" s="72"/>
      <c r="E41" s="72"/>
      <c r="F41" s="72"/>
      <c r="G41" s="72"/>
      <c r="H41" s="115">
        <f>Form!E75</f>
        <v>0</v>
      </c>
      <c r="I41" s="115" t="e">
        <f>Form!C75</f>
        <v>#N/A</v>
      </c>
      <c r="J41" s="120" t="e">
        <f>H41-I41</f>
        <v>#N/A</v>
      </c>
      <c r="K41" s="72"/>
      <c r="L41" s="72"/>
      <c r="M41" s="73"/>
    </row>
    <row r="42" spans="1:17" ht="15">
      <c r="A42" s="71"/>
      <c r="B42" s="98" t="s">
        <v>380</v>
      </c>
      <c r="C42" s="72"/>
      <c r="D42" s="72"/>
      <c r="E42" s="72"/>
      <c r="F42" s="72"/>
      <c r="G42" s="72"/>
      <c r="H42" s="115">
        <f>Form!E79</f>
        <v>0</v>
      </c>
      <c r="I42" s="115" t="e">
        <f>Form!C79</f>
        <v>#N/A</v>
      </c>
      <c r="J42" s="120" t="e">
        <f>H42-I42</f>
        <v>#N/A</v>
      </c>
      <c r="K42" s="72"/>
      <c r="L42" s="72"/>
      <c r="M42" s="73"/>
      <c r="O42" s="133"/>
      <c r="P42" s="133"/>
      <c r="Q42" s="133"/>
    </row>
    <row r="43" spans="1:17" ht="15">
      <c r="A43" s="71"/>
      <c r="B43" s="98" t="s">
        <v>381</v>
      </c>
      <c r="C43" s="72"/>
      <c r="D43" s="72"/>
      <c r="E43" s="72"/>
      <c r="F43" s="72"/>
      <c r="G43" s="72"/>
      <c r="H43" s="117" t="s">
        <v>387</v>
      </c>
      <c r="I43" s="117" t="s">
        <v>387</v>
      </c>
      <c r="J43" s="113">
        <f>Form!E85</f>
        <v>0</v>
      </c>
      <c r="K43" s="72"/>
      <c r="L43" s="72"/>
      <c r="M43" s="73"/>
      <c r="N43" s="133"/>
      <c r="O43" s="134"/>
      <c r="P43" s="135"/>
      <c r="Q43" s="136"/>
    </row>
    <row r="44" spans="1:17" ht="15">
      <c r="A44" s="71"/>
      <c r="B44" s="98" t="s">
        <v>382</v>
      </c>
      <c r="C44" s="72"/>
      <c r="D44" s="72"/>
      <c r="E44" s="72"/>
      <c r="F44" s="72"/>
      <c r="G44" s="72"/>
      <c r="H44" s="118"/>
      <c r="I44" s="118"/>
      <c r="J44" s="137">
        <f>Form!E86</f>
        <v>0</v>
      </c>
      <c r="K44" s="72"/>
      <c r="L44" s="72"/>
      <c r="M44" s="73"/>
      <c r="N44" s="133"/>
      <c r="O44" s="134"/>
      <c r="P44" s="134"/>
      <c r="Q44" s="136"/>
    </row>
    <row r="45" spans="1:13" ht="15">
      <c r="A45" s="71"/>
      <c r="B45" s="72"/>
      <c r="C45" s="72"/>
      <c r="D45" s="72"/>
      <c r="E45" s="72"/>
      <c r="F45" s="72"/>
      <c r="G45" s="72"/>
      <c r="H45" s="72"/>
      <c r="I45" s="72"/>
      <c r="J45" s="72"/>
      <c r="K45" s="72"/>
      <c r="L45" s="72"/>
      <c r="M45" s="73"/>
    </row>
    <row r="46" spans="1:13" ht="15">
      <c r="A46" s="71"/>
      <c r="B46" s="100" t="s">
        <v>388</v>
      </c>
      <c r="C46" s="72"/>
      <c r="D46" s="72"/>
      <c r="E46" s="72"/>
      <c r="F46" s="72"/>
      <c r="G46" s="72"/>
      <c r="H46" s="72"/>
      <c r="I46" s="72"/>
      <c r="J46" s="99" t="e">
        <f>SUM(J36:J38)-(SUM(J41:J43)-J44)</f>
        <v>#N/A</v>
      </c>
      <c r="K46" s="72"/>
      <c r="L46" s="72"/>
      <c r="M46" s="73"/>
    </row>
    <row r="47" spans="1:13" ht="15">
      <c r="A47" s="71"/>
      <c r="B47" s="72"/>
      <c r="C47" s="72"/>
      <c r="D47" s="72"/>
      <c r="E47" s="72"/>
      <c r="F47" s="72"/>
      <c r="G47" s="72"/>
      <c r="H47" s="72"/>
      <c r="I47" s="72"/>
      <c r="J47" s="72"/>
      <c r="K47" s="72"/>
      <c r="L47" s="72"/>
      <c r="M47" s="73"/>
    </row>
    <row r="48" spans="1:13" ht="15.75" thickBot="1">
      <c r="A48" s="71"/>
      <c r="B48" s="72"/>
      <c r="C48" s="72"/>
      <c r="D48" s="72"/>
      <c r="E48" s="72"/>
      <c r="F48" s="72"/>
      <c r="G48" s="72"/>
      <c r="H48" s="72"/>
      <c r="I48" s="72"/>
      <c r="J48" s="72"/>
      <c r="K48" s="72"/>
      <c r="L48" s="72"/>
      <c r="M48" s="73"/>
    </row>
    <row r="49" spans="1:13" ht="15.75" thickBot="1">
      <c r="A49" s="71"/>
      <c r="B49" s="98" t="s">
        <v>367</v>
      </c>
      <c r="C49" s="72"/>
      <c r="D49" s="72"/>
      <c r="E49" s="72"/>
      <c r="F49" s="72"/>
      <c r="G49" s="72"/>
      <c r="H49" s="72"/>
      <c r="I49" s="196" t="e">
        <f>IF(SUM(J36:J38,J41:J42)=0,"",IF(ABS(J46)&gt;VLOOKUP(LA_info!E2,'Underlying Data'!A3:BC163,53,FALSE),J46,""))</f>
        <v>#N/A</v>
      </c>
      <c r="J49" s="197"/>
      <c r="K49" s="72"/>
      <c r="L49" s="72"/>
      <c r="M49" s="73"/>
    </row>
    <row r="50" spans="1:13" ht="15">
      <c r="A50" s="71"/>
      <c r="B50" s="72"/>
      <c r="C50" s="72"/>
      <c r="D50" s="72"/>
      <c r="E50" s="72"/>
      <c r="F50" s="72"/>
      <c r="G50" s="72"/>
      <c r="H50" s="72"/>
      <c r="I50" s="72"/>
      <c r="J50" s="72"/>
      <c r="K50" s="72"/>
      <c r="L50" s="72"/>
      <c r="M50" s="73"/>
    </row>
    <row r="51" spans="1:13" ht="15">
      <c r="A51" s="71"/>
      <c r="B51" s="100" t="s">
        <v>368</v>
      </c>
      <c r="C51" s="72"/>
      <c r="D51" s="72"/>
      <c r="E51" s="72"/>
      <c r="F51" s="72"/>
      <c r="G51" s="72"/>
      <c r="H51" s="72"/>
      <c r="I51" s="72"/>
      <c r="J51" s="72"/>
      <c r="K51" s="72"/>
      <c r="L51" s="72"/>
      <c r="M51" s="73"/>
    </row>
    <row r="52" spans="1:13" ht="15.75" thickBot="1">
      <c r="A52" s="71"/>
      <c r="B52" s="72"/>
      <c r="C52" s="72"/>
      <c r="D52" s="72"/>
      <c r="E52" s="72"/>
      <c r="F52" s="72"/>
      <c r="G52" s="72"/>
      <c r="H52" s="72"/>
      <c r="I52" s="94"/>
      <c r="J52" s="94"/>
      <c r="K52" s="94"/>
      <c r="L52" s="94"/>
      <c r="M52" s="101"/>
    </row>
    <row r="53" spans="1:13" ht="15">
      <c r="A53" s="71"/>
      <c r="B53" s="72"/>
      <c r="C53" s="72"/>
      <c r="D53" s="72"/>
      <c r="E53" s="72"/>
      <c r="F53" s="94"/>
      <c r="G53" s="198"/>
      <c r="H53" s="199"/>
      <c r="I53" s="199"/>
      <c r="J53" s="200"/>
      <c r="K53" s="94"/>
      <c r="L53" s="94"/>
      <c r="M53" s="101"/>
    </row>
    <row r="54" spans="1:13" ht="15">
      <c r="A54" s="71"/>
      <c r="B54" s="72"/>
      <c r="C54" s="72"/>
      <c r="D54" s="72"/>
      <c r="E54" s="72"/>
      <c r="F54" s="103"/>
      <c r="G54" s="201"/>
      <c r="H54" s="172"/>
      <c r="I54" s="172"/>
      <c r="J54" s="202"/>
      <c r="K54" s="72"/>
      <c r="L54" s="72"/>
      <c r="M54" s="73"/>
    </row>
    <row r="55" spans="1:13" ht="15.75" thickBot="1">
      <c r="A55" s="71"/>
      <c r="B55" s="72"/>
      <c r="C55" s="72"/>
      <c r="D55" s="72"/>
      <c r="E55" s="72"/>
      <c r="F55" s="103"/>
      <c r="G55" s="203"/>
      <c r="H55" s="204"/>
      <c r="I55" s="204"/>
      <c r="J55" s="205"/>
      <c r="K55" s="72"/>
      <c r="L55" s="72"/>
      <c r="M55" s="73"/>
    </row>
    <row r="56" spans="1:13" ht="15">
      <c r="A56" s="71"/>
      <c r="B56" s="72"/>
      <c r="C56" s="72"/>
      <c r="D56" s="72"/>
      <c r="E56" s="72"/>
      <c r="F56" s="103"/>
      <c r="G56" s="103"/>
      <c r="H56" s="103"/>
      <c r="I56" s="103"/>
      <c r="J56" s="103"/>
      <c r="K56" s="72"/>
      <c r="L56" s="72"/>
      <c r="M56" s="73"/>
    </row>
    <row r="57" spans="1:13" ht="15">
      <c r="A57" s="71"/>
      <c r="B57" s="72"/>
      <c r="C57" s="72"/>
      <c r="D57" s="72"/>
      <c r="E57" s="72"/>
      <c r="F57" s="103"/>
      <c r="G57" s="103"/>
      <c r="H57" s="103"/>
      <c r="I57" s="103"/>
      <c r="J57" s="103"/>
      <c r="K57" s="72"/>
      <c r="L57" s="72"/>
      <c r="M57" s="73"/>
    </row>
    <row r="58" spans="1:13" ht="15">
      <c r="A58" s="71"/>
      <c r="B58" s="72"/>
      <c r="C58" s="72"/>
      <c r="D58" s="72"/>
      <c r="E58" s="72"/>
      <c r="F58" s="103"/>
      <c r="G58" s="103"/>
      <c r="H58" s="103"/>
      <c r="I58" s="103"/>
      <c r="J58" s="103"/>
      <c r="K58" s="72"/>
      <c r="L58" s="72"/>
      <c r="M58" s="73"/>
    </row>
    <row r="59" spans="1:13" ht="15">
      <c r="A59" s="71"/>
      <c r="B59" s="72"/>
      <c r="C59" s="72"/>
      <c r="D59" s="72"/>
      <c r="E59" s="72"/>
      <c r="F59" s="72"/>
      <c r="G59" s="72"/>
      <c r="H59" s="72"/>
      <c r="I59" s="72"/>
      <c r="J59" s="72"/>
      <c r="K59" s="72"/>
      <c r="L59" s="72"/>
      <c r="M59" s="73"/>
    </row>
    <row r="60" spans="1:13" ht="15.75" thickBot="1">
      <c r="A60" s="80"/>
      <c r="B60" s="81"/>
      <c r="C60" s="81"/>
      <c r="D60" s="81"/>
      <c r="E60" s="81"/>
      <c r="F60" s="81"/>
      <c r="G60" s="81"/>
      <c r="H60" s="81"/>
      <c r="I60" s="81"/>
      <c r="J60" s="81"/>
      <c r="K60" s="81"/>
      <c r="L60" s="81"/>
      <c r="M60" s="95"/>
    </row>
  </sheetData>
  <sheetProtection/>
  <mergeCells count="4">
    <mergeCell ref="I20:J20"/>
    <mergeCell ref="I23:M24"/>
    <mergeCell ref="I49:J49"/>
    <mergeCell ref="G53:J55"/>
  </mergeCells>
  <printOptions/>
  <pageMargins left="0.17" right="0.17" top="0.17" bottom="0.17" header="0.3" footer="0.3"/>
  <pageSetup horizontalDpi="600" verticalDpi="600" orientation="portrait" paperSize="9" scale="70" r:id="rId3"/>
  <legacyDrawing r:id="rId2"/>
</worksheet>
</file>

<file path=xl/worksheets/sheet5.xml><?xml version="1.0" encoding="utf-8"?>
<worksheet xmlns="http://schemas.openxmlformats.org/spreadsheetml/2006/main" xmlns:r="http://schemas.openxmlformats.org/officeDocument/2006/relationships">
  <dimension ref="A1:M165"/>
  <sheetViews>
    <sheetView zoomScalePageLayoutView="0" workbookViewId="0" topLeftCell="A1">
      <selection activeCell="K6" sqref="K6"/>
    </sheetView>
  </sheetViews>
  <sheetFormatPr defaultColWidth="8.88671875" defaultRowHeight="15"/>
  <cols>
    <col min="4" max="4" width="35.10546875" style="0" bestFit="1" customWidth="1"/>
    <col min="8" max="8" width="41.10546875" style="0" bestFit="1" customWidth="1"/>
    <col min="10" max="11" width="13.4453125" style="0" bestFit="1" customWidth="1"/>
  </cols>
  <sheetData>
    <row r="1" spans="1:3" ht="15">
      <c r="A1" t="e">
        <f>D2</f>
        <v>#N/A</v>
      </c>
      <c r="B1" t="s">
        <v>798</v>
      </c>
      <c r="C1" t="str">
        <f>"MB_"&amp;LEFT(H2,3)&amp;"_"&amp;RIGHT(H2,2)</f>
        <v>MB_Jul_16</v>
      </c>
    </row>
    <row r="2" spans="1:13" ht="15">
      <c r="A2" s="10" t="s">
        <v>392</v>
      </c>
      <c r="D2" s="2" t="e">
        <f>VLOOKUP(Form!J1,Form!A141:C302,2,FALSE)</f>
        <v>#N/A</v>
      </c>
      <c r="E2" s="18" t="e">
        <f>VLOOKUP(LA_info!$D$2,LA_info!$D$3:$E$165,2,FALSE)</f>
        <v>#N/A</v>
      </c>
      <c r="F2" s="2" t="e">
        <f>VLOOKUP(LA_info!$D$2,'Underlying Data'!B3:BA163,52,FALSE)</f>
        <v>#N/A</v>
      </c>
      <c r="H2" s="2" t="str">
        <f>Form!K8</f>
        <v>July 2016</v>
      </c>
      <c r="I2" s="2" t="str">
        <f>VLOOKUP($H$2,$H$3:$M$14,2,FALSE)</f>
        <v>MBAJL15</v>
      </c>
      <c r="J2" s="2" t="str">
        <f>VLOOKUP($H$2,$H$3:$M$14,3,FALSE)</f>
        <v>JULY 2016</v>
      </c>
      <c r="K2" s="2" t="str">
        <f>VLOOKUP($H$2,$H$3:$M$14,4,FALSE)</f>
        <v>JUNE 2016</v>
      </c>
      <c r="L2" s="2">
        <f>VLOOKUP($H$2,$H$3:$M$14,5,FALSE)</f>
        <v>7</v>
      </c>
      <c r="M2" s="2" t="str">
        <f>VLOOKUP($H$2,$H$3:$M$14,6,FALSE)</f>
        <v>Thursday 7 August 2015</v>
      </c>
    </row>
    <row r="3" spans="1:13" ht="15">
      <c r="A3" s="10">
        <v>1</v>
      </c>
      <c r="B3" s="16">
        <f>ROUND(Form!E25,0)</f>
        <v>0</v>
      </c>
      <c r="D3" s="9" t="s">
        <v>114</v>
      </c>
      <c r="H3" s="3" t="s">
        <v>750</v>
      </c>
      <c r="I3" s="6" t="s">
        <v>82</v>
      </c>
      <c r="J3" s="3" t="s">
        <v>774</v>
      </c>
      <c r="K3" s="3" t="s">
        <v>102</v>
      </c>
      <c r="L3" s="7">
        <v>4</v>
      </c>
      <c r="M3" s="3" t="s">
        <v>103</v>
      </c>
    </row>
    <row r="4" spans="1:13" ht="15">
      <c r="A4" s="10">
        <v>2</v>
      </c>
      <c r="B4" s="16">
        <f>ROUND(Form!E26,0)</f>
        <v>0</v>
      </c>
      <c r="D4" s="10" t="s">
        <v>116</v>
      </c>
      <c r="E4" s="10" t="s">
        <v>393</v>
      </c>
      <c r="H4" s="3" t="s">
        <v>751</v>
      </c>
      <c r="I4" s="6" t="s">
        <v>83</v>
      </c>
      <c r="J4" s="3" t="s">
        <v>775</v>
      </c>
      <c r="K4" s="3" t="s">
        <v>774</v>
      </c>
      <c r="L4" s="7">
        <v>5</v>
      </c>
      <c r="M4" s="3" t="s">
        <v>104</v>
      </c>
    </row>
    <row r="5" spans="1:13" ht="15">
      <c r="A5" s="10">
        <v>3</v>
      </c>
      <c r="B5" s="16">
        <f>ROUND(Form!E27,0)</f>
        <v>0</v>
      </c>
      <c r="D5" s="10" t="s">
        <v>117</v>
      </c>
      <c r="E5" s="10" t="s">
        <v>394</v>
      </c>
      <c r="H5" s="3" t="s">
        <v>752</v>
      </c>
      <c r="I5" s="6" t="s">
        <v>84</v>
      </c>
      <c r="J5" s="3" t="s">
        <v>776</v>
      </c>
      <c r="K5" s="3" t="s">
        <v>775</v>
      </c>
      <c r="L5" s="7">
        <v>6</v>
      </c>
      <c r="M5" s="3" t="s">
        <v>711</v>
      </c>
    </row>
    <row r="6" spans="1:13" ht="15">
      <c r="A6" s="10">
        <v>4</v>
      </c>
      <c r="B6" s="16">
        <f>ROUND(Form!E28,0)</f>
        <v>0</v>
      </c>
      <c r="D6" s="10" t="s">
        <v>391</v>
      </c>
      <c r="E6" s="10" t="s">
        <v>707</v>
      </c>
      <c r="H6" s="4" t="s">
        <v>753</v>
      </c>
      <c r="I6" s="6" t="s">
        <v>85</v>
      </c>
      <c r="J6" s="3" t="s">
        <v>777</v>
      </c>
      <c r="K6" s="3" t="s">
        <v>776</v>
      </c>
      <c r="L6" s="7">
        <v>7</v>
      </c>
      <c r="M6" s="3" t="s">
        <v>105</v>
      </c>
    </row>
    <row r="7" spans="1:13" ht="15">
      <c r="A7" s="10">
        <v>5</v>
      </c>
      <c r="B7" s="16">
        <f>ROUND(Form!E29,0)</f>
        <v>0</v>
      </c>
      <c r="D7" s="10" t="s">
        <v>716</v>
      </c>
      <c r="E7" s="10" t="s">
        <v>708</v>
      </c>
      <c r="H7" s="3" t="s">
        <v>754</v>
      </c>
      <c r="I7" s="6" t="s">
        <v>86</v>
      </c>
      <c r="J7" s="3" t="s">
        <v>778</v>
      </c>
      <c r="K7" s="3" t="s">
        <v>94</v>
      </c>
      <c r="L7" s="7">
        <v>8</v>
      </c>
      <c r="M7" s="3" t="s">
        <v>106</v>
      </c>
    </row>
    <row r="8" spans="1:13" ht="15">
      <c r="A8" s="10">
        <v>6</v>
      </c>
      <c r="B8" s="16">
        <f>ROUND(Form!E30,0)</f>
        <v>0</v>
      </c>
      <c r="D8" s="10" t="s">
        <v>118</v>
      </c>
      <c r="E8" s="10" t="s">
        <v>395</v>
      </c>
      <c r="H8" s="3" t="s">
        <v>755</v>
      </c>
      <c r="I8" s="6" t="s">
        <v>87</v>
      </c>
      <c r="J8" s="3" t="s">
        <v>779</v>
      </c>
      <c r="K8" s="3" t="s">
        <v>95</v>
      </c>
      <c r="L8" s="7">
        <v>9</v>
      </c>
      <c r="M8" s="3" t="s">
        <v>107</v>
      </c>
    </row>
    <row r="9" spans="1:13" ht="15">
      <c r="A9" s="17">
        <v>7</v>
      </c>
      <c r="B9" s="16">
        <f>ROUND(Form!E38,0)</f>
        <v>0</v>
      </c>
      <c r="D9" s="10" t="s">
        <v>119</v>
      </c>
      <c r="E9" s="10" t="s">
        <v>396</v>
      </c>
      <c r="H9" s="4" t="s">
        <v>756</v>
      </c>
      <c r="I9" s="6" t="s">
        <v>88</v>
      </c>
      <c r="J9" s="3" t="s">
        <v>780</v>
      </c>
      <c r="K9" s="3" t="s">
        <v>96</v>
      </c>
      <c r="L9" s="7">
        <v>10</v>
      </c>
      <c r="M9" s="3" t="s">
        <v>739</v>
      </c>
    </row>
    <row r="10" spans="1:13" ht="15">
      <c r="A10" s="17">
        <v>8</v>
      </c>
      <c r="B10" s="16">
        <f>ROUND(Form!E39,0)</f>
        <v>0</v>
      </c>
      <c r="D10" s="10" t="s">
        <v>120</v>
      </c>
      <c r="E10" s="10" t="s">
        <v>709</v>
      </c>
      <c r="H10" s="3" t="s">
        <v>757</v>
      </c>
      <c r="I10" s="6" t="s">
        <v>89</v>
      </c>
      <c r="J10" s="3" t="s">
        <v>781</v>
      </c>
      <c r="K10" s="3" t="s">
        <v>97</v>
      </c>
      <c r="L10" s="7">
        <v>11</v>
      </c>
      <c r="M10" s="3" t="s">
        <v>108</v>
      </c>
    </row>
    <row r="11" spans="1:13" ht="15">
      <c r="A11" s="17">
        <v>9</v>
      </c>
      <c r="B11" s="16">
        <f>ROUND(Form!E40,0)</f>
        <v>0</v>
      </c>
      <c r="D11" s="10" t="s">
        <v>121</v>
      </c>
      <c r="E11" s="10" t="s">
        <v>398</v>
      </c>
      <c r="H11" s="5" t="s">
        <v>758</v>
      </c>
      <c r="I11" s="6" t="s">
        <v>90</v>
      </c>
      <c r="J11" s="3" t="s">
        <v>782</v>
      </c>
      <c r="K11" s="3" t="s">
        <v>98</v>
      </c>
      <c r="L11" s="7">
        <v>12</v>
      </c>
      <c r="M11" s="3" t="s">
        <v>109</v>
      </c>
    </row>
    <row r="12" spans="1:13" ht="15">
      <c r="A12" s="17">
        <v>10</v>
      </c>
      <c r="B12" s="16">
        <f>ROUND(Form!E41,0)</f>
        <v>0</v>
      </c>
      <c r="D12" s="10" t="s">
        <v>122</v>
      </c>
      <c r="E12" s="10" t="s">
        <v>399</v>
      </c>
      <c r="H12" s="4" t="s">
        <v>759</v>
      </c>
      <c r="I12" s="6" t="s">
        <v>91</v>
      </c>
      <c r="J12" s="3" t="s">
        <v>783</v>
      </c>
      <c r="K12" s="3" t="s">
        <v>99</v>
      </c>
      <c r="L12" s="7">
        <v>1</v>
      </c>
      <c r="M12" s="8" t="s">
        <v>110</v>
      </c>
    </row>
    <row r="13" spans="1:13" ht="15">
      <c r="A13" s="17">
        <v>11</v>
      </c>
      <c r="B13" s="16">
        <f>ROUND(Form!E42,0)</f>
        <v>0</v>
      </c>
      <c r="D13" s="10" t="s">
        <v>123</v>
      </c>
      <c r="E13" s="10" t="s">
        <v>400</v>
      </c>
      <c r="H13" s="5" t="s">
        <v>760</v>
      </c>
      <c r="I13" s="6" t="s">
        <v>92</v>
      </c>
      <c r="J13" s="3" t="s">
        <v>784</v>
      </c>
      <c r="K13" s="3" t="s">
        <v>100</v>
      </c>
      <c r="L13" s="7">
        <v>2</v>
      </c>
      <c r="M13" s="3" t="s">
        <v>111</v>
      </c>
    </row>
    <row r="14" spans="1:13" ht="15">
      <c r="A14" s="17">
        <v>12</v>
      </c>
      <c r="B14" s="16">
        <f>ROUND(Form!E43,0)</f>
        <v>0</v>
      </c>
      <c r="D14" s="10" t="s">
        <v>124</v>
      </c>
      <c r="E14" s="10" t="s">
        <v>401</v>
      </c>
      <c r="H14" s="3" t="s">
        <v>761</v>
      </c>
      <c r="I14" s="6" t="s">
        <v>93</v>
      </c>
      <c r="J14" s="3" t="s">
        <v>785</v>
      </c>
      <c r="K14" s="3" t="s">
        <v>101</v>
      </c>
      <c r="L14" s="7">
        <v>3</v>
      </c>
      <c r="M14" s="3" t="s">
        <v>112</v>
      </c>
    </row>
    <row r="15" spans="1:5" ht="15">
      <c r="A15" s="17">
        <v>13</v>
      </c>
      <c r="B15" s="16">
        <f>ROUND(Form!E44,0)</f>
        <v>0</v>
      </c>
      <c r="D15" s="10" t="s">
        <v>125</v>
      </c>
      <c r="E15" s="10" t="s">
        <v>402</v>
      </c>
    </row>
    <row r="16" spans="1:5" ht="15">
      <c r="A16" s="17">
        <v>14</v>
      </c>
      <c r="B16" s="16">
        <f>ROUND(Form!E45,0)</f>
        <v>0</v>
      </c>
      <c r="D16" s="10" t="s">
        <v>126</v>
      </c>
      <c r="E16" s="10" t="s">
        <v>403</v>
      </c>
    </row>
    <row r="17" spans="1:5" ht="15">
      <c r="A17" s="17">
        <v>15</v>
      </c>
      <c r="B17" s="16">
        <f>ROUND(Form!E46,0)</f>
        <v>0</v>
      </c>
      <c r="D17" s="10" t="s">
        <v>127</v>
      </c>
      <c r="E17" s="10" t="s">
        <v>404</v>
      </c>
    </row>
    <row r="18" spans="1:5" ht="15">
      <c r="A18" s="17">
        <v>16</v>
      </c>
      <c r="B18" s="16">
        <f>ROUND(Form!E47,0)</f>
        <v>0</v>
      </c>
      <c r="D18" s="10" t="s">
        <v>128</v>
      </c>
      <c r="E18" s="10" t="s">
        <v>405</v>
      </c>
    </row>
    <row r="19" spans="1:5" ht="15">
      <c r="A19" s="17">
        <v>17</v>
      </c>
      <c r="B19" s="16">
        <f>ROUND(Form!E48,0)</f>
        <v>0</v>
      </c>
      <c r="D19" s="10" t="s">
        <v>129</v>
      </c>
      <c r="E19" s="10" t="s">
        <v>406</v>
      </c>
    </row>
    <row r="20" spans="1:5" ht="15">
      <c r="A20" s="10">
        <v>18</v>
      </c>
      <c r="B20" s="16">
        <f>ROUND(Form!I37,0)</f>
        <v>0</v>
      </c>
      <c r="D20" s="10" t="s">
        <v>130</v>
      </c>
      <c r="E20" s="10" t="s">
        <v>407</v>
      </c>
    </row>
    <row r="21" spans="1:5" ht="15">
      <c r="A21" s="10">
        <v>19</v>
      </c>
      <c r="B21" s="16">
        <f>ROUND(Form!I38,0)</f>
        <v>0</v>
      </c>
      <c r="D21" s="10" t="s">
        <v>131</v>
      </c>
      <c r="E21" s="10" t="s">
        <v>408</v>
      </c>
    </row>
    <row r="22" spans="1:5" ht="15">
      <c r="A22" s="10">
        <v>20</v>
      </c>
      <c r="B22" s="16">
        <f>ROUND(Form!I39,0)</f>
        <v>0</v>
      </c>
      <c r="D22" s="10" t="s">
        <v>132</v>
      </c>
      <c r="E22" s="10" t="s">
        <v>409</v>
      </c>
    </row>
    <row r="23" spans="1:5" ht="15">
      <c r="A23" s="10">
        <v>21</v>
      </c>
      <c r="B23" s="16">
        <f>ROUND(Form!I40,0)</f>
        <v>0</v>
      </c>
      <c r="D23" s="10" t="s">
        <v>133</v>
      </c>
      <c r="E23" s="10" t="s">
        <v>410</v>
      </c>
    </row>
    <row r="24" spans="1:5" ht="15">
      <c r="A24" s="10">
        <v>22</v>
      </c>
      <c r="B24" s="16">
        <f>ROUND(Form!I41,0)</f>
        <v>0</v>
      </c>
      <c r="D24" s="10" t="s">
        <v>134</v>
      </c>
      <c r="E24" s="10" t="s">
        <v>411</v>
      </c>
    </row>
    <row r="25" spans="1:5" ht="15">
      <c r="A25" s="10">
        <v>23</v>
      </c>
      <c r="B25" s="16">
        <f>ROUND(Form!I42,0)</f>
        <v>0</v>
      </c>
      <c r="D25" s="10" t="s">
        <v>135</v>
      </c>
      <c r="E25" s="10" t="s">
        <v>412</v>
      </c>
    </row>
    <row r="26" spans="1:5" ht="15">
      <c r="A26" s="10">
        <v>24</v>
      </c>
      <c r="B26" s="16">
        <f>ROUND(Form!I43,0)</f>
        <v>0</v>
      </c>
      <c r="D26" s="10" t="s">
        <v>136</v>
      </c>
      <c r="E26" s="10" t="s">
        <v>413</v>
      </c>
    </row>
    <row r="27" spans="1:5" ht="15">
      <c r="A27" s="10">
        <v>25</v>
      </c>
      <c r="B27" s="16">
        <f>ROUND(Form!I44,0)</f>
        <v>0</v>
      </c>
      <c r="D27" s="10" t="s">
        <v>137</v>
      </c>
      <c r="E27" s="10" t="s">
        <v>414</v>
      </c>
    </row>
    <row r="28" spans="1:5" ht="15">
      <c r="A28" s="10">
        <v>26</v>
      </c>
      <c r="B28" s="16">
        <f>ROUND(Form!I45,0)</f>
        <v>0</v>
      </c>
      <c r="D28" s="10" t="s">
        <v>138</v>
      </c>
      <c r="E28" s="10" t="s">
        <v>415</v>
      </c>
    </row>
    <row r="29" spans="1:5" ht="15">
      <c r="A29" s="10">
        <v>27</v>
      </c>
      <c r="B29" s="16">
        <f>ROUND(Form!I46,0)</f>
        <v>0</v>
      </c>
      <c r="D29" s="10" t="s">
        <v>139</v>
      </c>
      <c r="E29" s="10" t="s">
        <v>416</v>
      </c>
    </row>
    <row r="30" spans="1:5" ht="15">
      <c r="A30" s="10">
        <v>28</v>
      </c>
      <c r="B30" s="16">
        <f>ROUND(Form!I47,0)</f>
        <v>0</v>
      </c>
      <c r="D30" s="10" t="s">
        <v>140</v>
      </c>
      <c r="E30" s="10" t="s">
        <v>417</v>
      </c>
    </row>
    <row r="31" spans="1:5" ht="15">
      <c r="A31" s="10">
        <v>29</v>
      </c>
      <c r="B31" s="16">
        <f>ROUND(Form!I48,0)</f>
        <v>0</v>
      </c>
      <c r="D31" s="10" t="s">
        <v>141</v>
      </c>
      <c r="E31" s="10" t="s">
        <v>418</v>
      </c>
    </row>
    <row r="32" spans="1:5" ht="15">
      <c r="A32" s="17">
        <v>30</v>
      </c>
      <c r="B32" s="16">
        <f>ROUND(Form!E57,0)</f>
        <v>0</v>
      </c>
      <c r="D32" s="10" t="s">
        <v>142</v>
      </c>
      <c r="E32" s="10" t="s">
        <v>419</v>
      </c>
    </row>
    <row r="33" spans="1:5" ht="15">
      <c r="A33" s="17">
        <v>31</v>
      </c>
      <c r="B33" s="16">
        <f>ROUND(Form!E58,0)</f>
        <v>0</v>
      </c>
      <c r="D33" s="10" t="s">
        <v>143</v>
      </c>
      <c r="E33" s="10" t="s">
        <v>420</v>
      </c>
    </row>
    <row r="34" spans="1:5" ht="15">
      <c r="A34" s="17">
        <v>32</v>
      </c>
      <c r="B34" s="16">
        <f>ROUND(Form!E59,0)</f>
        <v>0</v>
      </c>
      <c r="D34" s="10" t="s">
        <v>144</v>
      </c>
      <c r="E34" s="10" t="s">
        <v>421</v>
      </c>
    </row>
    <row r="35" spans="1:5" ht="15">
      <c r="A35" s="17">
        <v>33</v>
      </c>
      <c r="B35" s="16">
        <f>ROUND(Form!E60,0)</f>
        <v>0</v>
      </c>
      <c r="D35" s="10" t="s">
        <v>145</v>
      </c>
      <c r="E35" s="10" t="s">
        <v>422</v>
      </c>
    </row>
    <row r="36" spans="1:5" ht="15">
      <c r="A36" s="10">
        <v>34</v>
      </c>
      <c r="B36" s="16">
        <f>ROUND(Form!E63,0)</f>
        <v>0</v>
      </c>
      <c r="D36" s="10" t="s">
        <v>146</v>
      </c>
      <c r="E36" s="10" t="s">
        <v>423</v>
      </c>
    </row>
    <row r="37" spans="1:5" ht="15">
      <c r="A37" s="10">
        <v>35</v>
      </c>
      <c r="B37" s="16">
        <f>ROUND(Form!E64,0)</f>
        <v>0</v>
      </c>
      <c r="D37" s="10" t="s">
        <v>147</v>
      </c>
      <c r="E37" s="10" t="s">
        <v>424</v>
      </c>
    </row>
    <row r="38" spans="1:5" ht="15">
      <c r="A38" s="10">
        <v>36</v>
      </c>
      <c r="B38" s="16">
        <f>ROUND(Form!E65,0)</f>
        <v>0</v>
      </c>
      <c r="D38" s="10" t="s">
        <v>148</v>
      </c>
      <c r="E38" s="10" t="s">
        <v>425</v>
      </c>
    </row>
    <row r="39" spans="1:5" ht="15">
      <c r="A39" s="10">
        <v>37</v>
      </c>
      <c r="B39" s="16">
        <f>ROUND(Form!E66,0)</f>
        <v>0</v>
      </c>
      <c r="D39" s="10" t="s">
        <v>149</v>
      </c>
      <c r="E39" s="10" t="s">
        <v>426</v>
      </c>
    </row>
    <row r="40" spans="1:5" ht="15">
      <c r="A40" s="10">
        <v>38</v>
      </c>
      <c r="B40" s="16">
        <f>ROUND(Form!E67,0)</f>
        <v>0</v>
      </c>
      <c r="D40" s="10" t="s">
        <v>150</v>
      </c>
      <c r="E40" s="10" t="s">
        <v>427</v>
      </c>
    </row>
    <row r="41" spans="1:5" ht="15">
      <c r="A41" s="17">
        <v>39</v>
      </c>
      <c r="B41" s="16">
        <f>ROUND(Form!E70,0)</f>
        <v>0</v>
      </c>
      <c r="D41" s="10" t="s">
        <v>151</v>
      </c>
      <c r="E41" s="10" t="s">
        <v>428</v>
      </c>
    </row>
    <row r="42" spans="1:5" ht="15">
      <c r="A42" s="17">
        <v>40</v>
      </c>
      <c r="B42" s="16">
        <f>ROUND(Form!E71,0)</f>
        <v>0</v>
      </c>
      <c r="D42" s="10" t="s">
        <v>152</v>
      </c>
      <c r="E42" s="10" t="s">
        <v>429</v>
      </c>
    </row>
    <row r="43" spans="1:5" ht="15">
      <c r="A43" s="17">
        <v>41</v>
      </c>
      <c r="B43" s="16">
        <f>ROUND(Form!E72,0)</f>
        <v>0</v>
      </c>
      <c r="D43" s="10" t="s">
        <v>153</v>
      </c>
      <c r="E43" s="10" t="s">
        <v>430</v>
      </c>
    </row>
    <row r="44" spans="1:5" ht="15">
      <c r="A44" s="17">
        <v>42</v>
      </c>
      <c r="B44" s="16">
        <f>ROUND(Form!E73,0)</f>
        <v>0</v>
      </c>
      <c r="D44" s="10" t="s">
        <v>154</v>
      </c>
      <c r="E44" s="10" t="s">
        <v>431</v>
      </c>
    </row>
    <row r="45" spans="1:5" ht="15">
      <c r="A45" s="10">
        <v>43</v>
      </c>
      <c r="B45" s="16">
        <f>ROUND(Form!E75,0)</f>
        <v>0</v>
      </c>
      <c r="D45" s="10" t="s">
        <v>155</v>
      </c>
      <c r="E45" s="10" t="s">
        <v>432</v>
      </c>
    </row>
    <row r="46" spans="1:5" ht="15">
      <c r="A46" s="17">
        <v>44</v>
      </c>
      <c r="B46" s="16">
        <f>ROUND(Form!E79,0)</f>
        <v>0</v>
      </c>
      <c r="D46" s="10" t="s">
        <v>156</v>
      </c>
      <c r="E46" s="10" t="s">
        <v>433</v>
      </c>
    </row>
    <row r="47" spans="1:5" ht="15">
      <c r="A47" s="17">
        <v>45</v>
      </c>
      <c r="B47" s="16">
        <f>ROUND(Form!E80,0)</f>
        <v>0</v>
      </c>
      <c r="D47" s="11" t="s">
        <v>157</v>
      </c>
      <c r="E47" s="10" t="s">
        <v>434</v>
      </c>
    </row>
    <row r="48" spans="1:5" ht="15">
      <c r="A48" s="10">
        <v>46</v>
      </c>
      <c r="B48" s="16">
        <f>ROUND(Form!E85,0)</f>
        <v>0</v>
      </c>
      <c r="D48" s="10" t="s">
        <v>158</v>
      </c>
      <c r="E48" s="10" t="s">
        <v>435</v>
      </c>
    </row>
    <row r="49" spans="1:5" ht="15">
      <c r="A49" s="10">
        <v>47</v>
      </c>
      <c r="B49" s="16">
        <f>ROUND(Form!E86,0)</f>
        <v>0</v>
      </c>
      <c r="D49" s="10" t="s">
        <v>159</v>
      </c>
      <c r="E49" s="10" t="s">
        <v>436</v>
      </c>
    </row>
    <row r="50" spans="1:5" ht="15">
      <c r="A50" s="17">
        <v>48</v>
      </c>
      <c r="B50" s="16">
        <f>ROUND(Form!O57,0)</f>
        <v>0</v>
      </c>
      <c r="D50" s="11" t="s">
        <v>160</v>
      </c>
      <c r="E50" s="10" t="s">
        <v>437</v>
      </c>
    </row>
    <row r="51" spans="1:5" ht="15">
      <c r="A51" s="17">
        <v>49</v>
      </c>
      <c r="B51" s="16">
        <f>ROUND(Form!O58,0)</f>
        <v>0</v>
      </c>
      <c r="D51" s="10" t="s">
        <v>161</v>
      </c>
      <c r="E51" s="10" t="s">
        <v>438</v>
      </c>
    </row>
    <row r="52" spans="1:5" ht="15">
      <c r="A52" s="17">
        <v>50</v>
      </c>
      <c r="B52" s="16">
        <f>ROUND(Form!O59,0)</f>
        <v>0</v>
      </c>
      <c r="D52" s="10" t="s">
        <v>162</v>
      </c>
      <c r="E52" s="10" t="s">
        <v>439</v>
      </c>
    </row>
    <row r="53" spans="1:5" ht="15">
      <c r="A53" s="10">
        <v>51</v>
      </c>
      <c r="B53" s="16">
        <f>ROUND(Form!O63,0)</f>
        <v>0</v>
      </c>
      <c r="D53" s="10" t="s">
        <v>163</v>
      </c>
      <c r="E53" s="10" t="s">
        <v>440</v>
      </c>
    </row>
    <row r="54" spans="1:5" ht="15">
      <c r="A54" s="10">
        <v>52</v>
      </c>
      <c r="B54" s="16">
        <f>ROUND(Form!O64,0)</f>
        <v>0</v>
      </c>
      <c r="D54" s="10" t="s">
        <v>164</v>
      </c>
      <c r="E54" s="10" t="s">
        <v>441</v>
      </c>
    </row>
    <row r="55" spans="1:5" ht="15">
      <c r="A55" s="10">
        <v>53</v>
      </c>
      <c r="B55" s="16">
        <f>ROUND(Form!O65,0)</f>
        <v>0</v>
      </c>
      <c r="D55" s="10" t="s">
        <v>165</v>
      </c>
      <c r="E55" s="10" t="s">
        <v>442</v>
      </c>
    </row>
    <row r="56" spans="1:5" ht="15">
      <c r="A56" s="10">
        <v>54</v>
      </c>
      <c r="B56" s="16">
        <f>ROUND(Form!O66,0)</f>
        <v>0</v>
      </c>
      <c r="D56" s="10" t="s">
        <v>166</v>
      </c>
      <c r="E56" s="10" t="s">
        <v>443</v>
      </c>
    </row>
    <row r="57" spans="1:5" ht="15">
      <c r="A57" s="10">
        <v>55</v>
      </c>
      <c r="B57" s="16">
        <f>ROUND(Form!O67,0)</f>
        <v>0</v>
      </c>
      <c r="D57" s="10" t="s">
        <v>167</v>
      </c>
      <c r="E57" s="10" t="s">
        <v>444</v>
      </c>
    </row>
    <row r="58" spans="1:5" ht="15">
      <c r="A58" s="17">
        <v>56</v>
      </c>
      <c r="B58" s="16">
        <f>ROUND(Form!O70,0)</f>
        <v>0</v>
      </c>
      <c r="D58" s="10" t="s">
        <v>168</v>
      </c>
      <c r="E58" s="10" t="s">
        <v>445</v>
      </c>
    </row>
    <row r="59" spans="1:5" ht="15">
      <c r="A59" s="17">
        <v>57</v>
      </c>
      <c r="B59" s="16">
        <f>ROUND(Form!O71,0)</f>
        <v>0</v>
      </c>
      <c r="D59" s="10" t="s">
        <v>169</v>
      </c>
      <c r="E59" s="10" t="s">
        <v>446</v>
      </c>
    </row>
    <row r="60" spans="1:5" ht="15">
      <c r="A60" s="17">
        <v>58</v>
      </c>
      <c r="B60" s="16">
        <f>ROUND(Form!O72,0)</f>
        <v>0</v>
      </c>
      <c r="D60" s="10" t="s">
        <v>170</v>
      </c>
      <c r="E60" s="10" t="s">
        <v>447</v>
      </c>
    </row>
    <row r="61" spans="1:5" ht="15">
      <c r="A61" s="17">
        <v>59</v>
      </c>
      <c r="B61" s="16">
        <f>ROUND(Form!O73,0)</f>
        <v>0</v>
      </c>
      <c r="D61" s="10" t="s">
        <v>171</v>
      </c>
      <c r="E61" s="10" t="s">
        <v>448</v>
      </c>
    </row>
    <row r="62" spans="1:5" ht="15">
      <c r="A62" s="10">
        <v>60</v>
      </c>
      <c r="B62" s="16">
        <f>ROUND(Form!O75,0)</f>
        <v>0</v>
      </c>
      <c r="D62" s="10" t="s">
        <v>172</v>
      </c>
      <c r="E62" s="10" t="s">
        <v>449</v>
      </c>
    </row>
    <row r="63" spans="4:5" ht="15">
      <c r="D63" s="10" t="s">
        <v>173</v>
      </c>
      <c r="E63" s="10" t="s">
        <v>450</v>
      </c>
    </row>
    <row r="64" spans="4:5" ht="15">
      <c r="D64" s="10" t="s">
        <v>174</v>
      </c>
      <c r="E64" s="10" t="s">
        <v>451</v>
      </c>
    </row>
    <row r="65" spans="4:5" ht="15">
      <c r="D65" s="10" t="s">
        <v>175</v>
      </c>
      <c r="E65" s="10" t="s">
        <v>452</v>
      </c>
    </row>
    <row r="66" spans="4:5" ht="15">
      <c r="D66" s="10" t="s">
        <v>176</v>
      </c>
      <c r="E66" s="10" t="s">
        <v>453</v>
      </c>
    </row>
    <row r="67" spans="4:5" ht="15">
      <c r="D67" s="10" t="s">
        <v>177</v>
      </c>
      <c r="E67" s="10" t="s">
        <v>454</v>
      </c>
    </row>
    <row r="68" spans="4:5" ht="15">
      <c r="D68" s="10" t="s">
        <v>178</v>
      </c>
      <c r="E68" s="10" t="s">
        <v>455</v>
      </c>
    </row>
    <row r="69" spans="4:5" ht="15">
      <c r="D69" s="10" t="s">
        <v>179</v>
      </c>
      <c r="E69" s="10" t="s">
        <v>456</v>
      </c>
    </row>
    <row r="70" spans="4:5" ht="15">
      <c r="D70" s="10" t="s">
        <v>180</v>
      </c>
      <c r="E70" s="10" t="s">
        <v>457</v>
      </c>
    </row>
    <row r="71" spans="4:5" ht="15">
      <c r="D71" s="10" t="s">
        <v>181</v>
      </c>
      <c r="E71" s="10" t="s">
        <v>458</v>
      </c>
    </row>
    <row r="72" spans="4:5" ht="15">
      <c r="D72" s="10" t="s">
        <v>182</v>
      </c>
      <c r="E72" s="10" t="s">
        <v>459</v>
      </c>
    </row>
    <row r="73" spans="4:5" ht="15">
      <c r="D73" s="10" t="s">
        <v>183</v>
      </c>
      <c r="E73" s="10" t="s">
        <v>460</v>
      </c>
    </row>
    <row r="74" spans="4:5" ht="15">
      <c r="D74" s="10" t="s">
        <v>184</v>
      </c>
      <c r="E74" s="10" t="s">
        <v>461</v>
      </c>
    </row>
    <row r="75" spans="4:5" ht="15">
      <c r="D75" s="10" t="s">
        <v>185</v>
      </c>
      <c r="E75" s="10" t="s">
        <v>462</v>
      </c>
    </row>
    <row r="76" spans="4:5" ht="15">
      <c r="D76" s="10" t="s">
        <v>186</v>
      </c>
      <c r="E76" s="10" t="s">
        <v>463</v>
      </c>
    </row>
    <row r="77" spans="4:5" ht="15">
      <c r="D77" s="10" t="s">
        <v>187</v>
      </c>
      <c r="E77" s="10" t="s">
        <v>464</v>
      </c>
    </row>
    <row r="78" spans="4:5" ht="15">
      <c r="D78" s="10" t="s">
        <v>188</v>
      </c>
      <c r="E78" s="10" t="s">
        <v>465</v>
      </c>
    </row>
    <row r="79" spans="4:5" ht="15">
      <c r="D79" s="10" t="s">
        <v>189</v>
      </c>
      <c r="E79" s="10" t="s">
        <v>466</v>
      </c>
    </row>
    <row r="80" spans="4:5" ht="15">
      <c r="D80" s="10" t="s">
        <v>190</v>
      </c>
      <c r="E80" s="10" t="s">
        <v>467</v>
      </c>
    </row>
    <row r="81" spans="4:5" ht="15">
      <c r="D81" s="10" t="s">
        <v>191</v>
      </c>
      <c r="E81" s="10" t="s">
        <v>468</v>
      </c>
    </row>
    <row r="82" spans="4:5" ht="15">
      <c r="D82" s="10" t="s">
        <v>192</v>
      </c>
      <c r="E82" s="10" t="s">
        <v>469</v>
      </c>
    </row>
    <row r="83" spans="4:5" ht="15">
      <c r="D83" s="10" t="s">
        <v>193</v>
      </c>
      <c r="E83" s="10" t="s">
        <v>470</v>
      </c>
    </row>
    <row r="84" spans="4:5" ht="15">
      <c r="D84" s="10" t="s">
        <v>194</v>
      </c>
      <c r="E84" s="10" t="s">
        <v>471</v>
      </c>
    </row>
    <row r="85" spans="4:5" ht="15">
      <c r="D85" s="10" t="s">
        <v>195</v>
      </c>
      <c r="E85" s="10" t="s">
        <v>472</v>
      </c>
    </row>
    <row r="86" spans="4:5" ht="15">
      <c r="D86" s="10" t="s">
        <v>196</v>
      </c>
      <c r="E86" s="10" t="s">
        <v>473</v>
      </c>
    </row>
    <row r="87" spans="4:5" ht="15">
      <c r="D87" s="10" t="s">
        <v>197</v>
      </c>
      <c r="E87" s="10" t="s">
        <v>474</v>
      </c>
    </row>
    <row r="88" spans="4:5" ht="15">
      <c r="D88" s="10" t="s">
        <v>198</v>
      </c>
      <c r="E88" s="10" t="s">
        <v>475</v>
      </c>
    </row>
    <row r="89" spans="4:5" ht="15">
      <c r="D89" s="10" t="s">
        <v>199</v>
      </c>
      <c r="E89" s="10" t="s">
        <v>476</v>
      </c>
    </row>
    <row r="90" spans="4:5" ht="15">
      <c r="D90" s="10" t="s">
        <v>200</v>
      </c>
      <c r="E90" s="10" t="s">
        <v>477</v>
      </c>
    </row>
    <row r="91" spans="4:5" ht="15">
      <c r="D91" s="10" t="s">
        <v>201</v>
      </c>
      <c r="E91" s="10" t="s">
        <v>478</v>
      </c>
    </row>
    <row r="92" spans="4:5" ht="15">
      <c r="D92" s="10" t="s">
        <v>202</v>
      </c>
      <c r="E92" s="10" t="s">
        <v>479</v>
      </c>
    </row>
    <row r="93" spans="4:5" ht="15">
      <c r="D93" s="10" t="s">
        <v>203</v>
      </c>
      <c r="E93" s="10" t="s">
        <v>480</v>
      </c>
    </row>
    <row r="94" spans="4:5" ht="15">
      <c r="D94" s="10" t="s">
        <v>204</v>
      </c>
      <c r="E94" s="10" t="s">
        <v>481</v>
      </c>
    </row>
    <row r="95" spans="4:5" ht="15">
      <c r="D95" s="10" t="s">
        <v>205</v>
      </c>
      <c r="E95" s="10" t="s">
        <v>482</v>
      </c>
    </row>
    <row r="96" spans="4:5" ht="15">
      <c r="D96" s="10" t="s">
        <v>206</v>
      </c>
      <c r="E96" s="10" t="s">
        <v>483</v>
      </c>
    </row>
    <row r="97" spans="4:5" ht="15">
      <c r="D97" s="10" t="s">
        <v>207</v>
      </c>
      <c r="E97" s="10" t="s">
        <v>484</v>
      </c>
    </row>
    <row r="98" spans="4:5" ht="15">
      <c r="D98" s="10" t="s">
        <v>208</v>
      </c>
      <c r="E98" s="10" t="s">
        <v>485</v>
      </c>
    </row>
    <row r="99" spans="4:5" ht="15">
      <c r="D99" s="10" t="s">
        <v>209</v>
      </c>
      <c r="E99" s="10" t="s">
        <v>486</v>
      </c>
    </row>
    <row r="100" spans="4:5" ht="15">
      <c r="D100" s="10" t="s">
        <v>210</v>
      </c>
      <c r="E100" s="10" t="s">
        <v>487</v>
      </c>
    </row>
    <row r="101" spans="4:5" ht="15">
      <c r="D101" s="10" t="s">
        <v>211</v>
      </c>
      <c r="E101" s="10" t="s">
        <v>488</v>
      </c>
    </row>
    <row r="102" spans="4:5" ht="15">
      <c r="D102" s="10" t="s">
        <v>212</v>
      </c>
      <c r="E102" s="10" t="s">
        <v>489</v>
      </c>
    </row>
    <row r="103" spans="4:5" ht="15">
      <c r="D103" s="10" t="s">
        <v>213</v>
      </c>
      <c r="E103" s="10" t="s">
        <v>490</v>
      </c>
    </row>
    <row r="104" spans="4:5" ht="15">
      <c r="D104" s="10" t="s">
        <v>214</v>
      </c>
      <c r="E104" s="10" t="s">
        <v>491</v>
      </c>
    </row>
    <row r="105" spans="4:5" ht="15">
      <c r="D105" s="10" t="s">
        <v>215</v>
      </c>
      <c r="E105" s="10" t="s">
        <v>492</v>
      </c>
    </row>
    <row r="106" spans="4:5" ht="15">
      <c r="D106" s="10" t="s">
        <v>216</v>
      </c>
      <c r="E106" s="10" t="s">
        <v>493</v>
      </c>
    </row>
    <row r="107" spans="4:5" ht="15">
      <c r="D107" s="10" t="s">
        <v>217</v>
      </c>
      <c r="E107" s="10" t="s">
        <v>494</v>
      </c>
    </row>
    <row r="108" spans="4:5" ht="15">
      <c r="D108" s="10" t="s">
        <v>218</v>
      </c>
      <c r="E108" s="10" t="s">
        <v>495</v>
      </c>
    </row>
    <row r="109" spans="4:5" ht="15">
      <c r="D109" s="10" t="s">
        <v>219</v>
      </c>
      <c r="E109" s="10" t="s">
        <v>496</v>
      </c>
    </row>
    <row r="110" spans="4:5" ht="15">
      <c r="D110" s="10" t="s">
        <v>220</v>
      </c>
      <c r="E110" s="10" t="s">
        <v>497</v>
      </c>
    </row>
    <row r="111" spans="4:5" ht="15">
      <c r="D111" s="10" t="s">
        <v>221</v>
      </c>
      <c r="E111" s="10" t="s">
        <v>498</v>
      </c>
    </row>
    <row r="112" spans="4:5" ht="15">
      <c r="D112" s="10" t="s">
        <v>222</v>
      </c>
      <c r="E112" s="10" t="s">
        <v>499</v>
      </c>
    </row>
    <row r="113" spans="4:5" ht="15">
      <c r="D113" s="10" t="s">
        <v>223</v>
      </c>
      <c r="E113" s="10" t="s">
        <v>500</v>
      </c>
    </row>
    <row r="114" spans="4:5" ht="15">
      <c r="D114" s="10" t="s">
        <v>224</v>
      </c>
      <c r="E114" s="10" t="s">
        <v>501</v>
      </c>
    </row>
    <row r="115" spans="4:5" ht="15">
      <c r="D115" s="10" t="s">
        <v>225</v>
      </c>
      <c r="E115" s="10" t="s">
        <v>502</v>
      </c>
    </row>
    <row r="116" spans="4:5" ht="15">
      <c r="D116" s="10" t="s">
        <v>226</v>
      </c>
      <c r="E116" s="10" t="s">
        <v>503</v>
      </c>
    </row>
    <row r="117" spans="4:5" ht="15">
      <c r="D117" s="10" t="s">
        <v>227</v>
      </c>
      <c r="E117" s="10" t="s">
        <v>504</v>
      </c>
    </row>
    <row r="118" spans="4:5" ht="15">
      <c r="D118" s="10" t="s">
        <v>228</v>
      </c>
      <c r="E118" s="10" t="s">
        <v>505</v>
      </c>
    </row>
    <row r="119" spans="4:5" ht="15">
      <c r="D119" s="10" t="s">
        <v>229</v>
      </c>
      <c r="E119" s="10" t="s">
        <v>506</v>
      </c>
    </row>
    <row r="120" spans="4:5" ht="15">
      <c r="D120" s="10" t="s">
        <v>230</v>
      </c>
      <c r="E120" s="10" t="s">
        <v>507</v>
      </c>
    </row>
    <row r="121" spans="4:5" ht="15">
      <c r="D121" s="10" t="s">
        <v>231</v>
      </c>
      <c r="E121" s="10" t="s">
        <v>508</v>
      </c>
    </row>
    <row r="122" spans="4:5" ht="15">
      <c r="D122" s="10" t="s">
        <v>232</v>
      </c>
      <c r="E122" s="10" t="s">
        <v>509</v>
      </c>
    </row>
    <row r="123" spans="4:5" ht="15">
      <c r="D123" s="10" t="s">
        <v>233</v>
      </c>
      <c r="E123" s="10" t="s">
        <v>510</v>
      </c>
    </row>
    <row r="124" spans="4:5" ht="15">
      <c r="D124" s="10" t="s">
        <v>234</v>
      </c>
      <c r="E124" s="10" t="s">
        <v>511</v>
      </c>
    </row>
    <row r="125" spans="4:5" ht="15">
      <c r="D125" s="10" t="s">
        <v>235</v>
      </c>
      <c r="E125" s="10" t="s">
        <v>512</v>
      </c>
    </row>
    <row r="126" spans="4:5" ht="15">
      <c r="D126" s="10" t="s">
        <v>236</v>
      </c>
      <c r="E126" s="10" t="s">
        <v>513</v>
      </c>
    </row>
    <row r="127" spans="4:5" ht="15">
      <c r="D127" s="10" t="s">
        <v>237</v>
      </c>
      <c r="E127" s="10" t="s">
        <v>514</v>
      </c>
    </row>
    <row r="128" spans="4:5" ht="15">
      <c r="D128" s="10" t="s">
        <v>238</v>
      </c>
      <c r="E128" s="10" t="s">
        <v>515</v>
      </c>
    </row>
    <row r="129" spans="4:5" ht="15">
      <c r="D129" s="10" t="s">
        <v>239</v>
      </c>
      <c r="E129" s="10" t="s">
        <v>516</v>
      </c>
    </row>
    <row r="130" spans="4:5" ht="15">
      <c r="D130" s="10" t="s">
        <v>240</v>
      </c>
      <c r="E130" s="10" t="s">
        <v>517</v>
      </c>
    </row>
    <row r="131" spans="4:5" ht="15">
      <c r="D131" s="10" t="s">
        <v>241</v>
      </c>
      <c r="E131" s="10" t="s">
        <v>518</v>
      </c>
    </row>
    <row r="132" spans="4:5" ht="15">
      <c r="D132" s="10" t="s">
        <v>242</v>
      </c>
      <c r="E132" s="10" t="s">
        <v>519</v>
      </c>
    </row>
    <row r="133" spans="4:5" ht="15">
      <c r="D133" s="10" t="s">
        <v>243</v>
      </c>
      <c r="E133" s="10" t="s">
        <v>520</v>
      </c>
    </row>
    <row r="134" spans="4:5" ht="15">
      <c r="D134" s="10" t="s">
        <v>244</v>
      </c>
      <c r="E134" s="10" t="s">
        <v>521</v>
      </c>
    </row>
    <row r="135" spans="4:5" ht="15">
      <c r="D135" s="10" t="s">
        <v>245</v>
      </c>
      <c r="E135" s="10" t="s">
        <v>522</v>
      </c>
    </row>
    <row r="136" spans="4:5" ht="15">
      <c r="D136" s="10" t="s">
        <v>246</v>
      </c>
      <c r="E136" s="10" t="s">
        <v>523</v>
      </c>
    </row>
    <row r="137" spans="4:5" ht="15">
      <c r="D137" s="10" t="s">
        <v>247</v>
      </c>
      <c r="E137" s="10" t="s">
        <v>524</v>
      </c>
    </row>
    <row r="138" spans="4:5" ht="15">
      <c r="D138" s="10" t="s">
        <v>248</v>
      </c>
      <c r="E138" s="10" t="s">
        <v>525</v>
      </c>
    </row>
    <row r="139" spans="4:5" ht="15">
      <c r="D139" s="10" t="s">
        <v>249</v>
      </c>
      <c r="E139" s="10" t="s">
        <v>526</v>
      </c>
    </row>
    <row r="140" spans="4:5" ht="15">
      <c r="D140" s="10" t="s">
        <v>250</v>
      </c>
      <c r="E140" s="10" t="s">
        <v>527</v>
      </c>
    </row>
    <row r="141" spans="4:5" ht="15">
      <c r="D141" s="10" t="s">
        <v>251</v>
      </c>
      <c r="E141" s="10" t="s">
        <v>528</v>
      </c>
    </row>
    <row r="142" spans="4:5" ht="15">
      <c r="D142" s="10" t="s">
        <v>252</v>
      </c>
      <c r="E142" s="10" t="s">
        <v>529</v>
      </c>
    </row>
    <row r="143" spans="4:5" ht="15">
      <c r="D143" s="10" t="s">
        <v>253</v>
      </c>
      <c r="E143" s="10" t="s">
        <v>530</v>
      </c>
    </row>
    <row r="144" spans="4:8" ht="15">
      <c r="D144" s="10" t="s">
        <v>254</v>
      </c>
      <c r="E144" s="10" t="s">
        <v>531</v>
      </c>
      <c r="H144" s="10"/>
    </row>
    <row r="145" spans="4:5" ht="15">
      <c r="D145" s="2" t="s">
        <v>571</v>
      </c>
      <c r="E145" s="10" t="s">
        <v>532</v>
      </c>
    </row>
    <row r="146" spans="4:5" ht="15">
      <c r="D146" s="10" t="s">
        <v>255</v>
      </c>
      <c r="E146" s="10" t="s">
        <v>533</v>
      </c>
    </row>
    <row r="147" spans="4:5" ht="15">
      <c r="D147" s="10" t="s">
        <v>256</v>
      </c>
      <c r="E147" s="10" t="s">
        <v>534</v>
      </c>
    </row>
    <row r="148" spans="4:5" ht="15">
      <c r="D148" s="10" t="s">
        <v>257</v>
      </c>
      <c r="E148" s="10" t="s">
        <v>535</v>
      </c>
    </row>
    <row r="149" spans="4:5" ht="15">
      <c r="D149" s="10" t="s">
        <v>258</v>
      </c>
      <c r="E149" s="10" t="s">
        <v>536</v>
      </c>
    </row>
    <row r="150" spans="4:5" ht="15">
      <c r="D150" s="10" t="s">
        <v>259</v>
      </c>
      <c r="E150" s="10" t="s">
        <v>537</v>
      </c>
    </row>
    <row r="151" spans="4:5" ht="15">
      <c r="D151" s="10" t="s">
        <v>260</v>
      </c>
      <c r="E151" s="10" t="s">
        <v>538</v>
      </c>
    </row>
    <row r="152" spans="4:5" ht="15">
      <c r="D152" s="10" t="s">
        <v>261</v>
      </c>
      <c r="E152" s="10" t="s">
        <v>539</v>
      </c>
    </row>
    <row r="153" spans="4:5" ht="15">
      <c r="D153" s="10" t="s">
        <v>262</v>
      </c>
      <c r="E153" s="10" t="s">
        <v>540</v>
      </c>
    </row>
    <row r="154" spans="4:5" ht="15">
      <c r="D154" s="10" t="s">
        <v>263</v>
      </c>
      <c r="E154" s="10" t="s">
        <v>541</v>
      </c>
    </row>
    <row r="155" spans="4:5" ht="15">
      <c r="D155" s="10" t="s">
        <v>799</v>
      </c>
      <c r="E155" s="10" t="s">
        <v>542</v>
      </c>
    </row>
    <row r="156" spans="4:5" ht="15">
      <c r="D156" s="10" t="s">
        <v>264</v>
      </c>
      <c r="E156" s="10" t="s">
        <v>543</v>
      </c>
    </row>
    <row r="157" spans="4:5" ht="15">
      <c r="D157" s="10" t="s">
        <v>265</v>
      </c>
      <c r="E157" s="10" t="s">
        <v>544</v>
      </c>
    </row>
    <row r="158" spans="4:5" ht="15">
      <c r="D158" s="10" t="s">
        <v>266</v>
      </c>
      <c r="E158" s="10" t="s">
        <v>545</v>
      </c>
    </row>
    <row r="159" spans="4:5" ht="15">
      <c r="D159" s="10" t="s">
        <v>267</v>
      </c>
      <c r="E159" s="10" t="s">
        <v>546</v>
      </c>
    </row>
    <row r="160" spans="4:5" ht="15">
      <c r="D160" s="10" t="s">
        <v>268</v>
      </c>
      <c r="E160" s="10" t="s">
        <v>547</v>
      </c>
    </row>
    <row r="161" spans="4:5" ht="15">
      <c r="D161" s="10" t="s">
        <v>269</v>
      </c>
      <c r="E161" s="10" t="s">
        <v>548</v>
      </c>
    </row>
    <row r="162" spans="4:5" ht="15">
      <c r="D162" s="10" t="s">
        <v>270</v>
      </c>
      <c r="E162" s="10" t="s">
        <v>549</v>
      </c>
    </row>
    <row r="163" spans="4:5" ht="15">
      <c r="D163" s="10" t="s">
        <v>271</v>
      </c>
      <c r="E163" s="10" t="s">
        <v>550</v>
      </c>
    </row>
    <row r="164" spans="4:5" ht="15">
      <c r="D164" s="10" t="s">
        <v>272</v>
      </c>
      <c r="E164" s="10" t="s">
        <v>551</v>
      </c>
    </row>
    <row r="165" spans="4:5" ht="15">
      <c r="D165" s="10" t="s">
        <v>273</v>
      </c>
      <c r="E165" s="10" t="s">
        <v>552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G163"/>
  <sheetViews>
    <sheetView zoomScalePageLayoutView="0" workbookViewId="0" topLeftCell="A97">
      <selection activeCell="AZ128" sqref="AZ128"/>
    </sheetView>
  </sheetViews>
  <sheetFormatPr defaultColWidth="8.88671875" defaultRowHeight="15"/>
  <cols>
    <col min="2" max="2" width="9.6640625" style="0" customWidth="1"/>
  </cols>
  <sheetData>
    <row r="1" spans="2:57" ht="63.75">
      <c r="B1" s="19" t="str">
        <f>CONCATENATE("Data from ",LA_info!K6," Monthly Borrowing Form.")</f>
        <v>Data from JUNE 2016 Monthly Borrowing Form.</v>
      </c>
      <c r="D1" s="21" t="s">
        <v>604</v>
      </c>
      <c r="E1" s="21" t="s">
        <v>605</v>
      </c>
      <c r="F1" s="21" t="s">
        <v>606</v>
      </c>
      <c r="G1" s="21" t="s">
        <v>607</v>
      </c>
      <c r="H1" s="21" t="s">
        <v>608</v>
      </c>
      <c r="I1" s="22" t="s">
        <v>609</v>
      </c>
      <c r="J1" s="21" t="s">
        <v>610</v>
      </c>
      <c r="K1" s="21" t="s">
        <v>611</v>
      </c>
      <c r="L1" s="21" t="s">
        <v>612</v>
      </c>
      <c r="M1" s="21" t="s">
        <v>613</v>
      </c>
      <c r="N1" s="21" t="s">
        <v>614</v>
      </c>
      <c r="O1" s="21" t="s">
        <v>615</v>
      </c>
      <c r="P1" s="21" t="s">
        <v>616</v>
      </c>
      <c r="Q1" s="21" t="s">
        <v>617</v>
      </c>
      <c r="R1" s="21" t="s">
        <v>618</v>
      </c>
      <c r="S1" s="21" t="s">
        <v>619</v>
      </c>
      <c r="T1" s="22" t="s">
        <v>620</v>
      </c>
      <c r="U1" s="21" t="s">
        <v>621</v>
      </c>
      <c r="V1" s="21" t="s">
        <v>622</v>
      </c>
      <c r="W1" s="21" t="s">
        <v>623</v>
      </c>
      <c r="X1" s="21" t="s">
        <v>624</v>
      </c>
      <c r="Y1" s="21" t="s">
        <v>625</v>
      </c>
      <c r="Z1" s="21" t="s">
        <v>626</v>
      </c>
      <c r="AA1" s="21" t="s">
        <v>627</v>
      </c>
      <c r="AB1" s="21" t="s">
        <v>628</v>
      </c>
      <c r="AC1" s="21" t="s">
        <v>629</v>
      </c>
      <c r="AD1" s="21" t="s">
        <v>630</v>
      </c>
      <c r="AE1" s="21" t="s">
        <v>631</v>
      </c>
      <c r="AF1" s="22" t="s">
        <v>632</v>
      </c>
      <c r="AG1" s="21" t="s">
        <v>633</v>
      </c>
      <c r="AH1" s="21" t="s">
        <v>634</v>
      </c>
      <c r="AI1" s="21" t="s">
        <v>635</v>
      </c>
      <c r="AJ1" s="21" t="s">
        <v>636</v>
      </c>
      <c r="AK1" s="21" t="s">
        <v>637</v>
      </c>
      <c r="AL1" s="21" t="s">
        <v>638</v>
      </c>
      <c r="AM1" s="21" t="s">
        <v>639</v>
      </c>
      <c r="AN1" s="21" t="s">
        <v>640</v>
      </c>
      <c r="AO1" s="21" t="s">
        <v>641</v>
      </c>
      <c r="AP1" s="21" t="s">
        <v>642</v>
      </c>
      <c r="AQ1" s="21" t="s">
        <v>643</v>
      </c>
      <c r="AR1" s="21" t="s">
        <v>644</v>
      </c>
      <c r="AS1" s="21" t="s">
        <v>645</v>
      </c>
      <c r="AT1" s="22" t="s">
        <v>646</v>
      </c>
      <c r="AU1" s="21" t="s">
        <v>647</v>
      </c>
      <c r="AV1" s="21" t="s">
        <v>648</v>
      </c>
      <c r="AW1" s="21" t="s">
        <v>649</v>
      </c>
      <c r="AX1" s="21" t="s">
        <v>650</v>
      </c>
      <c r="AY1" s="23"/>
      <c r="AZ1" s="23"/>
      <c r="BA1" s="24" t="s">
        <v>724</v>
      </c>
      <c r="BB1" s="23"/>
      <c r="BC1" s="23"/>
      <c r="BD1" s="23"/>
      <c r="BE1" s="23"/>
    </row>
    <row r="2" spans="4:59" ht="76.5">
      <c r="D2" s="25" t="s">
        <v>651</v>
      </c>
      <c r="E2" s="25" t="s">
        <v>652</v>
      </c>
      <c r="F2" s="25" t="s">
        <v>653</v>
      </c>
      <c r="G2" s="25" t="s">
        <v>654</v>
      </c>
      <c r="H2" s="25" t="s">
        <v>655</v>
      </c>
      <c r="I2" s="26" t="s">
        <v>656</v>
      </c>
      <c r="J2" s="25" t="s">
        <v>657</v>
      </c>
      <c r="K2" s="25" t="s">
        <v>658</v>
      </c>
      <c r="L2" s="25" t="s">
        <v>659</v>
      </c>
      <c r="M2" s="25" t="s">
        <v>660</v>
      </c>
      <c r="N2" s="25" t="s">
        <v>661</v>
      </c>
      <c r="O2" s="25" t="s">
        <v>662</v>
      </c>
      <c r="P2" s="25" t="s">
        <v>663</v>
      </c>
      <c r="Q2" s="25" t="s">
        <v>664</v>
      </c>
      <c r="R2" s="25" t="s">
        <v>665</v>
      </c>
      <c r="S2" s="25" t="s">
        <v>666</v>
      </c>
      <c r="T2" s="26" t="s">
        <v>667</v>
      </c>
      <c r="U2" s="25" t="s">
        <v>668</v>
      </c>
      <c r="V2" s="25" t="s">
        <v>669</v>
      </c>
      <c r="W2" s="25" t="s">
        <v>670</v>
      </c>
      <c r="X2" s="25" t="s">
        <v>671</v>
      </c>
      <c r="Y2" s="25" t="s">
        <v>672</v>
      </c>
      <c r="Z2" s="25" t="s">
        <v>673</v>
      </c>
      <c r="AA2" s="25" t="s">
        <v>674</v>
      </c>
      <c r="AB2" s="25" t="s">
        <v>675</v>
      </c>
      <c r="AC2" s="25" t="s">
        <v>676</v>
      </c>
      <c r="AD2" s="25" t="s">
        <v>677</v>
      </c>
      <c r="AE2" s="25" t="s">
        <v>678</v>
      </c>
      <c r="AF2" s="26" t="s">
        <v>679</v>
      </c>
      <c r="AG2" s="25" t="s">
        <v>680</v>
      </c>
      <c r="AH2" s="25" t="s">
        <v>681</v>
      </c>
      <c r="AI2" s="25" t="s">
        <v>682</v>
      </c>
      <c r="AJ2" s="25" t="s">
        <v>683</v>
      </c>
      <c r="AK2" s="25" t="s">
        <v>684</v>
      </c>
      <c r="AL2" s="25" t="s">
        <v>685</v>
      </c>
      <c r="AM2" s="25" t="s">
        <v>686</v>
      </c>
      <c r="AN2" s="25" t="s">
        <v>687</v>
      </c>
      <c r="AO2" s="25" t="s">
        <v>688</v>
      </c>
      <c r="AP2" s="25" t="s">
        <v>689</v>
      </c>
      <c r="AQ2" s="25" t="s">
        <v>690</v>
      </c>
      <c r="AR2" s="25" t="s">
        <v>691</v>
      </c>
      <c r="AS2" s="25" t="s">
        <v>692</v>
      </c>
      <c r="AT2" s="26" t="s">
        <v>693</v>
      </c>
      <c r="AU2" s="25" t="s">
        <v>332</v>
      </c>
      <c r="AV2" s="25" t="s">
        <v>694</v>
      </c>
      <c r="AW2" s="25" t="s">
        <v>695</v>
      </c>
      <c r="AX2" s="25" t="s">
        <v>696</v>
      </c>
      <c r="AY2" s="23"/>
      <c r="AZ2" s="25" t="s">
        <v>697</v>
      </c>
      <c r="BA2" s="25" t="s">
        <v>698</v>
      </c>
      <c r="BB2" s="25"/>
      <c r="BC2" s="23"/>
      <c r="BD2" s="27" t="s">
        <v>699</v>
      </c>
      <c r="BE2" s="28"/>
      <c r="BF2" s="129"/>
      <c r="BG2" s="129"/>
    </row>
    <row r="3" spans="1:58" ht="15.75">
      <c r="A3" s="20" t="s">
        <v>407</v>
      </c>
      <c r="B3" s="20" t="s">
        <v>554</v>
      </c>
      <c r="D3" s="2">
        <v>0</v>
      </c>
      <c r="E3" s="2">
        <v>0</v>
      </c>
      <c r="F3" s="2">
        <v>0</v>
      </c>
      <c r="G3" s="2">
        <v>0</v>
      </c>
      <c r="H3" s="2">
        <v>50</v>
      </c>
      <c r="I3" s="2">
        <v>50</v>
      </c>
      <c r="J3" s="2">
        <v>0</v>
      </c>
      <c r="K3" s="2">
        <v>0</v>
      </c>
      <c r="L3" s="2">
        <v>0</v>
      </c>
      <c r="M3" s="2">
        <v>0</v>
      </c>
      <c r="N3" s="2">
        <v>0</v>
      </c>
      <c r="O3" s="2">
        <v>0</v>
      </c>
      <c r="P3" s="2">
        <v>0</v>
      </c>
      <c r="Q3" s="2">
        <v>257</v>
      </c>
      <c r="R3" s="2">
        <v>0</v>
      </c>
      <c r="S3" s="2">
        <v>0</v>
      </c>
      <c r="T3" s="2">
        <v>257</v>
      </c>
      <c r="U3" s="2">
        <v>291239</v>
      </c>
      <c r="V3" s="2">
        <v>123000</v>
      </c>
      <c r="W3" s="2">
        <v>0</v>
      </c>
      <c r="X3" s="2">
        <v>0</v>
      </c>
      <c r="Y3" s="2">
        <v>0</v>
      </c>
      <c r="Z3" s="2">
        <v>0</v>
      </c>
      <c r="AA3" s="2">
        <v>0</v>
      </c>
      <c r="AB3" s="2">
        <v>0</v>
      </c>
      <c r="AC3" s="2">
        <v>0</v>
      </c>
      <c r="AD3" s="2">
        <v>0</v>
      </c>
      <c r="AE3" s="2">
        <v>0</v>
      </c>
      <c r="AF3" s="2">
        <v>414239</v>
      </c>
      <c r="AG3" s="2">
        <v>31592</v>
      </c>
      <c r="AH3" s="2">
        <v>6000</v>
      </c>
      <c r="AI3" s="2">
        <v>0</v>
      </c>
      <c r="AJ3" s="2">
        <v>0</v>
      </c>
      <c r="AK3" s="2">
        <v>0</v>
      </c>
      <c r="AL3" s="2">
        <v>0</v>
      </c>
      <c r="AM3" s="2">
        <v>0</v>
      </c>
      <c r="AN3" s="2">
        <v>0</v>
      </c>
      <c r="AO3" s="2">
        <v>0</v>
      </c>
      <c r="AP3" s="2">
        <v>0</v>
      </c>
      <c r="AQ3" s="2">
        <v>0</v>
      </c>
      <c r="AR3" s="2">
        <v>58000</v>
      </c>
      <c r="AS3" s="2">
        <v>0</v>
      </c>
      <c r="AT3" s="2">
        <v>95592</v>
      </c>
      <c r="AU3" s="2">
        <v>40091</v>
      </c>
      <c r="AV3" s="2">
        <v>1097</v>
      </c>
      <c r="AW3" s="2">
        <v>0</v>
      </c>
      <c r="AX3" s="2">
        <v>0</v>
      </c>
      <c r="AZ3" s="29">
        <f>AV3*0.02</f>
        <v>21.94</v>
      </c>
      <c r="BA3" s="131">
        <v>30000</v>
      </c>
      <c r="BB3" s="15"/>
      <c r="BD3" s="2" t="s">
        <v>407</v>
      </c>
      <c r="BF3" s="130"/>
    </row>
    <row r="4" spans="1:58" ht="15.75">
      <c r="A4" s="20" t="s">
        <v>491</v>
      </c>
      <c r="B4" s="20" t="s">
        <v>214</v>
      </c>
      <c r="D4" s="2">
        <v>0</v>
      </c>
      <c r="E4" s="2">
        <v>0</v>
      </c>
      <c r="F4" s="2">
        <v>0</v>
      </c>
      <c r="G4" s="2">
        <v>0</v>
      </c>
      <c r="H4" s="2">
        <v>0</v>
      </c>
      <c r="I4" s="2">
        <v>0</v>
      </c>
      <c r="J4" s="2">
        <v>0</v>
      </c>
      <c r="K4" s="2">
        <v>0</v>
      </c>
      <c r="L4" s="2">
        <v>0</v>
      </c>
      <c r="M4" s="2">
        <v>0</v>
      </c>
      <c r="N4" s="2">
        <v>0</v>
      </c>
      <c r="O4" s="2">
        <v>0</v>
      </c>
      <c r="P4" s="2">
        <v>0</v>
      </c>
      <c r="Q4" s="2">
        <v>539</v>
      </c>
      <c r="R4" s="2">
        <v>0</v>
      </c>
      <c r="S4" s="2">
        <v>0</v>
      </c>
      <c r="T4" s="2">
        <v>539</v>
      </c>
      <c r="U4" s="2">
        <v>118962</v>
      </c>
      <c r="V4" s="2">
        <v>0</v>
      </c>
      <c r="W4" s="2">
        <v>0</v>
      </c>
      <c r="X4" s="2">
        <v>0</v>
      </c>
      <c r="Y4" s="2">
        <v>0</v>
      </c>
      <c r="Z4" s="2">
        <v>0</v>
      </c>
      <c r="AA4" s="2">
        <v>0</v>
      </c>
      <c r="AB4" s="2">
        <v>0</v>
      </c>
      <c r="AC4" s="2">
        <v>0</v>
      </c>
      <c r="AD4" s="2">
        <v>0</v>
      </c>
      <c r="AE4" s="2">
        <v>0</v>
      </c>
      <c r="AF4" s="2">
        <v>118962</v>
      </c>
      <c r="AG4" s="2">
        <v>23000</v>
      </c>
      <c r="AH4" s="2">
        <v>14000</v>
      </c>
      <c r="AI4" s="2">
        <v>0</v>
      </c>
      <c r="AJ4" s="2">
        <v>19000</v>
      </c>
      <c r="AK4" s="2">
        <v>0</v>
      </c>
      <c r="AL4" s="2">
        <v>0</v>
      </c>
      <c r="AM4" s="2">
        <v>0</v>
      </c>
      <c r="AN4" s="2">
        <v>0</v>
      </c>
      <c r="AO4" s="2">
        <v>0</v>
      </c>
      <c r="AP4" s="2">
        <v>0</v>
      </c>
      <c r="AQ4" s="2">
        <v>0</v>
      </c>
      <c r="AR4" s="2">
        <v>3000</v>
      </c>
      <c r="AS4" s="2">
        <v>0</v>
      </c>
      <c r="AT4" s="2">
        <v>59000</v>
      </c>
      <c r="AU4" s="2">
        <v>9650</v>
      </c>
      <c r="AV4" s="2">
        <v>30000</v>
      </c>
      <c r="AW4" s="2">
        <v>0</v>
      </c>
      <c r="AX4" s="2">
        <v>0</v>
      </c>
      <c r="AZ4" s="29">
        <f>AV4*0.02</f>
        <v>600</v>
      </c>
      <c r="BA4" s="131">
        <v>20000</v>
      </c>
      <c r="BD4" s="2" t="s">
        <v>491</v>
      </c>
      <c r="BF4" s="130"/>
    </row>
    <row r="5" spans="1:58" ht="15.75">
      <c r="A5" s="20" t="s">
        <v>396</v>
      </c>
      <c r="B5" s="20" t="s">
        <v>119</v>
      </c>
      <c r="D5" s="2">
        <v>0</v>
      </c>
      <c r="E5" s="2">
        <v>0</v>
      </c>
      <c r="F5" s="2">
        <v>0</v>
      </c>
      <c r="G5" s="2">
        <v>0</v>
      </c>
      <c r="H5" s="2">
        <v>0</v>
      </c>
      <c r="I5" s="2">
        <v>0</v>
      </c>
      <c r="J5" s="2">
        <v>0</v>
      </c>
      <c r="K5" s="2">
        <v>0</v>
      </c>
      <c r="L5" s="2">
        <v>0</v>
      </c>
      <c r="M5" s="2">
        <v>0</v>
      </c>
      <c r="N5" s="2">
        <v>0</v>
      </c>
      <c r="O5" s="2">
        <v>0</v>
      </c>
      <c r="P5" s="2">
        <v>0</v>
      </c>
      <c r="Q5" s="2">
        <v>0</v>
      </c>
      <c r="R5" s="2">
        <v>0</v>
      </c>
      <c r="S5" s="2">
        <v>0</v>
      </c>
      <c r="T5" s="2">
        <v>0</v>
      </c>
      <c r="U5" s="2">
        <v>71213</v>
      </c>
      <c r="V5" s="2">
        <v>0</v>
      </c>
      <c r="W5" s="2">
        <v>0</v>
      </c>
      <c r="X5" s="2">
        <v>0</v>
      </c>
      <c r="Y5" s="2">
        <v>0</v>
      </c>
      <c r="Z5" s="2">
        <v>0</v>
      </c>
      <c r="AA5" s="2">
        <v>0</v>
      </c>
      <c r="AB5" s="2">
        <v>0</v>
      </c>
      <c r="AC5" s="2">
        <v>0</v>
      </c>
      <c r="AD5" s="2">
        <v>7960</v>
      </c>
      <c r="AE5" s="2">
        <v>0</v>
      </c>
      <c r="AF5" s="2">
        <v>79173</v>
      </c>
      <c r="AG5" s="2">
        <v>187</v>
      </c>
      <c r="AH5" s="2">
        <v>0</v>
      </c>
      <c r="AI5" s="2">
        <v>0</v>
      </c>
      <c r="AJ5" s="2">
        <v>0</v>
      </c>
      <c r="AK5" s="2">
        <v>0</v>
      </c>
      <c r="AL5" s="2">
        <v>0</v>
      </c>
      <c r="AM5" s="2">
        <v>0</v>
      </c>
      <c r="AN5" s="2">
        <v>0</v>
      </c>
      <c r="AO5" s="2">
        <v>5000</v>
      </c>
      <c r="AP5" s="2">
        <v>0</v>
      </c>
      <c r="AQ5" s="2">
        <v>0</v>
      </c>
      <c r="AR5" s="2">
        <v>20000</v>
      </c>
      <c r="AS5" s="2">
        <v>0</v>
      </c>
      <c r="AT5" s="2">
        <v>25187</v>
      </c>
      <c r="AU5" s="2">
        <v>17148</v>
      </c>
      <c r="AV5" s="2">
        <v>13453</v>
      </c>
      <c r="AW5" s="2">
        <v>0</v>
      </c>
      <c r="AX5" s="2">
        <v>0</v>
      </c>
      <c r="AZ5" s="29">
        <f aca="true" t="shared" si="0" ref="AZ5:AZ68">AV5*0.02</f>
        <v>269.06</v>
      </c>
      <c r="BA5" s="131">
        <v>20000</v>
      </c>
      <c r="BD5" s="2" t="s">
        <v>396</v>
      </c>
      <c r="BF5" s="130"/>
    </row>
    <row r="6" spans="1:58" ht="15.75">
      <c r="A6" s="20" t="s">
        <v>415</v>
      </c>
      <c r="B6" s="20" t="s">
        <v>138</v>
      </c>
      <c r="D6" s="2">
        <v>0</v>
      </c>
      <c r="E6" s="2">
        <v>0</v>
      </c>
      <c r="F6" s="2">
        <v>0</v>
      </c>
      <c r="G6" s="2">
        <v>0</v>
      </c>
      <c r="H6" s="2">
        <v>0</v>
      </c>
      <c r="I6" s="2">
        <v>0</v>
      </c>
      <c r="J6" s="2">
        <v>0</v>
      </c>
      <c r="K6" s="2">
        <v>0</v>
      </c>
      <c r="L6" s="2">
        <v>0</v>
      </c>
      <c r="M6" s="2">
        <v>0</v>
      </c>
      <c r="N6" s="2">
        <v>0</v>
      </c>
      <c r="O6" s="2">
        <v>0</v>
      </c>
      <c r="P6" s="2">
        <v>49000</v>
      </c>
      <c r="Q6" s="2">
        <v>0</v>
      </c>
      <c r="R6" s="2">
        <v>0</v>
      </c>
      <c r="S6" s="2">
        <v>0</v>
      </c>
      <c r="T6" s="2">
        <v>49000</v>
      </c>
      <c r="U6" s="2">
        <v>268633</v>
      </c>
      <c r="V6" s="2">
        <v>0</v>
      </c>
      <c r="W6" s="2">
        <v>0</v>
      </c>
      <c r="X6" s="2">
        <v>0</v>
      </c>
      <c r="Y6" s="2">
        <v>0</v>
      </c>
      <c r="Z6" s="2">
        <v>0</v>
      </c>
      <c r="AA6" s="2">
        <v>0</v>
      </c>
      <c r="AB6" s="2">
        <v>0</v>
      </c>
      <c r="AC6" s="2">
        <v>0</v>
      </c>
      <c r="AD6" s="2">
        <v>13539</v>
      </c>
      <c r="AE6" s="2">
        <v>0</v>
      </c>
      <c r="AF6" s="2">
        <v>282172</v>
      </c>
      <c r="AG6" s="2">
        <v>3604</v>
      </c>
      <c r="AH6" s="2">
        <v>0</v>
      </c>
      <c r="AI6" s="2">
        <v>0</v>
      </c>
      <c r="AJ6" s="2">
        <v>0</v>
      </c>
      <c r="AK6" s="2">
        <v>0</v>
      </c>
      <c r="AL6" s="2">
        <v>0</v>
      </c>
      <c r="AM6" s="2">
        <v>0</v>
      </c>
      <c r="AN6" s="2">
        <v>0</v>
      </c>
      <c r="AO6" s="2">
        <v>0</v>
      </c>
      <c r="AP6" s="2">
        <v>0</v>
      </c>
      <c r="AQ6" s="2">
        <v>0</v>
      </c>
      <c r="AR6" s="2">
        <v>0</v>
      </c>
      <c r="AS6" s="2">
        <v>0</v>
      </c>
      <c r="AT6" s="2">
        <v>3604</v>
      </c>
      <c r="AU6" s="2">
        <v>7430</v>
      </c>
      <c r="AV6" s="2">
        <v>5160.707</v>
      </c>
      <c r="AW6" s="2">
        <v>0</v>
      </c>
      <c r="AX6" s="2">
        <v>0</v>
      </c>
      <c r="AZ6" s="29">
        <f t="shared" si="0"/>
        <v>103.21414000000001</v>
      </c>
      <c r="BA6" s="131">
        <v>20000</v>
      </c>
      <c r="BD6" s="2" t="s">
        <v>415</v>
      </c>
      <c r="BF6" s="130"/>
    </row>
    <row r="7" spans="1:58" ht="15.75">
      <c r="A7" s="20" t="s">
        <v>402</v>
      </c>
      <c r="B7" s="20" t="s">
        <v>125</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16187</v>
      </c>
      <c r="AV7" s="2">
        <v>0</v>
      </c>
      <c r="AW7" s="2">
        <v>0</v>
      </c>
      <c r="AX7" s="2">
        <v>0</v>
      </c>
      <c r="AZ7" s="29">
        <f t="shared" si="0"/>
        <v>0</v>
      </c>
      <c r="BA7" s="131">
        <v>20000</v>
      </c>
      <c r="BD7" s="2" t="s">
        <v>402</v>
      </c>
      <c r="BF7" s="130"/>
    </row>
    <row r="8" spans="1:58" ht="15.75">
      <c r="A8" s="20" t="s">
        <v>541</v>
      </c>
      <c r="B8" s="20" t="s">
        <v>263</v>
      </c>
      <c r="D8" s="2">
        <v>0</v>
      </c>
      <c r="E8" s="2">
        <v>0</v>
      </c>
      <c r="F8" s="2">
        <v>0</v>
      </c>
      <c r="G8" s="2">
        <v>0</v>
      </c>
      <c r="H8" s="2">
        <v>0</v>
      </c>
      <c r="I8" s="2">
        <v>0</v>
      </c>
      <c r="J8" s="2">
        <v>0</v>
      </c>
      <c r="K8" s="2">
        <v>0</v>
      </c>
      <c r="L8" s="2">
        <v>0</v>
      </c>
      <c r="M8" s="2">
        <v>0</v>
      </c>
      <c r="N8" s="2">
        <v>0</v>
      </c>
      <c r="O8" s="2">
        <v>0</v>
      </c>
      <c r="P8" s="2">
        <v>0</v>
      </c>
      <c r="Q8" s="2">
        <v>0</v>
      </c>
      <c r="R8" s="2">
        <v>0</v>
      </c>
      <c r="S8" s="2">
        <v>0</v>
      </c>
      <c r="T8" s="2">
        <v>0</v>
      </c>
      <c r="U8" s="2">
        <v>125919</v>
      </c>
      <c r="V8" s="2">
        <v>0</v>
      </c>
      <c r="W8" s="2">
        <v>0</v>
      </c>
      <c r="X8" s="2">
        <v>0</v>
      </c>
      <c r="Y8" s="2">
        <v>0</v>
      </c>
      <c r="Z8" s="2">
        <v>0</v>
      </c>
      <c r="AA8" s="2">
        <v>0</v>
      </c>
      <c r="AB8" s="2">
        <v>14000</v>
      </c>
      <c r="AC8" s="2">
        <v>0</v>
      </c>
      <c r="AD8" s="2">
        <v>0</v>
      </c>
      <c r="AE8" s="2">
        <v>0</v>
      </c>
      <c r="AF8" s="2">
        <v>139919</v>
      </c>
      <c r="AG8" s="2">
        <v>2120</v>
      </c>
      <c r="AH8" s="2">
        <v>0</v>
      </c>
      <c r="AI8" s="2">
        <v>0</v>
      </c>
      <c r="AJ8" s="2">
        <v>0</v>
      </c>
      <c r="AK8" s="2">
        <v>0</v>
      </c>
      <c r="AL8" s="2">
        <v>0</v>
      </c>
      <c r="AM8" s="2">
        <v>0</v>
      </c>
      <c r="AN8" s="2">
        <v>0</v>
      </c>
      <c r="AO8" s="2">
        <v>0</v>
      </c>
      <c r="AP8" s="2">
        <v>0</v>
      </c>
      <c r="AQ8" s="2">
        <v>0</v>
      </c>
      <c r="AR8" s="2">
        <v>500</v>
      </c>
      <c r="AS8" s="2">
        <v>0</v>
      </c>
      <c r="AT8" s="2">
        <v>2620</v>
      </c>
      <c r="AU8" s="2">
        <v>71</v>
      </c>
      <c r="AV8" s="2">
        <v>0</v>
      </c>
      <c r="AW8" s="2">
        <v>0</v>
      </c>
      <c r="AX8" s="2">
        <v>0</v>
      </c>
      <c r="AZ8" s="29">
        <f t="shared" si="0"/>
        <v>0</v>
      </c>
      <c r="BA8" s="131">
        <v>20000</v>
      </c>
      <c r="BD8" s="2" t="s">
        <v>541</v>
      </c>
      <c r="BF8" s="130"/>
    </row>
    <row r="9" spans="1:58" ht="15.75">
      <c r="A9" s="20" t="s">
        <v>500</v>
      </c>
      <c r="B9" s="20" t="s">
        <v>223</v>
      </c>
      <c r="D9" s="2">
        <v>0</v>
      </c>
      <c r="E9" s="2">
        <v>0</v>
      </c>
      <c r="F9" s="2">
        <v>0</v>
      </c>
      <c r="G9" s="2">
        <v>0</v>
      </c>
      <c r="H9" s="2">
        <v>0</v>
      </c>
      <c r="I9" s="2">
        <v>0</v>
      </c>
      <c r="J9" s="2">
        <v>0</v>
      </c>
      <c r="K9" s="2">
        <v>0</v>
      </c>
      <c r="L9" s="2">
        <v>0</v>
      </c>
      <c r="M9" s="2">
        <v>0</v>
      </c>
      <c r="N9" s="2">
        <v>0</v>
      </c>
      <c r="O9" s="2">
        <v>0</v>
      </c>
      <c r="P9" s="2">
        <v>57000</v>
      </c>
      <c r="Q9" s="2">
        <v>0</v>
      </c>
      <c r="R9" s="2">
        <v>0</v>
      </c>
      <c r="S9" s="2">
        <v>0</v>
      </c>
      <c r="T9" s="2">
        <v>57000</v>
      </c>
      <c r="U9" s="2">
        <v>273916</v>
      </c>
      <c r="V9" s="2">
        <v>30000</v>
      </c>
      <c r="W9" s="2">
        <v>0</v>
      </c>
      <c r="X9" s="2">
        <v>0</v>
      </c>
      <c r="Y9" s="2">
        <v>0</v>
      </c>
      <c r="Z9" s="2">
        <v>0</v>
      </c>
      <c r="AA9" s="2">
        <v>0</v>
      </c>
      <c r="AB9" s="2">
        <v>0</v>
      </c>
      <c r="AC9" s="2">
        <v>0</v>
      </c>
      <c r="AD9" s="2">
        <v>0</v>
      </c>
      <c r="AE9" s="2">
        <v>0</v>
      </c>
      <c r="AF9" s="2">
        <v>303916</v>
      </c>
      <c r="AG9" s="2">
        <v>6312</v>
      </c>
      <c r="AH9" s="2">
        <v>0</v>
      </c>
      <c r="AI9" s="2">
        <v>0</v>
      </c>
      <c r="AJ9" s="2">
        <v>0</v>
      </c>
      <c r="AK9" s="2">
        <v>0</v>
      </c>
      <c r="AL9" s="2">
        <v>0</v>
      </c>
      <c r="AM9" s="2">
        <v>0</v>
      </c>
      <c r="AN9" s="2">
        <v>0</v>
      </c>
      <c r="AO9" s="2">
        <v>0</v>
      </c>
      <c r="AP9" s="2">
        <v>0</v>
      </c>
      <c r="AQ9" s="2">
        <v>0</v>
      </c>
      <c r="AR9" s="2">
        <v>0</v>
      </c>
      <c r="AS9" s="2">
        <v>0</v>
      </c>
      <c r="AT9" s="2">
        <v>6312</v>
      </c>
      <c r="AU9" s="2">
        <v>42550</v>
      </c>
      <c r="AV9" s="2">
        <v>0</v>
      </c>
      <c r="AW9" s="2">
        <v>0</v>
      </c>
      <c r="AX9" s="2">
        <v>0</v>
      </c>
      <c r="AZ9" s="29">
        <f t="shared" si="0"/>
        <v>0</v>
      </c>
      <c r="BA9" s="131">
        <v>20000</v>
      </c>
      <c r="BD9" s="2" t="s">
        <v>500</v>
      </c>
      <c r="BF9" s="130"/>
    </row>
    <row r="10" spans="1:58" ht="15.75">
      <c r="A10" s="20" t="s">
        <v>512</v>
      </c>
      <c r="B10" s="20" t="s">
        <v>235</v>
      </c>
      <c r="D10" s="2">
        <v>0</v>
      </c>
      <c r="E10" s="2">
        <v>0</v>
      </c>
      <c r="F10" s="2">
        <v>0</v>
      </c>
      <c r="G10" s="2">
        <v>0</v>
      </c>
      <c r="H10" s="2">
        <v>0</v>
      </c>
      <c r="I10" s="2">
        <v>0</v>
      </c>
      <c r="J10" s="2">
        <v>0</v>
      </c>
      <c r="K10" s="2">
        <v>0</v>
      </c>
      <c r="L10" s="2">
        <v>0</v>
      </c>
      <c r="M10" s="2">
        <v>0</v>
      </c>
      <c r="N10" s="2">
        <v>0</v>
      </c>
      <c r="O10" s="2">
        <v>0</v>
      </c>
      <c r="P10" s="2">
        <v>18600</v>
      </c>
      <c r="Q10" s="2">
        <v>0</v>
      </c>
      <c r="R10" s="2">
        <v>0</v>
      </c>
      <c r="S10" s="2">
        <v>0</v>
      </c>
      <c r="T10" s="2">
        <v>18600</v>
      </c>
      <c r="U10" s="2">
        <v>164371</v>
      </c>
      <c r="V10" s="2">
        <v>0</v>
      </c>
      <c r="W10" s="2">
        <v>0</v>
      </c>
      <c r="X10" s="2">
        <v>0</v>
      </c>
      <c r="Y10" s="2">
        <v>0</v>
      </c>
      <c r="Z10" s="2">
        <v>0</v>
      </c>
      <c r="AA10" s="2">
        <v>0</v>
      </c>
      <c r="AB10" s="2">
        <v>0</v>
      </c>
      <c r="AC10" s="2">
        <v>0</v>
      </c>
      <c r="AD10" s="2">
        <v>5000</v>
      </c>
      <c r="AE10" s="2">
        <v>0</v>
      </c>
      <c r="AF10" s="2">
        <v>169371</v>
      </c>
      <c r="AG10" s="2">
        <v>17320</v>
      </c>
      <c r="AH10" s="2">
        <v>0</v>
      </c>
      <c r="AI10" s="2">
        <v>0</v>
      </c>
      <c r="AJ10" s="2">
        <v>0</v>
      </c>
      <c r="AK10" s="2">
        <v>0</v>
      </c>
      <c r="AL10" s="2">
        <v>0</v>
      </c>
      <c r="AM10" s="2">
        <v>0</v>
      </c>
      <c r="AN10" s="2">
        <v>0</v>
      </c>
      <c r="AO10" s="2">
        <v>12084</v>
      </c>
      <c r="AP10" s="2">
        <v>0</v>
      </c>
      <c r="AQ10" s="2">
        <v>0</v>
      </c>
      <c r="AR10" s="2">
        <v>19000</v>
      </c>
      <c r="AS10" s="2">
        <v>0</v>
      </c>
      <c r="AT10" s="2">
        <v>48404</v>
      </c>
      <c r="AU10" s="2">
        <v>5070</v>
      </c>
      <c r="AV10" s="2">
        <v>14500</v>
      </c>
      <c r="AW10" s="2">
        <v>0</v>
      </c>
      <c r="AX10" s="2">
        <v>0</v>
      </c>
      <c r="AZ10" s="29">
        <f t="shared" si="0"/>
        <v>290</v>
      </c>
      <c r="BA10" s="131">
        <v>20000</v>
      </c>
      <c r="BD10" s="2" t="s">
        <v>512</v>
      </c>
      <c r="BF10" s="130"/>
    </row>
    <row r="11" spans="1:58" ht="15.75">
      <c r="A11" s="20" t="s">
        <v>551</v>
      </c>
      <c r="B11" s="20" t="s">
        <v>272</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26193</v>
      </c>
      <c r="AH11" s="2">
        <v>11000</v>
      </c>
      <c r="AI11" s="2">
        <v>0</v>
      </c>
      <c r="AJ11" s="2">
        <v>0</v>
      </c>
      <c r="AK11" s="2">
        <v>0</v>
      </c>
      <c r="AL11" s="2">
        <v>0</v>
      </c>
      <c r="AM11" s="2">
        <v>0</v>
      </c>
      <c r="AN11" s="2">
        <v>0</v>
      </c>
      <c r="AO11" s="2">
        <v>0</v>
      </c>
      <c r="AP11" s="2">
        <v>0</v>
      </c>
      <c r="AQ11" s="2">
        <v>0</v>
      </c>
      <c r="AR11" s="2">
        <v>12500</v>
      </c>
      <c r="AS11" s="2">
        <v>0</v>
      </c>
      <c r="AT11" s="2">
        <v>49693</v>
      </c>
      <c r="AU11" s="2">
        <v>27900</v>
      </c>
      <c r="AV11" s="2">
        <v>4980</v>
      </c>
      <c r="AW11" s="2">
        <v>0</v>
      </c>
      <c r="AX11" s="2">
        <v>0</v>
      </c>
      <c r="AZ11" s="29">
        <f t="shared" si="0"/>
        <v>99.60000000000001</v>
      </c>
      <c r="BA11" s="131">
        <v>30000</v>
      </c>
      <c r="BD11" s="2" t="s">
        <v>551</v>
      </c>
      <c r="BF11" s="130"/>
    </row>
    <row r="12" spans="1:58" ht="15.75">
      <c r="A12" s="20" t="s">
        <v>411</v>
      </c>
      <c r="B12" s="20" t="s">
        <v>555</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282600</v>
      </c>
      <c r="V12" s="2">
        <v>45000</v>
      </c>
      <c r="W12" s="2">
        <v>0</v>
      </c>
      <c r="X12" s="2">
        <v>19000</v>
      </c>
      <c r="Y12" s="2">
        <v>0</v>
      </c>
      <c r="Z12" s="2">
        <v>0</v>
      </c>
      <c r="AA12" s="2">
        <v>0</v>
      </c>
      <c r="AB12" s="2">
        <v>0</v>
      </c>
      <c r="AC12" s="2">
        <v>0</v>
      </c>
      <c r="AD12" s="2">
        <v>15500</v>
      </c>
      <c r="AE12" s="2">
        <v>0</v>
      </c>
      <c r="AF12" s="2">
        <v>362100</v>
      </c>
      <c r="AG12" s="2">
        <v>30000</v>
      </c>
      <c r="AH12" s="2">
        <v>0</v>
      </c>
      <c r="AI12" s="2">
        <v>0</v>
      </c>
      <c r="AJ12" s="2">
        <v>0</v>
      </c>
      <c r="AK12" s="2">
        <v>0</v>
      </c>
      <c r="AL12" s="2">
        <v>0</v>
      </c>
      <c r="AM12" s="2">
        <v>0</v>
      </c>
      <c r="AN12" s="2">
        <v>0</v>
      </c>
      <c r="AO12" s="2">
        <v>0</v>
      </c>
      <c r="AP12" s="2">
        <v>0</v>
      </c>
      <c r="AQ12" s="2">
        <v>4000</v>
      </c>
      <c r="AR12" s="2">
        <v>0</v>
      </c>
      <c r="AS12" s="2">
        <v>0</v>
      </c>
      <c r="AT12" s="2">
        <v>34000</v>
      </c>
      <c r="AU12" s="2">
        <v>17759</v>
      </c>
      <c r="AV12" s="2">
        <v>0</v>
      </c>
      <c r="AW12" s="2">
        <v>0</v>
      </c>
      <c r="AX12" s="2">
        <v>0</v>
      </c>
      <c r="AZ12" s="29">
        <f t="shared" si="0"/>
        <v>0</v>
      </c>
      <c r="BA12" s="131">
        <v>20000</v>
      </c>
      <c r="BD12" s="2" t="s">
        <v>411</v>
      </c>
      <c r="BF12" s="130"/>
    </row>
    <row r="13" spans="1:58" ht="15.75">
      <c r="A13" s="20" t="s">
        <v>441</v>
      </c>
      <c r="B13" s="20" t="s">
        <v>164</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4500</v>
      </c>
      <c r="V13" s="2">
        <v>3300</v>
      </c>
      <c r="W13" s="2">
        <v>0</v>
      </c>
      <c r="X13" s="2">
        <v>0</v>
      </c>
      <c r="Y13" s="2">
        <v>0</v>
      </c>
      <c r="Z13" s="2">
        <v>0</v>
      </c>
      <c r="AA13" s="2">
        <v>0</v>
      </c>
      <c r="AB13" s="2">
        <v>0</v>
      </c>
      <c r="AC13" s="2">
        <v>0</v>
      </c>
      <c r="AD13" s="2">
        <v>0</v>
      </c>
      <c r="AE13" s="2">
        <v>0</v>
      </c>
      <c r="AF13" s="2">
        <v>7800</v>
      </c>
      <c r="AG13" s="2">
        <v>14060</v>
      </c>
      <c r="AH13" s="2">
        <v>6500</v>
      </c>
      <c r="AI13" s="2">
        <v>0</v>
      </c>
      <c r="AJ13" s="2">
        <v>0</v>
      </c>
      <c r="AK13" s="2">
        <v>0</v>
      </c>
      <c r="AL13" s="2">
        <v>0</v>
      </c>
      <c r="AM13" s="2">
        <v>0</v>
      </c>
      <c r="AN13" s="2">
        <v>0</v>
      </c>
      <c r="AO13" s="2">
        <v>0</v>
      </c>
      <c r="AP13" s="2">
        <v>0</v>
      </c>
      <c r="AQ13" s="2">
        <v>0</v>
      </c>
      <c r="AR13" s="2">
        <v>0</v>
      </c>
      <c r="AS13" s="2">
        <v>0</v>
      </c>
      <c r="AT13" s="2">
        <v>20560</v>
      </c>
      <c r="AU13" s="2">
        <v>0</v>
      </c>
      <c r="AV13" s="2">
        <v>0</v>
      </c>
      <c r="AW13" s="2">
        <v>0</v>
      </c>
      <c r="AX13" s="2">
        <v>0</v>
      </c>
      <c r="AZ13" s="29">
        <f t="shared" si="0"/>
        <v>0</v>
      </c>
      <c r="BA13" s="131">
        <v>20000</v>
      </c>
      <c r="BD13" s="2" t="s">
        <v>441</v>
      </c>
      <c r="BF13" s="130"/>
    </row>
    <row r="14" spans="1:58" ht="15.75">
      <c r="A14" s="20" t="s">
        <v>454</v>
      </c>
      <c r="B14" s="20" t="s">
        <v>177</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153000</v>
      </c>
      <c r="V14" s="2">
        <v>0</v>
      </c>
      <c r="W14" s="2">
        <v>0</v>
      </c>
      <c r="X14" s="2">
        <v>0</v>
      </c>
      <c r="Y14" s="2">
        <v>0</v>
      </c>
      <c r="Z14" s="2">
        <v>0</v>
      </c>
      <c r="AA14" s="2">
        <v>0</v>
      </c>
      <c r="AB14" s="2">
        <v>0</v>
      </c>
      <c r="AC14" s="2">
        <v>0</v>
      </c>
      <c r="AD14" s="2">
        <v>10000</v>
      </c>
      <c r="AE14" s="2">
        <v>0</v>
      </c>
      <c r="AF14" s="2">
        <v>163000</v>
      </c>
      <c r="AG14" s="2">
        <v>18000</v>
      </c>
      <c r="AH14" s="2">
        <v>40000</v>
      </c>
      <c r="AI14" s="2">
        <v>41450</v>
      </c>
      <c r="AJ14" s="2">
        <v>55000</v>
      </c>
      <c r="AK14" s="2">
        <v>0</v>
      </c>
      <c r="AL14" s="2">
        <v>5000</v>
      </c>
      <c r="AM14" s="2">
        <v>0</v>
      </c>
      <c r="AN14" s="2">
        <v>0</v>
      </c>
      <c r="AO14" s="2">
        <v>0</v>
      </c>
      <c r="AP14" s="2">
        <v>0</v>
      </c>
      <c r="AQ14" s="2">
        <v>0</v>
      </c>
      <c r="AR14" s="2">
        <v>15000</v>
      </c>
      <c r="AS14" s="2">
        <v>0</v>
      </c>
      <c r="AT14" s="2">
        <v>174450</v>
      </c>
      <c r="AU14" s="2">
        <v>0</v>
      </c>
      <c r="AV14" s="2">
        <v>0</v>
      </c>
      <c r="AW14" s="2">
        <v>0</v>
      </c>
      <c r="AX14" s="2">
        <v>0</v>
      </c>
      <c r="AZ14" s="29">
        <f t="shared" si="0"/>
        <v>0</v>
      </c>
      <c r="BA14" s="131">
        <v>20000</v>
      </c>
      <c r="BD14" s="2" t="s">
        <v>454</v>
      </c>
      <c r="BF14" s="130"/>
    </row>
    <row r="15" spans="1:58" ht="15.75">
      <c r="A15" s="20" t="s">
        <v>417</v>
      </c>
      <c r="B15" s="20" t="s">
        <v>140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89133</v>
      </c>
      <c r="V15" s="2">
        <v>17000</v>
      </c>
      <c r="W15" s="2">
        <v>0</v>
      </c>
      <c r="X15" s="2">
        <v>0</v>
      </c>
      <c r="Y15" s="2">
        <v>0</v>
      </c>
      <c r="Z15" s="2">
        <v>0</v>
      </c>
      <c r="AA15" s="2">
        <v>0</v>
      </c>
      <c r="AB15" s="2">
        <v>0</v>
      </c>
      <c r="AC15" s="2">
        <v>0</v>
      </c>
      <c r="AD15" s="2">
        <v>0</v>
      </c>
      <c r="AE15" s="2">
        <v>0</v>
      </c>
      <c r="AF15" s="2">
        <v>106133</v>
      </c>
      <c r="AG15" s="2">
        <v>17936.66198</v>
      </c>
      <c r="AH15" s="2">
        <v>8000</v>
      </c>
      <c r="AI15" s="2">
        <v>0</v>
      </c>
      <c r="AJ15" s="2">
        <v>0</v>
      </c>
      <c r="AK15" s="2">
        <v>0</v>
      </c>
      <c r="AL15" s="2">
        <v>4000</v>
      </c>
      <c r="AM15" s="2">
        <v>0</v>
      </c>
      <c r="AN15" s="2">
        <v>0</v>
      </c>
      <c r="AO15" s="2">
        <v>9535</v>
      </c>
      <c r="AP15" s="2">
        <v>0</v>
      </c>
      <c r="AQ15" s="2">
        <v>0</v>
      </c>
      <c r="AR15" s="2">
        <v>2000</v>
      </c>
      <c r="AS15" s="2">
        <v>0</v>
      </c>
      <c r="AT15" s="2">
        <v>41471.661980000004</v>
      </c>
      <c r="AU15" s="2">
        <v>31667</v>
      </c>
      <c r="AV15" s="2">
        <v>0</v>
      </c>
      <c r="AW15" s="2">
        <v>0</v>
      </c>
      <c r="AX15" s="2">
        <v>0</v>
      </c>
      <c r="AZ15" s="29">
        <f t="shared" si="0"/>
        <v>0</v>
      </c>
      <c r="BA15" s="131">
        <v>20000</v>
      </c>
      <c r="BD15" s="2" t="s">
        <v>417</v>
      </c>
      <c r="BF15" s="130"/>
    </row>
    <row r="16" spans="1:58" ht="15.75">
      <c r="A16" s="20" t="s">
        <v>418</v>
      </c>
      <c r="B16" s="20" t="s">
        <v>556</v>
      </c>
      <c r="D16" s="2">
        <v>0</v>
      </c>
      <c r="E16" s="2">
        <v>0</v>
      </c>
      <c r="F16" s="2">
        <v>0</v>
      </c>
      <c r="G16" s="2">
        <v>0</v>
      </c>
      <c r="H16" s="2">
        <v>0</v>
      </c>
      <c r="I16" s="2">
        <v>0</v>
      </c>
      <c r="J16" s="2">
        <v>0</v>
      </c>
      <c r="K16" s="2">
        <v>0</v>
      </c>
      <c r="L16" s="2">
        <v>27</v>
      </c>
      <c r="M16" s="2">
        <v>0</v>
      </c>
      <c r="N16" s="2">
        <v>0</v>
      </c>
      <c r="O16" s="2">
        <v>0</v>
      </c>
      <c r="P16" s="2">
        <v>0</v>
      </c>
      <c r="Q16" s="2">
        <v>0</v>
      </c>
      <c r="R16" s="2">
        <v>0</v>
      </c>
      <c r="S16" s="2">
        <v>0</v>
      </c>
      <c r="T16" s="2">
        <v>27</v>
      </c>
      <c r="U16" s="2">
        <v>266925</v>
      </c>
      <c r="V16" s="2">
        <v>15000</v>
      </c>
      <c r="W16" s="2">
        <v>0</v>
      </c>
      <c r="X16" s="2">
        <v>0</v>
      </c>
      <c r="Y16" s="2">
        <v>0</v>
      </c>
      <c r="Z16" s="2">
        <v>0</v>
      </c>
      <c r="AA16" s="2">
        <v>0</v>
      </c>
      <c r="AB16" s="2">
        <v>11000</v>
      </c>
      <c r="AC16" s="2">
        <v>0</v>
      </c>
      <c r="AD16" s="2">
        <v>7000</v>
      </c>
      <c r="AE16" s="2">
        <v>0</v>
      </c>
      <c r="AF16" s="2">
        <v>299925</v>
      </c>
      <c r="AG16" s="2">
        <v>35799</v>
      </c>
      <c r="AH16" s="2">
        <v>0</v>
      </c>
      <c r="AI16" s="2">
        <v>0</v>
      </c>
      <c r="AJ16" s="2">
        <v>0</v>
      </c>
      <c r="AK16" s="2">
        <v>0</v>
      </c>
      <c r="AL16" s="2">
        <v>0</v>
      </c>
      <c r="AM16" s="2">
        <v>0</v>
      </c>
      <c r="AN16" s="2">
        <v>0</v>
      </c>
      <c r="AO16" s="2">
        <v>0</v>
      </c>
      <c r="AP16" s="2">
        <v>0</v>
      </c>
      <c r="AQ16" s="2">
        <v>0</v>
      </c>
      <c r="AR16" s="2">
        <v>5000</v>
      </c>
      <c r="AS16" s="2">
        <v>0</v>
      </c>
      <c r="AT16" s="2">
        <v>40799</v>
      </c>
      <c r="AU16" s="2">
        <v>35831</v>
      </c>
      <c r="AV16" s="2">
        <v>0</v>
      </c>
      <c r="AW16" s="2">
        <v>0</v>
      </c>
      <c r="AX16" s="2">
        <v>0</v>
      </c>
      <c r="AZ16" s="29">
        <f t="shared" si="0"/>
        <v>0</v>
      </c>
      <c r="BA16" s="131">
        <v>20000</v>
      </c>
      <c r="BD16" s="2" t="s">
        <v>418</v>
      </c>
      <c r="BF16" s="130"/>
    </row>
    <row r="17" spans="1:58" ht="15.75">
      <c r="A17" s="20" t="s">
        <v>458</v>
      </c>
      <c r="B17" s="20" t="s">
        <v>181</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41058</v>
      </c>
      <c r="V17" s="2">
        <v>25000</v>
      </c>
      <c r="W17" s="2">
        <v>0</v>
      </c>
      <c r="X17" s="2">
        <v>0</v>
      </c>
      <c r="Y17" s="2">
        <v>1563</v>
      </c>
      <c r="Z17" s="2">
        <v>0</v>
      </c>
      <c r="AA17" s="2">
        <v>0</v>
      </c>
      <c r="AB17" s="2">
        <v>0</v>
      </c>
      <c r="AC17" s="2">
        <v>0</v>
      </c>
      <c r="AD17" s="2">
        <v>20000</v>
      </c>
      <c r="AE17" s="2">
        <v>0</v>
      </c>
      <c r="AF17" s="2">
        <v>87621</v>
      </c>
      <c r="AG17" s="2">
        <v>17780</v>
      </c>
      <c r="AH17" s="2">
        <v>0</v>
      </c>
      <c r="AI17" s="2">
        <v>5550</v>
      </c>
      <c r="AJ17" s="2">
        <v>3000</v>
      </c>
      <c r="AK17" s="2">
        <v>0</v>
      </c>
      <c r="AL17" s="2">
        <v>0</v>
      </c>
      <c r="AM17" s="2">
        <v>0</v>
      </c>
      <c r="AN17" s="2">
        <v>0</v>
      </c>
      <c r="AO17" s="2">
        <v>0</v>
      </c>
      <c r="AP17" s="2">
        <v>0</v>
      </c>
      <c r="AQ17" s="2">
        <v>0</v>
      </c>
      <c r="AR17" s="2">
        <v>32000</v>
      </c>
      <c r="AS17" s="2">
        <v>0</v>
      </c>
      <c r="AT17" s="2">
        <v>58330</v>
      </c>
      <c r="AU17" s="2">
        <v>8400</v>
      </c>
      <c r="AV17" s="2">
        <v>0</v>
      </c>
      <c r="AW17" s="2">
        <v>0</v>
      </c>
      <c r="AX17" s="2">
        <v>0</v>
      </c>
      <c r="AZ17" s="29">
        <f t="shared" si="0"/>
        <v>0</v>
      </c>
      <c r="BA17" s="131">
        <v>20000</v>
      </c>
      <c r="BD17" s="2" t="s">
        <v>458</v>
      </c>
      <c r="BF17" s="130"/>
    </row>
    <row r="18" spans="1:58" ht="15.75">
      <c r="A18" s="20" t="s">
        <v>484</v>
      </c>
      <c r="B18" s="20" t="s">
        <v>557</v>
      </c>
      <c r="D18" s="2">
        <v>0</v>
      </c>
      <c r="E18" s="2">
        <v>0</v>
      </c>
      <c r="F18" s="2">
        <v>0</v>
      </c>
      <c r="G18" s="2">
        <v>0</v>
      </c>
      <c r="H18" s="2">
        <v>0</v>
      </c>
      <c r="I18" s="2">
        <v>0</v>
      </c>
      <c r="J18" s="2">
        <v>0</v>
      </c>
      <c r="K18" s="2">
        <v>0</v>
      </c>
      <c r="L18" s="2">
        <v>0</v>
      </c>
      <c r="M18" s="2">
        <v>0</v>
      </c>
      <c r="N18" s="2">
        <v>0</v>
      </c>
      <c r="O18" s="2">
        <v>0</v>
      </c>
      <c r="P18" s="2">
        <v>34000</v>
      </c>
      <c r="Q18" s="2">
        <v>0</v>
      </c>
      <c r="R18" s="2">
        <v>0</v>
      </c>
      <c r="S18" s="2">
        <v>0</v>
      </c>
      <c r="T18" s="2">
        <v>34000</v>
      </c>
      <c r="U18" s="2">
        <v>64578</v>
      </c>
      <c r="V18" s="2">
        <v>33000</v>
      </c>
      <c r="W18" s="2">
        <v>0</v>
      </c>
      <c r="X18" s="2">
        <v>0</v>
      </c>
      <c r="Y18" s="2">
        <v>0</v>
      </c>
      <c r="Z18" s="2">
        <v>0</v>
      </c>
      <c r="AA18" s="2">
        <v>0</v>
      </c>
      <c r="AB18" s="2">
        <v>8000</v>
      </c>
      <c r="AC18" s="2">
        <v>0</v>
      </c>
      <c r="AD18" s="2">
        <v>0</v>
      </c>
      <c r="AE18" s="2">
        <v>0</v>
      </c>
      <c r="AF18" s="2">
        <v>105578</v>
      </c>
      <c r="AG18" s="2">
        <v>16082</v>
      </c>
      <c r="AH18" s="2">
        <v>14300</v>
      </c>
      <c r="AI18" s="2">
        <v>0</v>
      </c>
      <c r="AJ18" s="2">
        <v>2700</v>
      </c>
      <c r="AK18" s="2">
        <v>0</v>
      </c>
      <c r="AL18" s="2">
        <v>0</v>
      </c>
      <c r="AM18" s="2">
        <v>0</v>
      </c>
      <c r="AN18" s="2">
        <v>0</v>
      </c>
      <c r="AO18" s="2">
        <v>0</v>
      </c>
      <c r="AP18" s="2">
        <v>0</v>
      </c>
      <c r="AQ18" s="2">
        <v>0</v>
      </c>
      <c r="AR18" s="2">
        <v>10000</v>
      </c>
      <c r="AS18" s="2">
        <v>0</v>
      </c>
      <c r="AT18" s="2">
        <v>43082</v>
      </c>
      <c r="AU18" s="2">
        <v>0</v>
      </c>
      <c r="AV18" s="2">
        <v>0</v>
      </c>
      <c r="AW18" s="2">
        <v>0</v>
      </c>
      <c r="AX18" s="2">
        <v>0</v>
      </c>
      <c r="AZ18" s="29">
        <f t="shared" si="0"/>
        <v>0</v>
      </c>
      <c r="BA18" s="131">
        <v>20000</v>
      </c>
      <c r="BD18" s="2" t="s">
        <v>484</v>
      </c>
      <c r="BF18" s="130"/>
    </row>
    <row r="19" spans="1:58" ht="15.75">
      <c r="A19" s="20" t="s">
        <v>421</v>
      </c>
      <c r="B19" s="20" t="s">
        <v>144</v>
      </c>
      <c r="D19" s="2">
        <v>0</v>
      </c>
      <c r="E19" s="2">
        <v>0</v>
      </c>
      <c r="F19" s="2">
        <v>0</v>
      </c>
      <c r="G19" s="2">
        <v>0</v>
      </c>
      <c r="H19" s="2">
        <v>0</v>
      </c>
      <c r="I19" s="2">
        <v>0</v>
      </c>
      <c r="J19" s="2">
        <v>0</v>
      </c>
      <c r="K19" s="2">
        <v>0</v>
      </c>
      <c r="L19" s="2">
        <v>0</v>
      </c>
      <c r="M19" s="2">
        <v>0</v>
      </c>
      <c r="N19" s="2">
        <v>0</v>
      </c>
      <c r="O19" s="2">
        <v>0</v>
      </c>
      <c r="P19" s="2">
        <v>55560</v>
      </c>
      <c r="Q19" s="2">
        <v>0</v>
      </c>
      <c r="R19" s="2">
        <v>0</v>
      </c>
      <c r="S19" s="2">
        <v>0</v>
      </c>
      <c r="T19" s="2">
        <v>55560</v>
      </c>
      <c r="U19" s="2">
        <v>239185</v>
      </c>
      <c r="V19" s="2">
        <v>351100</v>
      </c>
      <c r="W19" s="2">
        <v>0</v>
      </c>
      <c r="X19" s="2">
        <v>0</v>
      </c>
      <c r="Y19" s="2">
        <v>0</v>
      </c>
      <c r="Z19" s="2">
        <v>0</v>
      </c>
      <c r="AA19" s="2">
        <v>0</v>
      </c>
      <c r="AB19" s="2">
        <v>0</v>
      </c>
      <c r="AC19" s="2">
        <v>0</v>
      </c>
      <c r="AD19" s="2">
        <v>44267</v>
      </c>
      <c r="AE19" s="2">
        <v>0</v>
      </c>
      <c r="AF19" s="2">
        <v>634552</v>
      </c>
      <c r="AG19" s="2">
        <v>296817</v>
      </c>
      <c r="AH19" s="2">
        <v>20000</v>
      </c>
      <c r="AI19" s="2">
        <v>0</v>
      </c>
      <c r="AJ19" s="2">
        <v>0</v>
      </c>
      <c r="AK19" s="2">
        <v>0</v>
      </c>
      <c r="AL19" s="2">
        <v>0</v>
      </c>
      <c r="AM19" s="2">
        <v>0</v>
      </c>
      <c r="AN19" s="2">
        <v>0</v>
      </c>
      <c r="AO19" s="2">
        <v>0</v>
      </c>
      <c r="AP19" s="2">
        <v>0</v>
      </c>
      <c r="AQ19" s="2">
        <v>0</v>
      </c>
      <c r="AR19" s="2">
        <v>83181</v>
      </c>
      <c r="AS19" s="2">
        <v>0</v>
      </c>
      <c r="AT19" s="2">
        <v>399998</v>
      </c>
      <c r="AU19" s="2">
        <v>79719</v>
      </c>
      <c r="AV19" s="2">
        <v>0</v>
      </c>
      <c r="AW19" s="2">
        <v>0</v>
      </c>
      <c r="AX19" s="2">
        <v>0</v>
      </c>
      <c r="AZ19" s="29">
        <f t="shared" si="0"/>
        <v>0</v>
      </c>
      <c r="BA19" s="131">
        <v>30000</v>
      </c>
      <c r="BD19" s="2" t="s">
        <v>421</v>
      </c>
      <c r="BF19" s="130"/>
    </row>
    <row r="20" spans="1:58" ht="15.75">
      <c r="A20" s="20" t="s">
        <v>427</v>
      </c>
      <c r="B20" s="20" t="s">
        <v>150</v>
      </c>
      <c r="D20" s="2">
        <v>0</v>
      </c>
      <c r="E20" s="2">
        <v>0</v>
      </c>
      <c r="F20" s="2">
        <v>0</v>
      </c>
      <c r="G20" s="2">
        <v>0</v>
      </c>
      <c r="H20" s="2">
        <v>0</v>
      </c>
      <c r="I20" s="2">
        <v>0</v>
      </c>
      <c r="J20" s="2">
        <v>0</v>
      </c>
      <c r="K20" s="2">
        <v>0</v>
      </c>
      <c r="L20" s="2">
        <v>0</v>
      </c>
      <c r="M20" s="2">
        <v>0</v>
      </c>
      <c r="N20" s="2">
        <v>0</v>
      </c>
      <c r="O20" s="2">
        <v>0</v>
      </c>
      <c r="P20" s="2">
        <v>55000</v>
      </c>
      <c r="Q20" s="2">
        <v>0</v>
      </c>
      <c r="R20" s="2">
        <v>0</v>
      </c>
      <c r="S20" s="2">
        <v>0</v>
      </c>
      <c r="T20" s="2">
        <v>55000</v>
      </c>
      <c r="U20" s="2">
        <v>322357</v>
      </c>
      <c r="V20" s="2">
        <v>10000</v>
      </c>
      <c r="W20" s="2">
        <v>0</v>
      </c>
      <c r="X20" s="2">
        <v>0</v>
      </c>
      <c r="Y20" s="2">
        <v>0</v>
      </c>
      <c r="Z20" s="2">
        <v>0</v>
      </c>
      <c r="AA20" s="2">
        <v>0</v>
      </c>
      <c r="AB20" s="2">
        <v>0</v>
      </c>
      <c r="AC20" s="2">
        <v>0</v>
      </c>
      <c r="AD20" s="2">
        <v>18000</v>
      </c>
      <c r="AE20" s="2">
        <v>0</v>
      </c>
      <c r="AF20" s="2">
        <v>350357</v>
      </c>
      <c r="AG20" s="2">
        <v>123518</v>
      </c>
      <c r="AH20" s="2">
        <v>31000</v>
      </c>
      <c r="AI20" s="2">
        <v>0</v>
      </c>
      <c r="AJ20" s="2">
        <v>0</v>
      </c>
      <c r="AK20" s="2">
        <v>0</v>
      </c>
      <c r="AL20" s="2">
        <v>0</v>
      </c>
      <c r="AM20" s="2">
        <v>0</v>
      </c>
      <c r="AN20" s="2">
        <v>0</v>
      </c>
      <c r="AO20" s="2">
        <v>0</v>
      </c>
      <c r="AP20" s="2">
        <v>0</v>
      </c>
      <c r="AQ20" s="2">
        <v>0</v>
      </c>
      <c r="AR20" s="2">
        <v>140516</v>
      </c>
      <c r="AS20" s="2">
        <v>0</v>
      </c>
      <c r="AT20" s="2">
        <v>295034</v>
      </c>
      <c r="AU20" s="2">
        <v>44957</v>
      </c>
      <c r="AV20" s="2">
        <v>0</v>
      </c>
      <c r="AW20" s="2">
        <v>0</v>
      </c>
      <c r="AX20" s="2">
        <v>0</v>
      </c>
      <c r="AZ20" s="29">
        <f t="shared" si="0"/>
        <v>0</v>
      </c>
      <c r="BA20" s="131">
        <v>30000</v>
      </c>
      <c r="BD20" s="2" t="s">
        <v>427</v>
      </c>
      <c r="BF20" s="130"/>
    </row>
    <row r="21" spans="1:58" ht="15.75">
      <c r="A21" s="20" t="s">
        <v>401</v>
      </c>
      <c r="B21" s="20" t="s">
        <v>124</v>
      </c>
      <c r="D21" s="2">
        <v>0</v>
      </c>
      <c r="E21" s="2">
        <v>0</v>
      </c>
      <c r="F21" s="2">
        <v>0</v>
      </c>
      <c r="G21" s="2">
        <v>0</v>
      </c>
      <c r="H21" s="2">
        <v>0</v>
      </c>
      <c r="I21" s="2">
        <v>0</v>
      </c>
      <c r="J21" s="2">
        <v>0</v>
      </c>
      <c r="K21" s="2">
        <v>0</v>
      </c>
      <c r="L21" s="2">
        <v>0</v>
      </c>
      <c r="M21" s="2">
        <v>0</v>
      </c>
      <c r="N21" s="2">
        <v>0</v>
      </c>
      <c r="O21" s="2">
        <v>0</v>
      </c>
      <c r="P21" s="2">
        <v>486</v>
      </c>
      <c r="Q21" s="2">
        <v>0</v>
      </c>
      <c r="R21" s="2">
        <v>0</v>
      </c>
      <c r="S21" s="2">
        <v>0</v>
      </c>
      <c r="T21" s="2">
        <v>486</v>
      </c>
      <c r="U21" s="2">
        <v>104100</v>
      </c>
      <c r="V21" s="2">
        <v>0</v>
      </c>
      <c r="W21" s="2">
        <v>0</v>
      </c>
      <c r="X21" s="2">
        <v>0</v>
      </c>
      <c r="Y21" s="2">
        <v>0</v>
      </c>
      <c r="Z21" s="2">
        <v>0</v>
      </c>
      <c r="AA21" s="2">
        <v>0</v>
      </c>
      <c r="AB21" s="2">
        <v>0</v>
      </c>
      <c r="AC21" s="2">
        <v>0</v>
      </c>
      <c r="AD21" s="2">
        <v>0</v>
      </c>
      <c r="AE21" s="2">
        <v>0</v>
      </c>
      <c r="AF21" s="2">
        <v>104100</v>
      </c>
      <c r="AG21" s="2">
        <v>36000</v>
      </c>
      <c r="AH21" s="2">
        <v>5000</v>
      </c>
      <c r="AI21" s="2">
        <v>0</v>
      </c>
      <c r="AJ21" s="2">
        <v>0</v>
      </c>
      <c r="AK21" s="2">
        <v>0</v>
      </c>
      <c r="AL21" s="2">
        <v>0</v>
      </c>
      <c r="AM21" s="2">
        <v>0</v>
      </c>
      <c r="AN21" s="2">
        <v>0</v>
      </c>
      <c r="AO21" s="2">
        <v>0</v>
      </c>
      <c r="AP21" s="2">
        <v>0</v>
      </c>
      <c r="AQ21" s="2">
        <v>0</v>
      </c>
      <c r="AR21" s="2">
        <v>0</v>
      </c>
      <c r="AS21" s="2">
        <v>0</v>
      </c>
      <c r="AT21" s="2">
        <v>41000</v>
      </c>
      <c r="AU21" s="2">
        <v>0</v>
      </c>
      <c r="AV21" s="2">
        <v>0</v>
      </c>
      <c r="AW21" s="2">
        <v>0</v>
      </c>
      <c r="AX21" s="2">
        <v>0</v>
      </c>
      <c r="AZ21" s="29">
        <f t="shared" si="0"/>
        <v>0</v>
      </c>
      <c r="BA21" s="131">
        <v>20000</v>
      </c>
      <c r="BD21" s="2" t="s">
        <v>401</v>
      </c>
      <c r="BF21" s="130"/>
    </row>
    <row r="22" spans="1:58" ht="15.75">
      <c r="A22" s="20" t="s">
        <v>428</v>
      </c>
      <c r="B22" s="20" t="s">
        <v>558</v>
      </c>
      <c r="D22" s="2">
        <v>0</v>
      </c>
      <c r="E22" s="2">
        <v>0</v>
      </c>
      <c r="F22" s="2">
        <v>0</v>
      </c>
      <c r="G22" s="2">
        <v>0</v>
      </c>
      <c r="H22" s="2">
        <v>0</v>
      </c>
      <c r="I22" s="2">
        <v>0</v>
      </c>
      <c r="J22" s="2">
        <v>0</v>
      </c>
      <c r="K22" s="2">
        <v>0</v>
      </c>
      <c r="L22" s="2">
        <v>0</v>
      </c>
      <c r="M22" s="2">
        <v>0</v>
      </c>
      <c r="N22" s="2">
        <v>0</v>
      </c>
      <c r="O22" s="2">
        <v>0</v>
      </c>
      <c r="P22" s="2">
        <v>5000</v>
      </c>
      <c r="Q22" s="2">
        <v>0</v>
      </c>
      <c r="R22" s="2">
        <v>0</v>
      </c>
      <c r="S22" s="2">
        <v>0</v>
      </c>
      <c r="T22" s="2">
        <v>5000</v>
      </c>
      <c r="U22" s="2">
        <v>436349</v>
      </c>
      <c r="V22" s="2">
        <v>71500</v>
      </c>
      <c r="W22" s="2">
        <v>0</v>
      </c>
      <c r="X22" s="2">
        <v>0</v>
      </c>
      <c r="Y22" s="2">
        <v>0</v>
      </c>
      <c r="Z22" s="2">
        <v>0</v>
      </c>
      <c r="AA22" s="2">
        <v>0</v>
      </c>
      <c r="AB22" s="2">
        <v>0</v>
      </c>
      <c r="AC22" s="2">
        <v>0</v>
      </c>
      <c r="AD22" s="2">
        <v>0</v>
      </c>
      <c r="AE22" s="2">
        <v>0</v>
      </c>
      <c r="AF22" s="2">
        <v>507849</v>
      </c>
      <c r="AG22" s="2">
        <v>120000</v>
      </c>
      <c r="AH22" s="2">
        <v>0</v>
      </c>
      <c r="AI22" s="2">
        <v>0</v>
      </c>
      <c r="AJ22" s="2">
        <v>0</v>
      </c>
      <c r="AK22" s="2">
        <v>0</v>
      </c>
      <c r="AL22" s="2">
        <v>0</v>
      </c>
      <c r="AM22" s="2">
        <v>0</v>
      </c>
      <c r="AN22" s="2">
        <v>0</v>
      </c>
      <c r="AO22" s="2">
        <v>0</v>
      </c>
      <c r="AP22" s="2">
        <v>0</v>
      </c>
      <c r="AQ22" s="2">
        <v>0</v>
      </c>
      <c r="AR22" s="2">
        <v>0</v>
      </c>
      <c r="AS22" s="2">
        <v>0</v>
      </c>
      <c r="AT22" s="2">
        <v>120000</v>
      </c>
      <c r="AU22" s="2">
        <v>12087</v>
      </c>
      <c r="AV22" s="2">
        <v>0</v>
      </c>
      <c r="AW22" s="2">
        <v>0</v>
      </c>
      <c r="AX22" s="2">
        <v>0</v>
      </c>
      <c r="AZ22" s="29">
        <f t="shared" si="0"/>
        <v>0</v>
      </c>
      <c r="BA22" s="131">
        <v>30000</v>
      </c>
      <c r="BD22" s="2" t="s">
        <v>428</v>
      </c>
      <c r="BF22" s="130"/>
    </row>
    <row r="23" spans="1:58" ht="15.75">
      <c r="A23" s="20" t="s">
        <v>515</v>
      </c>
      <c r="B23" s="20" t="s">
        <v>238</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9109</v>
      </c>
      <c r="AH23" s="2">
        <v>5000</v>
      </c>
      <c r="AI23" s="2">
        <v>0</v>
      </c>
      <c r="AJ23" s="2">
        <v>0</v>
      </c>
      <c r="AK23" s="2">
        <v>0</v>
      </c>
      <c r="AL23" s="2">
        <v>0</v>
      </c>
      <c r="AM23" s="2">
        <v>0</v>
      </c>
      <c r="AN23" s="2">
        <v>0</v>
      </c>
      <c r="AO23" s="2">
        <v>0</v>
      </c>
      <c r="AP23" s="2">
        <v>0</v>
      </c>
      <c r="AQ23" s="2">
        <v>0</v>
      </c>
      <c r="AR23" s="2">
        <v>0</v>
      </c>
      <c r="AS23" s="2">
        <v>0</v>
      </c>
      <c r="AT23" s="2">
        <v>14109</v>
      </c>
      <c r="AU23" s="2">
        <v>9500</v>
      </c>
      <c r="AV23" s="2">
        <v>0</v>
      </c>
      <c r="AW23" s="2">
        <v>0</v>
      </c>
      <c r="AX23" s="2">
        <v>0</v>
      </c>
      <c r="AZ23" s="29">
        <f t="shared" si="0"/>
        <v>0</v>
      </c>
      <c r="BA23" s="131">
        <v>20000</v>
      </c>
      <c r="BD23" s="2" t="s">
        <v>515</v>
      </c>
      <c r="BF23" s="130"/>
    </row>
    <row r="24" spans="1:58" ht="15.75">
      <c r="A24" s="20" t="s">
        <v>433</v>
      </c>
      <c r="B24" s="20" t="s">
        <v>156</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244114</v>
      </c>
      <c r="V24" s="2">
        <v>29450</v>
      </c>
      <c r="W24" s="2">
        <v>0</v>
      </c>
      <c r="X24" s="2">
        <v>0</v>
      </c>
      <c r="Y24" s="2">
        <v>0</v>
      </c>
      <c r="Z24" s="2">
        <v>0</v>
      </c>
      <c r="AA24" s="2">
        <v>0</v>
      </c>
      <c r="AB24" s="2">
        <v>0</v>
      </c>
      <c r="AC24" s="2">
        <v>0</v>
      </c>
      <c r="AD24" s="2">
        <v>6450</v>
      </c>
      <c r="AE24" s="2">
        <v>0</v>
      </c>
      <c r="AF24" s="2">
        <v>280014</v>
      </c>
      <c r="AG24" s="2">
        <v>226000</v>
      </c>
      <c r="AH24" s="2">
        <v>0</v>
      </c>
      <c r="AI24" s="2">
        <v>0</v>
      </c>
      <c r="AJ24" s="2">
        <v>30000</v>
      </c>
      <c r="AK24" s="2">
        <v>0</v>
      </c>
      <c r="AL24" s="2">
        <v>0</v>
      </c>
      <c r="AM24" s="2">
        <v>0</v>
      </c>
      <c r="AN24" s="2">
        <v>0</v>
      </c>
      <c r="AO24" s="2">
        <v>0</v>
      </c>
      <c r="AP24" s="2">
        <v>0</v>
      </c>
      <c r="AQ24" s="2">
        <v>0</v>
      </c>
      <c r="AR24" s="2">
        <v>0</v>
      </c>
      <c r="AS24" s="2">
        <v>0</v>
      </c>
      <c r="AT24" s="2">
        <v>256000</v>
      </c>
      <c r="AU24" s="2">
        <v>28500</v>
      </c>
      <c r="AV24" s="2">
        <v>0</v>
      </c>
      <c r="AW24" s="2">
        <v>0</v>
      </c>
      <c r="AX24" s="2">
        <v>0</v>
      </c>
      <c r="AZ24" s="29">
        <f t="shared" si="0"/>
        <v>0</v>
      </c>
      <c r="BA24" s="131">
        <v>30000</v>
      </c>
      <c r="BD24" s="2" t="s">
        <v>433</v>
      </c>
      <c r="BF24" s="130"/>
    </row>
    <row r="25" spans="1:58" ht="15.75">
      <c r="A25" s="20" t="s">
        <v>459</v>
      </c>
      <c r="B25" s="20" t="s">
        <v>182</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18497</v>
      </c>
      <c r="V25" s="2">
        <v>0</v>
      </c>
      <c r="W25" s="2">
        <v>0</v>
      </c>
      <c r="X25" s="2">
        <v>0</v>
      </c>
      <c r="Y25" s="2">
        <v>0</v>
      </c>
      <c r="Z25" s="2">
        <v>0</v>
      </c>
      <c r="AA25" s="2">
        <v>0</v>
      </c>
      <c r="AB25" s="2">
        <v>0</v>
      </c>
      <c r="AC25" s="2">
        <v>0</v>
      </c>
      <c r="AD25" s="2">
        <v>0</v>
      </c>
      <c r="AE25" s="2">
        <v>0</v>
      </c>
      <c r="AF25" s="2">
        <v>18497</v>
      </c>
      <c r="AG25" s="2">
        <v>31842</v>
      </c>
      <c r="AH25" s="2">
        <v>0</v>
      </c>
      <c r="AI25" s="2">
        <v>0</v>
      </c>
      <c r="AJ25" s="2">
        <v>0</v>
      </c>
      <c r="AK25" s="2">
        <v>0</v>
      </c>
      <c r="AL25" s="2">
        <v>0</v>
      </c>
      <c r="AM25" s="2">
        <v>0</v>
      </c>
      <c r="AN25" s="2">
        <v>0</v>
      </c>
      <c r="AO25" s="2">
        <v>0</v>
      </c>
      <c r="AP25" s="2">
        <v>0</v>
      </c>
      <c r="AQ25" s="2">
        <v>0</v>
      </c>
      <c r="AR25" s="2">
        <v>0</v>
      </c>
      <c r="AS25" s="2">
        <v>0</v>
      </c>
      <c r="AT25" s="2">
        <v>31842</v>
      </c>
      <c r="AU25" s="2">
        <v>0</v>
      </c>
      <c r="AV25" s="2">
        <v>0</v>
      </c>
      <c r="AW25" s="2">
        <v>0</v>
      </c>
      <c r="AX25" s="2">
        <v>0</v>
      </c>
      <c r="AZ25" s="29">
        <f t="shared" si="0"/>
        <v>0</v>
      </c>
      <c r="BA25" s="131">
        <v>20000</v>
      </c>
      <c r="BD25" s="2" t="s">
        <v>459</v>
      </c>
      <c r="BF25" s="130"/>
    </row>
    <row r="26" spans="1:58" ht="15.75">
      <c r="A26" s="20" t="s">
        <v>519</v>
      </c>
      <c r="B26" s="20" t="s">
        <v>242</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227816</v>
      </c>
      <c r="V26" s="2">
        <v>4504</v>
      </c>
      <c r="W26" s="2">
        <v>0</v>
      </c>
      <c r="X26" s="2">
        <v>0</v>
      </c>
      <c r="Y26" s="2">
        <v>0</v>
      </c>
      <c r="Z26" s="2">
        <v>0</v>
      </c>
      <c r="AA26" s="2">
        <v>106</v>
      </c>
      <c r="AB26" s="2">
        <v>0</v>
      </c>
      <c r="AC26" s="2">
        <v>0</v>
      </c>
      <c r="AD26" s="2">
        <v>0</v>
      </c>
      <c r="AE26" s="2">
        <v>0</v>
      </c>
      <c r="AF26" s="2">
        <v>232426</v>
      </c>
      <c r="AG26" s="2">
        <v>18662</v>
      </c>
      <c r="AH26" s="2">
        <v>0</v>
      </c>
      <c r="AI26" s="2">
        <v>0</v>
      </c>
      <c r="AJ26" s="2">
        <v>0</v>
      </c>
      <c r="AK26" s="2">
        <v>0</v>
      </c>
      <c r="AL26" s="2">
        <v>0</v>
      </c>
      <c r="AM26" s="2">
        <v>0</v>
      </c>
      <c r="AN26" s="2">
        <v>0</v>
      </c>
      <c r="AO26" s="2">
        <v>0</v>
      </c>
      <c r="AP26" s="2">
        <v>0</v>
      </c>
      <c r="AQ26" s="2">
        <v>0</v>
      </c>
      <c r="AR26" s="2">
        <v>0</v>
      </c>
      <c r="AS26" s="2">
        <v>0</v>
      </c>
      <c r="AT26" s="2">
        <v>18662</v>
      </c>
      <c r="AU26" s="2">
        <v>39299</v>
      </c>
      <c r="AV26" s="2">
        <v>22602</v>
      </c>
      <c r="AW26" s="2">
        <v>0</v>
      </c>
      <c r="AX26" s="2">
        <v>0</v>
      </c>
      <c r="AZ26" s="29">
        <f t="shared" si="0"/>
        <v>452.04</v>
      </c>
      <c r="BA26" s="131">
        <v>20000</v>
      </c>
      <c r="BD26" s="2" t="s">
        <v>519</v>
      </c>
      <c r="BF26" s="130"/>
    </row>
    <row r="27" spans="1:58" ht="15.75">
      <c r="A27" s="20" t="s">
        <v>534</v>
      </c>
      <c r="B27" s="20" t="s">
        <v>256</v>
      </c>
      <c r="D27" s="2">
        <v>0</v>
      </c>
      <c r="E27" s="2">
        <v>0</v>
      </c>
      <c r="F27" s="2">
        <v>0</v>
      </c>
      <c r="G27" s="2">
        <v>0</v>
      </c>
      <c r="H27" s="2">
        <v>0</v>
      </c>
      <c r="I27" s="2">
        <v>0</v>
      </c>
      <c r="J27" s="2">
        <v>0</v>
      </c>
      <c r="K27" s="2">
        <v>0</v>
      </c>
      <c r="L27" s="2">
        <v>0</v>
      </c>
      <c r="M27" s="2">
        <v>0</v>
      </c>
      <c r="N27" s="2">
        <v>0</v>
      </c>
      <c r="O27" s="2">
        <v>0</v>
      </c>
      <c r="P27" s="2">
        <v>233580</v>
      </c>
      <c r="Q27" s="2">
        <v>0</v>
      </c>
      <c r="R27" s="2">
        <v>0</v>
      </c>
      <c r="S27" s="2">
        <v>0</v>
      </c>
      <c r="T27" s="2">
        <v>233580</v>
      </c>
      <c r="U27" s="2">
        <v>160889</v>
      </c>
      <c r="V27" s="2">
        <v>29000</v>
      </c>
      <c r="W27" s="2">
        <v>0</v>
      </c>
      <c r="X27" s="2">
        <v>0</v>
      </c>
      <c r="Y27" s="2">
        <v>0</v>
      </c>
      <c r="Z27" s="2">
        <v>0</v>
      </c>
      <c r="AA27" s="2">
        <v>0</v>
      </c>
      <c r="AB27" s="2">
        <v>0</v>
      </c>
      <c r="AC27" s="2">
        <v>0</v>
      </c>
      <c r="AD27" s="2">
        <v>0</v>
      </c>
      <c r="AE27" s="2">
        <v>0</v>
      </c>
      <c r="AF27" s="2">
        <v>189889</v>
      </c>
      <c r="AG27" s="2">
        <v>25000</v>
      </c>
      <c r="AH27" s="2">
        <v>23000</v>
      </c>
      <c r="AI27" s="2">
        <v>0</v>
      </c>
      <c r="AJ27" s="2">
        <v>0</v>
      </c>
      <c r="AK27" s="2">
        <v>0</v>
      </c>
      <c r="AL27" s="2">
        <v>0</v>
      </c>
      <c r="AM27" s="2">
        <v>0</v>
      </c>
      <c r="AN27" s="2">
        <v>0</v>
      </c>
      <c r="AO27" s="2">
        <v>0</v>
      </c>
      <c r="AP27" s="2">
        <v>0</v>
      </c>
      <c r="AQ27" s="2">
        <v>0</v>
      </c>
      <c r="AR27" s="2">
        <v>11000</v>
      </c>
      <c r="AS27" s="2">
        <v>0</v>
      </c>
      <c r="AT27" s="2">
        <v>59000</v>
      </c>
      <c r="AU27" s="2">
        <v>0</v>
      </c>
      <c r="AV27" s="2">
        <v>74000</v>
      </c>
      <c r="AW27" s="2">
        <v>9000</v>
      </c>
      <c r="AX27" s="2">
        <v>0</v>
      </c>
      <c r="AZ27" s="29">
        <f t="shared" si="0"/>
        <v>1480</v>
      </c>
      <c r="BA27" s="131">
        <v>20000</v>
      </c>
      <c r="BD27" s="2" t="s">
        <v>534</v>
      </c>
      <c r="BF27" s="130"/>
    </row>
    <row r="28" spans="1:58" ht="15.75">
      <c r="A28" s="20" t="s">
        <v>438</v>
      </c>
      <c r="B28" s="20" t="s">
        <v>559</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382507</v>
      </c>
      <c r="V28" s="2">
        <v>77000</v>
      </c>
      <c r="W28" s="2">
        <v>0</v>
      </c>
      <c r="X28" s="2">
        <v>0</v>
      </c>
      <c r="Y28" s="2">
        <v>0</v>
      </c>
      <c r="Z28" s="2">
        <v>0</v>
      </c>
      <c r="AA28" s="2">
        <v>0</v>
      </c>
      <c r="AB28" s="2">
        <v>0</v>
      </c>
      <c r="AC28" s="2">
        <v>0</v>
      </c>
      <c r="AD28" s="2">
        <v>0</v>
      </c>
      <c r="AE28" s="2">
        <v>0</v>
      </c>
      <c r="AF28" s="2">
        <v>459507</v>
      </c>
      <c r="AG28" s="2">
        <v>260513</v>
      </c>
      <c r="AH28" s="2">
        <v>55000</v>
      </c>
      <c r="AI28" s="2">
        <v>0</v>
      </c>
      <c r="AJ28" s="2">
        <v>0</v>
      </c>
      <c r="AK28" s="2">
        <v>0</v>
      </c>
      <c r="AL28" s="2">
        <v>0</v>
      </c>
      <c r="AM28" s="2">
        <v>0</v>
      </c>
      <c r="AN28" s="2">
        <v>0</v>
      </c>
      <c r="AO28" s="2">
        <v>0</v>
      </c>
      <c r="AP28" s="2">
        <v>0</v>
      </c>
      <c r="AQ28" s="2">
        <v>1416</v>
      </c>
      <c r="AR28" s="2">
        <v>0</v>
      </c>
      <c r="AS28" s="2">
        <v>0</v>
      </c>
      <c r="AT28" s="2">
        <v>316929</v>
      </c>
      <c r="AU28" s="2">
        <v>1300</v>
      </c>
      <c r="AV28" s="2">
        <v>2500</v>
      </c>
      <c r="AW28" s="2">
        <v>0</v>
      </c>
      <c r="AX28" s="2">
        <v>0</v>
      </c>
      <c r="AZ28" s="29">
        <f t="shared" si="0"/>
        <v>50</v>
      </c>
      <c r="BA28" s="131">
        <v>30000</v>
      </c>
      <c r="BD28" s="2" t="s">
        <v>438</v>
      </c>
      <c r="BF28" s="130"/>
    </row>
    <row r="29" spans="1:58" ht="15.75">
      <c r="A29" s="20" t="s">
        <v>457</v>
      </c>
      <c r="B29" s="20" t="s">
        <v>180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211837</v>
      </c>
      <c r="V29" s="2">
        <v>0</v>
      </c>
      <c r="W29" s="2">
        <v>0</v>
      </c>
      <c r="X29" s="2">
        <v>0</v>
      </c>
      <c r="Y29" s="2">
        <v>0</v>
      </c>
      <c r="Z29" s="2">
        <v>0</v>
      </c>
      <c r="AA29" s="2">
        <v>0</v>
      </c>
      <c r="AB29" s="2">
        <v>0</v>
      </c>
      <c r="AC29" s="2">
        <v>0</v>
      </c>
      <c r="AD29" s="2">
        <v>0</v>
      </c>
      <c r="AE29" s="2">
        <v>0</v>
      </c>
      <c r="AF29" s="2">
        <v>211837</v>
      </c>
      <c r="AG29" s="2">
        <v>9512</v>
      </c>
      <c r="AH29" s="2">
        <v>3000</v>
      </c>
      <c r="AI29" s="2">
        <v>0</v>
      </c>
      <c r="AJ29" s="2">
        <v>0</v>
      </c>
      <c r="AK29" s="2">
        <v>0</v>
      </c>
      <c r="AL29" s="2">
        <v>16000</v>
      </c>
      <c r="AM29" s="2">
        <v>4000</v>
      </c>
      <c r="AN29" s="2">
        <v>0</v>
      </c>
      <c r="AO29" s="2">
        <v>0</v>
      </c>
      <c r="AP29" s="2">
        <v>0</v>
      </c>
      <c r="AQ29" s="2">
        <v>0</v>
      </c>
      <c r="AR29" s="2">
        <v>0</v>
      </c>
      <c r="AS29" s="2">
        <v>0</v>
      </c>
      <c r="AT29" s="2">
        <v>32512</v>
      </c>
      <c r="AU29" s="2">
        <v>15620</v>
      </c>
      <c r="AV29" s="2">
        <v>2000</v>
      </c>
      <c r="AW29" s="2">
        <v>0</v>
      </c>
      <c r="AX29" s="2">
        <v>0</v>
      </c>
      <c r="AZ29" s="29">
        <f t="shared" si="0"/>
        <v>40</v>
      </c>
      <c r="BA29" s="131">
        <v>20000</v>
      </c>
      <c r="BD29" s="2" t="s">
        <v>457</v>
      </c>
      <c r="BF29" s="130"/>
    </row>
    <row r="30" spans="1:58" ht="15.75">
      <c r="A30" s="20" t="s">
        <v>478</v>
      </c>
      <c r="B30" s="20" t="s">
        <v>201</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4797</v>
      </c>
      <c r="AH30" s="2">
        <v>0</v>
      </c>
      <c r="AI30" s="2">
        <v>0</v>
      </c>
      <c r="AJ30" s="2">
        <v>0</v>
      </c>
      <c r="AK30" s="2">
        <v>0</v>
      </c>
      <c r="AL30" s="2">
        <v>5000</v>
      </c>
      <c r="AM30" s="2">
        <v>0</v>
      </c>
      <c r="AN30" s="2">
        <v>0</v>
      </c>
      <c r="AO30" s="2">
        <v>0</v>
      </c>
      <c r="AP30" s="2">
        <v>0</v>
      </c>
      <c r="AQ30" s="2">
        <v>0</v>
      </c>
      <c r="AR30" s="2">
        <v>0</v>
      </c>
      <c r="AS30" s="2">
        <v>0</v>
      </c>
      <c r="AT30" s="2">
        <v>9797</v>
      </c>
      <c r="AU30" s="2">
        <v>5500</v>
      </c>
      <c r="AV30" s="2">
        <v>0</v>
      </c>
      <c r="AW30" s="2">
        <v>0</v>
      </c>
      <c r="AX30" s="2">
        <v>0</v>
      </c>
      <c r="AZ30" s="29">
        <f t="shared" si="0"/>
        <v>0</v>
      </c>
      <c r="BA30" s="131">
        <v>20000</v>
      </c>
      <c r="BD30" s="2" t="s">
        <v>478</v>
      </c>
      <c r="BF30" s="130"/>
    </row>
    <row r="31" spans="1:58" ht="15.75">
      <c r="A31" s="20" t="s">
        <v>447</v>
      </c>
      <c r="B31" s="20" t="s">
        <v>170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257662</v>
      </c>
      <c r="V31" s="2">
        <v>41000</v>
      </c>
      <c r="W31" s="2">
        <v>0</v>
      </c>
      <c r="X31" s="2">
        <v>0</v>
      </c>
      <c r="Y31" s="2">
        <v>0</v>
      </c>
      <c r="Z31" s="2">
        <v>0</v>
      </c>
      <c r="AA31" s="2">
        <v>0</v>
      </c>
      <c r="AB31" s="2">
        <v>0</v>
      </c>
      <c r="AC31" s="2">
        <v>0</v>
      </c>
      <c r="AD31" s="2">
        <v>0</v>
      </c>
      <c r="AE31" s="2">
        <v>0</v>
      </c>
      <c r="AF31" s="2">
        <v>298662</v>
      </c>
      <c r="AG31" s="2">
        <v>130679</v>
      </c>
      <c r="AH31" s="2">
        <v>17311</v>
      </c>
      <c r="AI31" s="2">
        <v>0</v>
      </c>
      <c r="AJ31" s="2">
        <v>0</v>
      </c>
      <c r="AK31" s="2">
        <v>0</v>
      </c>
      <c r="AL31" s="2">
        <v>0</v>
      </c>
      <c r="AM31" s="2">
        <v>0</v>
      </c>
      <c r="AN31" s="2">
        <v>0</v>
      </c>
      <c r="AO31" s="2">
        <v>13520</v>
      </c>
      <c r="AP31" s="2">
        <v>0</v>
      </c>
      <c r="AQ31" s="2">
        <v>0</v>
      </c>
      <c r="AR31" s="2">
        <v>81000</v>
      </c>
      <c r="AS31" s="2">
        <v>0</v>
      </c>
      <c r="AT31" s="2">
        <v>242510</v>
      </c>
      <c r="AU31" s="2">
        <v>82755</v>
      </c>
      <c r="AV31" s="2">
        <v>0</v>
      </c>
      <c r="AW31" s="2">
        <v>0</v>
      </c>
      <c r="AX31" s="2">
        <v>0</v>
      </c>
      <c r="AZ31" s="29">
        <f t="shared" si="0"/>
        <v>0</v>
      </c>
      <c r="BA31" s="131">
        <v>30000</v>
      </c>
      <c r="BD31" s="2" t="s">
        <v>447</v>
      </c>
      <c r="BF31" s="130"/>
    </row>
    <row r="32" spans="1:58" ht="15.75">
      <c r="A32" s="20" t="s">
        <v>499</v>
      </c>
      <c r="B32" s="20" t="s">
        <v>222</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483311</v>
      </c>
      <c r="V32" s="2">
        <v>0</v>
      </c>
      <c r="W32" s="2">
        <v>0</v>
      </c>
      <c r="X32" s="2">
        <v>0</v>
      </c>
      <c r="Y32" s="2">
        <v>0</v>
      </c>
      <c r="Z32" s="2">
        <v>0</v>
      </c>
      <c r="AA32" s="2">
        <v>0</v>
      </c>
      <c r="AB32" s="2">
        <v>13971</v>
      </c>
      <c r="AC32" s="2">
        <v>0</v>
      </c>
      <c r="AD32" s="2">
        <v>11000</v>
      </c>
      <c r="AE32" s="2">
        <v>0</v>
      </c>
      <c r="AF32" s="2">
        <v>508282</v>
      </c>
      <c r="AG32" s="2">
        <v>144164</v>
      </c>
      <c r="AH32" s="2">
        <v>84800</v>
      </c>
      <c r="AI32" s="2">
        <v>0</v>
      </c>
      <c r="AJ32" s="2">
        <v>0</v>
      </c>
      <c r="AK32" s="2">
        <v>0</v>
      </c>
      <c r="AL32" s="2">
        <v>41284</v>
      </c>
      <c r="AM32" s="2">
        <v>2000</v>
      </c>
      <c r="AN32" s="2">
        <v>0</v>
      </c>
      <c r="AO32" s="2">
        <v>0</v>
      </c>
      <c r="AP32" s="2">
        <v>0</v>
      </c>
      <c r="AQ32" s="2">
        <v>0</v>
      </c>
      <c r="AR32" s="2">
        <v>58000</v>
      </c>
      <c r="AS32" s="2">
        <v>90448</v>
      </c>
      <c r="AT32" s="2">
        <v>420696</v>
      </c>
      <c r="AU32" s="2">
        <v>66810</v>
      </c>
      <c r="AV32" s="2">
        <v>5000</v>
      </c>
      <c r="AW32" s="2">
        <v>0</v>
      </c>
      <c r="AX32" s="2">
        <v>0</v>
      </c>
      <c r="AZ32" s="29">
        <f t="shared" si="0"/>
        <v>100</v>
      </c>
      <c r="BA32" s="131">
        <v>20000</v>
      </c>
      <c r="BD32" s="2" t="s">
        <v>499</v>
      </c>
      <c r="BF32" s="130"/>
    </row>
    <row r="33" spans="1:58" ht="15.75">
      <c r="A33" s="20" t="s">
        <v>455</v>
      </c>
      <c r="B33" s="20" t="s">
        <v>178</v>
      </c>
      <c r="D33" s="2">
        <v>0</v>
      </c>
      <c r="E33" s="2">
        <v>0</v>
      </c>
      <c r="F33" s="2">
        <v>0</v>
      </c>
      <c r="G33" s="2">
        <v>0</v>
      </c>
      <c r="H33" s="2">
        <v>0</v>
      </c>
      <c r="I33" s="2">
        <v>0</v>
      </c>
      <c r="J33" s="2">
        <v>0</v>
      </c>
      <c r="K33" s="2">
        <v>0</v>
      </c>
      <c r="L33" s="2">
        <v>0</v>
      </c>
      <c r="M33" s="2">
        <v>339</v>
      </c>
      <c r="N33" s="2">
        <v>7308</v>
      </c>
      <c r="O33" s="2">
        <v>0</v>
      </c>
      <c r="P33" s="2">
        <v>414</v>
      </c>
      <c r="Q33" s="2">
        <v>6768</v>
      </c>
      <c r="R33" s="2">
        <v>0</v>
      </c>
      <c r="S33" s="2">
        <v>0</v>
      </c>
      <c r="T33" s="2">
        <v>14829</v>
      </c>
      <c r="U33" s="2">
        <v>312102</v>
      </c>
      <c r="V33" s="2">
        <v>53000</v>
      </c>
      <c r="W33" s="2">
        <v>0</v>
      </c>
      <c r="X33" s="2">
        <v>0</v>
      </c>
      <c r="Y33" s="2">
        <v>0</v>
      </c>
      <c r="Z33" s="2">
        <v>0</v>
      </c>
      <c r="AA33" s="2">
        <v>0</v>
      </c>
      <c r="AB33" s="2">
        <v>0</v>
      </c>
      <c r="AC33" s="2">
        <v>0</v>
      </c>
      <c r="AD33" s="2">
        <v>20000</v>
      </c>
      <c r="AE33" s="2">
        <v>0</v>
      </c>
      <c r="AF33" s="2">
        <v>385102</v>
      </c>
      <c r="AG33" s="2">
        <v>46783</v>
      </c>
      <c r="AH33" s="2">
        <v>0</v>
      </c>
      <c r="AI33" s="2">
        <v>0</v>
      </c>
      <c r="AJ33" s="2">
        <v>0</v>
      </c>
      <c r="AK33" s="2">
        <v>0</v>
      </c>
      <c r="AL33" s="2">
        <v>35000</v>
      </c>
      <c r="AM33" s="2">
        <v>0</v>
      </c>
      <c r="AN33" s="2">
        <v>0</v>
      </c>
      <c r="AO33" s="2">
        <v>202070</v>
      </c>
      <c r="AP33" s="2">
        <v>0</v>
      </c>
      <c r="AQ33" s="2">
        <v>5000</v>
      </c>
      <c r="AR33" s="2">
        <v>255818</v>
      </c>
      <c r="AS33" s="2">
        <v>0</v>
      </c>
      <c r="AT33" s="2">
        <v>544671</v>
      </c>
      <c r="AU33" s="2">
        <v>92594</v>
      </c>
      <c r="AV33" s="2">
        <v>0</v>
      </c>
      <c r="AW33" s="2">
        <v>0</v>
      </c>
      <c r="AX33" s="2">
        <v>0</v>
      </c>
      <c r="AZ33" s="29">
        <f t="shared" si="0"/>
        <v>0</v>
      </c>
      <c r="BA33" s="131">
        <v>40000</v>
      </c>
      <c r="BD33" s="2" t="s">
        <v>455</v>
      </c>
      <c r="BF33" s="130"/>
    </row>
    <row r="34" spans="1:58" ht="15.75">
      <c r="A34" s="20" t="s">
        <v>486</v>
      </c>
      <c r="B34" s="20" t="s">
        <v>209</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144310</v>
      </c>
      <c r="V34" s="2">
        <v>0</v>
      </c>
      <c r="W34" s="2">
        <v>0</v>
      </c>
      <c r="X34" s="2">
        <v>0</v>
      </c>
      <c r="Y34" s="2">
        <v>0</v>
      </c>
      <c r="Z34" s="2">
        <v>0</v>
      </c>
      <c r="AA34" s="2">
        <v>0</v>
      </c>
      <c r="AB34" s="2">
        <v>0</v>
      </c>
      <c r="AC34" s="2">
        <v>0</v>
      </c>
      <c r="AD34" s="2">
        <v>0</v>
      </c>
      <c r="AE34" s="2">
        <v>0</v>
      </c>
      <c r="AF34" s="2">
        <v>144310</v>
      </c>
      <c r="AG34" s="2">
        <v>4089</v>
      </c>
      <c r="AH34" s="2">
        <v>0</v>
      </c>
      <c r="AI34" s="2">
        <v>0</v>
      </c>
      <c r="AJ34" s="2">
        <v>0</v>
      </c>
      <c r="AK34" s="2">
        <v>0</v>
      </c>
      <c r="AL34" s="2">
        <v>4000</v>
      </c>
      <c r="AM34" s="2">
        <v>0</v>
      </c>
      <c r="AN34" s="2">
        <v>0</v>
      </c>
      <c r="AO34" s="2">
        <v>29321</v>
      </c>
      <c r="AP34" s="2">
        <v>0</v>
      </c>
      <c r="AQ34" s="2">
        <v>0</v>
      </c>
      <c r="AR34" s="2">
        <v>14000</v>
      </c>
      <c r="AS34" s="2">
        <v>0</v>
      </c>
      <c r="AT34" s="2">
        <v>51410</v>
      </c>
      <c r="AU34" s="2">
        <v>8466</v>
      </c>
      <c r="AV34" s="2">
        <v>0</v>
      </c>
      <c r="AW34" s="2">
        <v>0</v>
      </c>
      <c r="AX34" s="2">
        <v>0</v>
      </c>
      <c r="AZ34" s="29">
        <f t="shared" si="0"/>
        <v>0</v>
      </c>
      <c r="BA34" s="131">
        <v>20000</v>
      </c>
      <c r="BD34" s="2" t="s">
        <v>486</v>
      </c>
      <c r="BF34" s="130"/>
    </row>
    <row r="35" spans="1:58" ht="15.75">
      <c r="A35" s="20" t="s">
        <v>431</v>
      </c>
      <c r="B35" s="20" t="s">
        <v>154</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363185</v>
      </c>
      <c r="V35" s="2">
        <v>0</v>
      </c>
      <c r="W35" s="2">
        <v>0</v>
      </c>
      <c r="X35" s="2">
        <v>0</v>
      </c>
      <c r="Y35" s="2">
        <v>0</v>
      </c>
      <c r="Z35" s="2">
        <v>0</v>
      </c>
      <c r="AA35" s="2">
        <v>0</v>
      </c>
      <c r="AB35" s="2">
        <v>0</v>
      </c>
      <c r="AC35" s="2">
        <v>0</v>
      </c>
      <c r="AD35" s="2">
        <v>0</v>
      </c>
      <c r="AE35" s="2">
        <v>0</v>
      </c>
      <c r="AF35" s="2">
        <v>363185</v>
      </c>
      <c r="AG35" s="2">
        <v>139660</v>
      </c>
      <c r="AH35" s="2">
        <v>27000</v>
      </c>
      <c r="AI35" s="2">
        <v>0</v>
      </c>
      <c r="AJ35" s="2">
        <v>0</v>
      </c>
      <c r="AK35" s="2">
        <v>0</v>
      </c>
      <c r="AL35" s="2">
        <v>10000</v>
      </c>
      <c r="AM35" s="2">
        <v>0</v>
      </c>
      <c r="AN35" s="2">
        <v>0</v>
      </c>
      <c r="AO35" s="2">
        <v>0</v>
      </c>
      <c r="AP35" s="2">
        <v>0</v>
      </c>
      <c r="AQ35" s="2">
        <v>0</v>
      </c>
      <c r="AR35" s="2">
        <v>0</v>
      </c>
      <c r="AS35" s="2">
        <v>253</v>
      </c>
      <c r="AT35" s="2">
        <v>176913</v>
      </c>
      <c r="AU35" s="2">
        <v>10760</v>
      </c>
      <c r="AV35" s="2">
        <v>0</v>
      </c>
      <c r="AW35" s="2">
        <v>0</v>
      </c>
      <c r="AX35" s="2">
        <v>0</v>
      </c>
      <c r="AZ35" s="29">
        <f t="shared" si="0"/>
        <v>0</v>
      </c>
      <c r="BA35" s="131">
        <v>20000</v>
      </c>
      <c r="BD35" s="2" t="s">
        <v>431</v>
      </c>
      <c r="BF35" s="130"/>
    </row>
    <row r="36" spans="1:58" ht="15.75">
      <c r="A36" s="20" t="s">
        <v>466</v>
      </c>
      <c r="B36" s="20" t="s">
        <v>560</v>
      </c>
      <c r="D36" s="2">
        <v>0</v>
      </c>
      <c r="E36" s="2">
        <v>0</v>
      </c>
      <c r="F36" s="2">
        <v>0</v>
      </c>
      <c r="G36" s="2">
        <v>0</v>
      </c>
      <c r="H36" s="2">
        <v>878</v>
      </c>
      <c r="I36" s="2">
        <v>878</v>
      </c>
      <c r="J36" s="2">
        <v>0</v>
      </c>
      <c r="K36" s="2">
        <v>0</v>
      </c>
      <c r="L36" s="2">
        <v>36</v>
      </c>
      <c r="M36" s="2">
        <v>12</v>
      </c>
      <c r="N36" s="2">
        <v>0</v>
      </c>
      <c r="O36" s="2">
        <v>0</v>
      </c>
      <c r="P36" s="2">
        <v>0</v>
      </c>
      <c r="Q36" s="2">
        <v>14</v>
      </c>
      <c r="R36" s="2">
        <v>0</v>
      </c>
      <c r="S36" s="2">
        <v>0</v>
      </c>
      <c r="T36" s="2">
        <v>62</v>
      </c>
      <c r="U36" s="2">
        <v>443068</v>
      </c>
      <c r="V36" s="2">
        <v>64000</v>
      </c>
      <c r="W36" s="2">
        <v>0</v>
      </c>
      <c r="X36" s="2">
        <v>0</v>
      </c>
      <c r="Y36" s="2">
        <v>0</v>
      </c>
      <c r="Z36" s="2">
        <v>0</v>
      </c>
      <c r="AA36" s="2">
        <v>0</v>
      </c>
      <c r="AB36" s="2">
        <v>47000</v>
      </c>
      <c r="AC36" s="2">
        <v>0</v>
      </c>
      <c r="AD36" s="2">
        <v>0</v>
      </c>
      <c r="AE36" s="2">
        <v>0</v>
      </c>
      <c r="AF36" s="2">
        <v>554068</v>
      </c>
      <c r="AG36" s="2">
        <v>26810</v>
      </c>
      <c r="AH36" s="2">
        <v>15000</v>
      </c>
      <c r="AI36" s="2">
        <v>0</v>
      </c>
      <c r="AJ36" s="2">
        <v>0</v>
      </c>
      <c r="AK36" s="2">
        <v>0</v>
      </c>
      <c r="AL36" s="2">
        <v>0</v>
      </c>
      <c r="AM36" s="2">
        <v>0</v>
      </c>
      <c r="AN36" s="2">
        <v>0</v>
      </c>
      <c r="AO36" s="2">
        <v>0</v>
      </c>
      <c r="AP36" s="2">
        <v>0</v>
      </c>
      <c r="AQ36" s="2">
        <v>0</v>
      </c>
      <c r="AR36" s="2">
        <v>51000</v>
      </c>
      <c r="AS36" s="2">
        <v>0</v>
      </c>
      <c r="AT36" s="2">
        <v>92810</v>
      </c>
      <c r="AU36" s="2">
        <v>46100</v>
      </c>
      <c r="AV36" s="2">
        <v>0</v>
      </c>
      <c r="AW36" s="2">
        <v>0</v>
      </c>
      <c r="AX36" s="2">
        <v>0</v>
      </c>
      <c r="AZ36" s="29">
        <f t="shared" si="0"/>
        <v>0</v>
      </c>
      <c r="BA36" s="131">
        <v>30000</v>
      </c>
      <c r="BD36" s="2" t="s">
        <v>466</v>
      </c>
      <c r="BF36" s="130"/>
    </row>
    <row r="37" spans="1:58" ht="15.75">
      <c r="A37" s="20" t="s">
        <v>481</v>
      </c>
      <c r="B37" s="20" t="s">
        <v>561</v>
      </c>
      <c r="D37" s="2">
        <v>0</v>
      </c>
      <c r="E37" s="2">
        <v>0</v>
      </c>
      <c r="F37" s="2">
        <v>0</v>
      </c>
      <c r="G37" s="2">
        <v>0</v>
      </c>
      <c r="H37" s="2">
        <v>0</v>
      </c>
      <c r="I37" s="2">
        <v>0</v>
      </c>
      <c r="J37" s="2">
        <v>0</v>
      </c>
      <c r="K37" s="2">
        <v>0</v>
      </c>
      <c r="L37" s="2">
        <v>0</v>
      </c>
      <c r="M37" s="2">
        <v>0</v>
      </c>
      <c r="N37" s="2">
        <v>54</v>
      </c>
      <c r="O37" s="2">
        <v>0</v>
      </c>
      <c r="P37" s="2">
        <v>20000</v>
      </c>
      <c r="Q37" s="2">
        <v>0</v>
      </c>
      <c r="R37" s="2">
        <v>0</v>
      </c>
      <c r="S37" s="2">
        <v>0</v>
      </c>
      <c r="T37" s="2">
        <v>20054</v>
      </c>
      <c r="U37" s="2">
        <v>60524</v>
      </c>
      <c r="V37" s="2">
        <v>101800</v>
      </c>
      <c r="W37" s="2">
        <v>0</v>
      </c>
      <c r="X37" s="2">
        <v>0</v>
      </c>
      <c r="Y37" s="2">
        <v>0</v>
      </c>
      <c r="Z37" s="2">
        <v>0</v>
      </c>
      <c r="AA37" s="2">
        <v>0</v>
      </c>
      <c r="AB37" s="2">
        <v>0</v>
      </c>
      <c r="AC37" s="2">
        <v>0</v>
      </c>
      <c r="AD37" s="2">
        <v>0</v>
      </c>
      <c r="AE37" s="2">
        <v>0</v>
      </c>
      <c r="AF37" s="2">
        <v>162324</v>
      </c>
      <c r="AG37" s="2">
        <v>20254</v>
      </c>
      <c r="AH37" s="2">
        <v>0</v>
      </c>
      <c r="AI37" s="2">
        <v>0</v>
      </c>
      <c r="AJ37" s="2">
        <v>0</v>
      </c>
      <c r="AK37" s="2">
        <v>0</v>
      </c>
      <c r="AL37" s="2">
        <v>0</v>
      </c>
      <c r="AM37" s="2">
        <v>0</v>
      </c>
      <c r="AN37" s="2">
        <v>0</v>
      </c>
      <c r="AO37" s="2">
        <v>0</v>
      </c>
      <c r="AP37" s="2">
        <v>0</v>
      </c>
      <c r="AQ37" s="2">
        <v>0</v>
      </c>
      <c r="AR37" s="2">
        <v>19475</v>
      </c>
      <c r="AS37" s="2">
        <v>0</v>
      </c>
      <c r="AT37" s="2">
        <v>39729</v>
      </c>
      <c r="AU37" s="2">
        <v>3000</v>
      </c>
      <c r="AV37" s="2">
        <v>0</v>
      </c>
      <c r="AW37" s="2">
        <v>0</v>
      </c>
      <c r="AX37" s="2">
        <v>0</v>
      </c>
      <c r="AZ37" s="29">
        <f t="shared" si="0"/>
        <v>0</v>
      </c>
      <c r="BA37" s="131">
        <v>20000</v>
      </c>
      <c r="BD37" s="2" t="s">
        <v>481</v>
      </c>
      <c r="BF37" s="130"/>
    </row>
    <row r="38" spans="1:58" ht="15.75">
      <c r="A38" s="20" t="s">
        <v>464</v>
      </c>
      <c r="B38" s="20" t="s">
        <v>562</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536279.5197222</v>
      </c>
      <c r="V38" s="2">
        <v>421800</v>
      </c>
      <c r="W38" s="2">
        <v>0</v>
      </c>
      <c r="X38" s="2">
        <v>1500</v>
      </c>
      <c r="Y38" s="2">
        <v>0</v>
      </c>
      <c r="Z38" s="2">
        <v>0</v>
      </c>
      <c r="AA38" s="2">
        <v>0</v>
      </c>
      <c r="AB38" s="2">
        <v>0</v>
      </c>
      <c r="AC38" s="2">
        <v>0</v>
      </c>
      <c r="AD38" s="2">
        <v>20000</v>
      </c>
      <c r="AE38" s="2">
        <v>0</v>
      </c>
      <c r="AF38" s="2">
        <v>979579.5197222</v>
      </c>
      <c r="AG38" s="2">
        <v>78325.33245</v>
      </c>
      <c r="AH38" s="2">
        <v>35000</v>
      </c>
      <c r="AI38" s="2">
        <v>0</v>
      </c>
      <c r="AJ38" s="2">
        <v>59205</v>
      </c>
      <c r="AK38" s="2">
        <v>0</v>
      </c>
      <c r="AL38" s="2">
        <v>5000</v>
      </c>
      <c r="AM38" s="2">
        <v>0</v>
      </c>
      <c r="AN38" s="2">
        <v>0</v>
      </c>
      <c r="AO38" s="2">
        <v>102973.86227760003</v>
      </c>
      <c r="AP38" s="2">
        <v>0</v>
      </c>
      <c r="AQ38" s="2">
        <v>0</v>
      </c>
      <c r="AR38" s="2">
        <v>0</v>
      </c>
      <c r="AS38" s="2">
        <v>2135.74059</v>
      </c>
      <c r="AT38" s="2">
        <v>282639.93531760003</v>
      </c>
      <c r="AU38" s="2">
        <v>19077.978730000003</v>
      </c>
      <c r="AV38" s="2">
        <v>30000</v>
      </c>
      <c r="AW38" s="2">
        <v>0</v>
      </c>
      <c r="AX38" s="2">
        <v>0</v>
      </c>
      <c r="AZ38" s="29">
        <f t="shared" si="0"/>
        <v>600</v>
      </c>
      <c r="BA38" s="131">
        <v>50000</v>
      </c>
      <c r="BD38" s="2" t="s">
        <v>464</v>
      </c>
      <c r="BF38" s="130"/>
    </row>
    <row r="39" spans="1:58" ht="15.75">
      <c r="A39" s="20" t="s">
        <v>508</v>
      </c>
      <c r="B39" s="20" t="s">
        <v>231</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20034</v>
      </c>
      <c r="AH39" s="2">
        <v>10000</v>
      </c>
      <c r="AI39" s="2">
        <v>0</v>
      </c>
      <c r="AJ39" s="2">
        <v>0</v>
      </c>
      <c r="AK39" s="2">
        <v>0</v>
      </c>
      <c r="AL39" s="2">
        <v>0</v>
      </c>
      <c r="AM39" s="2">
        <v>0</v>
      </c>
      <c r="AN39" s="2">
        <v>0</v>
      </c>
      <c r="AO39" s="2">
        <v>0</v>
      </c>
      <c r="AP39" s="2">
        <v>0</v>
      </c>
      <c r="AQ39" s="2">
        <v>250</v>
      </c>
      <c r="AR39" s="2">
        <v>1000</v>
      </c>
      <c r="AS39" s="2">
        <v>0</v>
      </c>
      <c r="AT39" s="2">
        <v>31284</v>
      </c>
      <c r="AU39" s="2">
        <v>8000</v>
      </c>
      <c r="AV39" s="2">
        <v>0</v>
      </c>
      <c r="AW39" s="2">
        <v>0</v>
      </c>
      <c r="AX39" s="2">
        <v>0</v>
      </c>
      <c r="AZ39" s="29">
        <f t="shared" si="0"/>
        <v>0</v>
      </c>
      <c r="BA39" s="131">
        <v>20000</v>
      </c>
      <c r="BD39" s="2" t="s">
        <v>508</v>
      </c>
      <c r="BF39" s="130"/>
    </row>
    <row r="40" spans="1:58" ht="15.75">
      <c r="A40" s="20" t="s">
        <v>510</v>
      </c>
      <c r="B40" s="20" t="s">
        <v>233</v>
      </c>
      <c r="D40" s="2">
        <v>0</v>
      </c>
      <c r="E40" s="2">
        <v>0</v>
      </c>
      <c r="F40" s="2">
        <v>0</v>
      </c>
      <c r="G40" s="2">
        <v>0</v>
      </c>
      <c r="H40" s="2">
        <v>0</v>
      </c>
      <c r="I40" s="2">
        <v>0</v>
      </c>
      <c r="J40" s="2">
        <v>0</v>
      </c>
      <c r="K40" s="2">
        <v>0</v>
      </c>
      <c r="L40" s="2">
        <v>0</v>
      </c>
      <c r="M40" s="2">
        <v>0</v>
      </c>
      <c r="N40" s="2">
        <v>0</v>
      </c>
      <c r="O40" s="2">
        <v>0</v>
      </c>
      <c r="P40" s="2">
        <v>550</v>
      </c>
      <c r="Q40" s="2">
        <v>0</v>
      </c>
      <c r="R40" s="2">
        <v>0</v>
      </c>
      <c r="S40" s="2">
        <v>0</v>
      </c>
      <c r="T40" s="2">
        <v>550</v>
      </c>
      <c r="U40" s="2">
        <v>59004</v>
      </c>
      <c r="V40" s="2">
        <v>0</v>
      </c>
      <c r="W40" s="2">
        <v>0</v>
      </c>
      <c r="X40" s="2">
        <v>0</v>
      </c>
      <c r="Y40" s="2">
        <v>0</v>
      </c>
      <c r="Z40" s="2">
        <v>0</v>
      </c>
      <c r="AA40" s="2">
        <v>0</v>
      </c>
      <c r="AB40" s="2">
        <v>500</v>
      </c>
      <c r="AC40" s="2">
        <v>0</v>
      </c>
      <c r="AD40" s="2">
        <v>0</v>
      </c>
      <c r="AE40" s="2">
        <v>0</v>
      </c>
      <c r="AF40" s="2">
        <v>59504</v>
      </c>
      <c r="AG40" s="2">
        <v>5518</v>
      </c>
      <c r="AH40" s="2">
        <v>0</v>
      </c>
      <c r="AI40" s="2">
        <v>0</v>
      </c>
      <c r="AJ40" s="2">
        <v>0</v>
      </c>
      <c r="AK40" s="2">
        <v>0</v>
      </c>
      <c r="AL40" s="2">
        <v>3002</v>
      </c>
      <c r="AM40" s="2">
        <v>0</v>
      </c>
      <c r="AN40" s="2">
        <v>0</v>
      </c>
      <c r="AO40" s="2">
        <v>7000</v>
      </c>
      <c r="AP40" s="2">
        <v>0</v>
      </c>
      <c r="AQ40" s="2">
        <v>0</v>
      </c>
      <c r="AR40" s="2">
        <v>13000</v>
      </c>
      <c r="AS40" s="2">
        <v>0</v>
      </c>
      <c r="AT40" s="2">
        <v>28520</v>
      </c>
      <c r="AU40" s="2">
        <v>9703</v>
      </c>
      <c r="AV40" s="2">
        <v>0</v>
      </c>
      <c r="AW40" s="2">
        <v>0</v>
      </c>
      <c r="AX40" s="2">
        <v>0</v>
      </c>
      <c r="AZ40" s="29">
        <f t="shared" si="0"/>
        <v>0</v>
      </c>
      <c r="BA40" s="131">
        <v>20000</v>
      </c>
      <c r="BD40" s="2" t="s">
        <v>510</v>
      </c>
      <c r="BF40" s="130"/>
    </row>
    <row r="41" spans="1:58" ht="15.75">
      <c r="A41" s="20" t="s">
        <v>528</v>
      </c>
      <c r="B41" s="20" t="s">
        <v>251</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9066</v>
      </c>
      <c r="AH41" s="2">
        <v>3000</v>
      </c>
      <c r="AI41" s="2">
        <v>0</v>
      </c>
      <c r="AJ41" s="2">
        <v>0</v>
      </c>
      <c r="AK41" s="2">
        <v>8990</v>
      </c>
      <c r="AL41" s="2">
        <v>0</v>
      </c>
      <c r="AM41" s="2">
        <v>0</v>
      </c>
      <c r="AN41" s="2">
        <v>0</v>
      </c>
      <c r="AO41" s="2">
        <v>2000</v>
      </c>
      <c r="AP41" s="2">
        <v>0</v>
      </c>
      <c r="AQ41" s="2">
        <v>0</v>
      </c>
      <c r="AR41" s="2">
        <v>0</v>
      </c>
      <c r="AS41" s="2">
        <v>0</v>
      </c>
      <c r="AT41" s="2">
        <v>23056</v>
      </c>
      <c r="AU41" s="2">
        <v>7800</v>
      </c>
      <c r="AV41" s="2">
        <v>0</v>
      </c>
      <c r="AW41" s="2">
        <v>0</v>
      </c>
      <c r="AX41" s="2">
        <v>0</v>
      </c>
      <c r="AZ41" s="29">
        <f t="shared" si="0"/>
        <v>0</v>
      </c>
      <c r="BA41" s="131">
        <v>20000</v>
      </c>
      <c r="BD41" s="2" t="s">
        <v>528</v>
      </c>
      <c r="BF41" s="130"/>
    </row>
    <row r="42" spans="1:58" ht="15.75">
      <c r="A42" s="20" t="s">
        <v>468</v>
      </c>
      <c r="B42" s="20" t="s">
        <v>563</v>
      </c>
      <c r="D42" s="2">
        <v>0</v>
      </c>
      <c r="E42" s="2">
        <v>0</v>
      </c>
      <c r="F42" s="2">
        <v>0</v>
      </c>
      <c r="G42" s="2">
        <v>0</v>
      </c>
      <c r="H42" s="2">
        <v>0</v>
      </c>
      <c r="I42" s="2">
        <v>0</v>
      </c>
      <c r="J42" s="2">
        <v>0</v>
      </c>
      <c r="K42" s="2">
        <v>0</v>
      </c>
      <c r="L42" s="2">
        <v>0</v>
      </c>
      <c r="M42" s="2">
        <v>0</v>
      </c>
      <c r="N42" s="2">
        <v>0</v>
      </c>
      <c r="O42" s="2">
        <v>0</v>
      </c>
      <c r="P42" s="2">
        <v>396347</v>
      </c>
      <c r="Q42" s="2">
        <v>1399</v>
      </c>
      <c r="R42" s="2">
        <v>0</v>
      </c>
      <c r="S42" s="2">
        <v>0</v>
      </c>
      <c r="T42" s="2">
        <v>397746</v>
      </c>
      <c r="U42" s="2">
        <v>338850</v>
      </c>
      <c r="V42" s="2">
        <v>51782.7013342255</v>
      </c>
      <c r="W42" s="2">
        <v>0</v>
      </c>
      <c r="X42" s="2">
        <v>0</v>
      </c>
      <c r="Y42" s="2">
        <v>0</v>
      </c>
      <c r="Z42" s="2">
        <v>0</v>
      </c>
      <c r="AA42" s="2">
        <v>0</v>
      </c>
      <c r="AB42" s="2">
        <v>192500</v>
      </c>
      <c r="AC42" s="2">
        <v>0</v>
      </c>
      <c r="AD42" s="2">
        <v>0</v>
      </c>
      <c r="AE42" s="2">
        <v>0</v>
      </c>
      <c r="AF42" s="2">
        <v>583132.7013342255</v>
      </c>
      <c r="AG42" s="2">
        <v>445</v>
      </c>
      <c r="AH42" s="2">
        <v>0</v>
      </c>
      <c r="AI42" s="2">
        <v>0</v>
      </c>
      <c r="AJ42" s="2">
        <v>67410</v>
      </c>
      <c r="AK42" s="2">
        <v>0</v>
      </c>
      <c r="AL42" s="2">
        <v>0</v>
      </c>
      <c r="AM42" s="2">
        <v>0</v>
      </c>
      <c r="AN42" s="2">
        <v>0</v>
      </c>
      <c r="AO42" s="2">
        <v>440074</v>
      </c>
      <c r="AP42" s="2">
        <v>0</v>
      </c>
      <c r="AQ42" s="2">
        <v>0</v>
      </c>
      <c r="AR42" s="2">
        <v>56500</v>
      </c>
      <c r="AS42" s="2">
        <v>0</v>
      </c>
      <c r="AT42" s="2">
        <v>564429</v>
      </c>
      <c r="AU42" s="2">
        <v>0</v>
      </c>
      <c r="AV42" s="2">
        <v>30050</v>
      </c>
      <c r="AW42" s="2">
        <v>0</v>
      </c>
      <c r="AX42" s="2">
        <v>0</v>
      </c>
      <c r="AZ42" s="29">
        <f t="shared" si="0"/>
        <v>601</v>
      </c>
      <c r="BA42" s="131">
        <v>40000</v>
      </c>
      <c r="BD42" s="2" t="s">
        <v>468</v>
      </c>
      <c r="BF42" s="130"/>
    </row>
    <row r="43" spans="1:58" ht="15.75">
      <c r="A43" s="20" t="s">
        <v>552</v>
      </c>
      <c r="B43" s="20" t="s">
        <v>273</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1552</v>
      </c>
      <c r="V43" s="2">
        <v>0</v>
      </c>
      <c r="W43" s="2">
        <v>0</v>
      </c>
      <c r="X43" s="2">
        <v>0</v>
      </c>
      <c r="Y43" s="2">
        <v>0</v>
      </c>
      <c r="Z43" s="2">
        <v>0</v>
      </c>
      <c r="AA43" s="2">
        <v>0</v>
      </c>
      <c r="AB43" s="2">
        <v>0</v>
      </c>
      <c r="AC43" s="2">
        <v>0</v>
      </c>
      <c r="AD43" s="2">
        <v>0</v>
      </c>
      <c r="AE43" s="2">
        <v>0</v>
      </c>
      <c r="AF43" s="2">
        <v>1552</v>
      </c>
      <c r="AG43" s="2">
        <v>11860</v>
      </c>
      <c r="AH43" s="2">
        <v>0</v>
      </c>
      <c r="AI43" s="2">
        <v>0</v>
      </c>
      <c r="AJ43" s="2">
        <v>0</v>
      </c>
      <c r="AK43" s="2">
        <v>0</v>
      </c>
      <c r="AL43" s="2">
        <v>0</v>
      </c>
      <c r="AM43" s="2">
        <v>0</v>
      </c>
      <c r="AN43" s="2">
        <v>0</v>
      </c>
      <c r="AO43" s="2">
        <v>0</v>
      </c>
      <c r="AP43" s="2">
        <v>0</v>
      </c>
      <c r="AQ43" s="2">
        <v>0</v>
      </c>
      <c r="AR43" s="2">
        <v>0</v>
      </c>
      <c r="AS43" s="2">
        <v>0</v>
      </c>
      <c r="AT43" s="2">
        <v>11860</v>
      </c>
      <c r="AU43" s="2">
        <v>6000</v>
      </c>
      <c r="AV43" s="2">
        <v>0</v>
      </c>
      <c r="AW43" s="2">
        <v>0</v>
      </c>
      <c r="AX43" s="2">
        <v>0</v>
      </c>
      <c r="AZ43" s="29">
        <f t="shared" si="0"/>
        <v>0</v>
      </c>
      <c r="BA43" s="131">
        <v>20000</v>
      </c>
      <c r="BD43" s="2" t="s">
        <v>552</v>
      </c>
      <c r="BF43" s="130"/>
    </row>
    <row r="44" spans="1:58" ht="15.75">
      <c r="A44" s="20" t="s">
        <v>470</v>
      </c>
      <c r="B44" s="20" t="s">
        <v>564</v>
      </c>
      <c r="D44" s="2">
        <v>0</v>
      </c>
      <c r="E44" s="2">
        <v>0</v>
      </c>
      <c r="F44" s="2">
        <v>0</v>
      </c>
      <c r="G44" s="2">
        <v>0</v>
      </c>
      <c r="H44" s="2">
        <v>8568</v>
      </c>
      <c r="I44" s="2">
        <v>8568</v>
      </c>
      <c r="J44" s="2">
        <v>0</v>
      </c>
      <c r="K44" s="2">
        <v>0</v>
      </c>
      <c r="L44" s="2">
        <v>0</v>
      </c>
      <c r="M44" s="2">
        <v>0</v>
      </c>
      <c r="N44" s="2">
        <v>0</v>
      </c>
      <c r="O44" s="2">
        <v>0</v>
      </c>
      <c r="P44" s="2">
        <v>0</v>
      </c>
      <c r="Q44" s="2">
        <v>45</v>
      </c>
      <c r="R44" s="2">
        <v>0</v>
      </c>
      <c r="S44" s="2">
        <v>0</v>
      </c>
      <c r="T44" s="2">
        <v>45</v>
      </c>
      <c r="U44" s="2">
        <v>134490</v>
      </c>
      <c r="V44" s="2">
        <v>96300</v>
      </c>
      <c r="W44" s="2">
        <v>0</v>
      </c>
      <c r="X44" s="2">
        <v>0</v>
      </c>
      <c r="Y44" s="2">
        <v>0</v>
      </c>
      <c r="Z44" s="2">
        <v>0</v>
      </c>
      <c r="AA44" s="2">
        <v>0</v>
      </c>
      <c r="AB44" s="2">
        <v>0</v>
      </c>
      <c r="AC44" s="2">
        <v>0</v>
      </c>
      <c r="AD44" s="2">
        <v>0</v>
      </c>
      <c r="AE44" s="2">
        <v>0</v>
      </c>
      <c r="AF44" s="2">
        <v>230790</v>
      </c>
      <c r="AG44" s="2">
        <v>57885</v>
      </c>
      <c r="AH44" s="2">
        <v>29000</v>
      </c>
      <c r="AI44" s="2">
        <v>0</v>
      </c>
      <c r="AJ44" s="2">
        <v>0</v>
      </c>
      <c r="AK44" s="2">
        <v>0</v>
      </c>
      <c r="AL44" s="2">
        <v>0</v>
      </c>
      <c r="AM44" s="2">
        <v>0</v>
      </c>
      <c r="AN44" s="2">
        <v>0</v>
      </c>
      <c r="AO44" s="2">
        <v>0</v>
      </c>
      <c r="AP44" s="2">
        <v>0</v>
      </c>
      <c r="AQ44" s="2">
        <v>0</v>
      </c>
      <c r="AR44" s="2">
        <v>100000</v>
      </c>
      <c r="AS44" s="2">
        <v>0</v>
      </c>
      <c r="AT44" s="2">
        <v>186885</v>
      </c>
      <c r="AU44" s="2">
        <v>13000</v>
      </c>
      <c r="AV44" s="2">
        <v>0</v>
      </c>
      <c r="AW44" s="2">
        <v>0</v>
      </c>
      <c r="AX44" s="2">
        <v>0</v>
      </c>
      <c r="AZ44" s="29">
        <f t="shared" si="0"/>
        <v>0</v>
      </c>
      <c r="BA44" s="131">
        <v>20000</v>
      </c>
      <c r="BD44" s="2" t="s">
        <v>470</v>
      </c>
      <c r="BF44" s="130"/>
    </row>
    <row r="45" spans="1:58" ht="15.75">
      <c r="A45" s="20" t="s">
        <v>471</v>
      </c>
      <c r="B45" s="20" t="s">
        <v>194</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169600</v>
      </c>
      <c r="V45" s="2">
        <v>105500</v>
      </c>
      <c r="W45" s="2">
        <v>0</v>
      </c>
      <c r="X45" s="2">
        <v>0</v>
      </c>
      <c r="Y45" s="2">
        <v>0</v>
      </c>
      <c r="Z45" s="2">
        <v>0</v>
      </c>
      <c r="AA45" s="2">
        <v>0</v>
      </c>
      <c r="AB45" s="2">
        <v>0</v>
      </c>
      <c r="AC45" s="2">
        <v>0</v>
      </c>
      <c r="AD45" s="2">
        <v>0</v>
      </c>
      <c r="AE45" s="2">
        <v>0</v>
      </c>
      <c r="AF45" s="2">
        <v>275100</v>
      </c>
      <c r="AG45" s="2">
        <v>72400</v>
      </c>
      <c r="AH45" s="2">
        <v>20000</v>
      </c>
      <c r="AI45" s="2">
        <v>0</v>
      </c>
      <c r="AJ45" s="2">
        <v>55000</v>
      </c>
      <c r="AK45" s="2">
        <v>0</v>
      </c>
      <c r="AL45" s="2">
        <v>0</v>
      </c>
      <c r="AM45" s="2">
        <v>0</v>
      </c>
      <c r="AN45" s="2">
        <v>0</v>
      </c>
      <c r="AO45" s="2">
        <v>0</v>
      </c>
      <c r="AP45" s="2">
        <v>0</v>
      </c>
      <c r="AQ45" s="2">
        <v>0</v>
      </c>
      <c r="AR45" s="2">
        <v>0</v>
      </c>
      <c r="AS45" s="2">
        <v>0</v>
      </c>
      <c r="AT45" s="2">
        <v>147400</v>
      </c>
      <c r="AU45" s="2">
        <v>15000</v>
      </c>
      <c r="AV45" s="2">
        <v>0</v>
      </c>
      <c r="AW45" s="2">
        <v>0</v>
      </c>
      <c r="AX45" s="2">
        <v>0</v>
      </c>
      <c r="AZ45" s="29">
        <f t="shared" si="0"/>
        <v>0</v>
      </c>
      <c r="BA45" s="131">
        <v>30000</v>
      </c>
      <c r="BD45" s="2" t="s">
        <v>471</v>
      </c>
      <c r="BF45" s="130"/>
    </row>
    <row r="46" spans="1:58" ht="15.75">
      <c r="A46" s="20" t="s">
        <v>400</v>
      </c>
      <c r="B46" s="20" t="s">
        <v>123</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3441</v>
      </c>
      <c r="V46" s="2">
        <v>0</v>
      </c>
      <c r="W46" s="2">
        <v>0</v>
      </c>
      <c r="X46" s="2">
        <v>0</v>
      </c>
      <c r="Y46" s="2">
        <v>0</v>
      </c>
      <c r="Z46" s="2">
        <v>0</v>
      </c>
      <c r="AA46" s="2">
        <v>0</v>
      </c>
      <c r="AB46" s="2">
        <v>0</v>
      </c>
      <c r="AC46" s="2">
        <v>0</v>
      </c>
      <c r="AD46" s="2">
        <v>0</v>
      </c>
      <c r="AE46" s="2">
        <v>0</v>
      </c>
      <c r="AF46" s="2">
        <v>3441</v>
      </c>
      <c r="AG46" s="2">
        <v>10318</v>
      </c>
      <c r="AH46" s="2">
        <v>0</v>
      </c>
      <c r="AI46" s="2">
        <v>0</v>
      </c>
      <c r="AJ46" s="2">
        <v>0</v>
      </c>
      <c r="AK46" s="2">
        <v>0</v>
      </c>
      <c r="AL46" s="2">
        <v>0</v>
      </c>
      <c r="AM46" s="2">
        <v>0</v>
      </c>
      <c r="AN46" s="2">
        <v>0</v>
      </c>
      <c r="AO46" s="2">
        <v>0</v>
      </c>
      <c r="AP46" s="2">
        <v>0</v>
      </c>
      <c r="AQ46" s="2">
        <v>0</v>
      </c>
      <c r="AR46" s="2">
        <v>0</v>
      </c>
      <c r="AS46" s="2">
        <v>0</v>
      </c>
      <c r="AT46" s="2">
        <v>10318</v>
      </c>
      <c r="AU46" s="2">
        <v>9200</v>
      </c>
      <c r="AV46" s="2">
        <v>0</v>
      </c>
      <c r="AW46" s="2">
        <v>0</v>
      </c>
      <c r="AX46" s="2">
        <v>0</v>
      </c>
      <c r="AZ46" s="29">
        <f t="shared" si="0"/>
        <v>0</v>
      </c>
      <c r="BA46" s="131">
        <v>20000</v>
      </c>
      <c r="BD46" s="2" t="s">
        <v>400</v>
      </c>
      <c r="BF46" s="130"/>
    </row>
    <row r="47" spans="1:58" ht="15.75">
      <c r="A47" s="20" t="s">
        <v>474</v>
      </c>
      <c r="B47" s="20" t="s">
        <v>197</v>
      </c>
      <c r="D47" s="2">
        <v>0</v>
      </c>
      <c r="E47" s="2">
        <v>0</v>
      </c>
      <c r="F47" s="2">
        <v>0</v>
      </c>
      <c r="G47" s="2">
        <v>0</v>
      </c>
      <c r="H47" s="2">
        <v>561</v>
      </c>
      <c r="I47" s="2">
        <v>561</v>
      </c>
      <c r="J47" s="2">
        <v>0</v>
      </c>
      <c r="K47" s="2">
        <v>0</v>
      </c>
      <c r="L47" s="2">
        <v>0</v>
      </c>
      <c r="M47" s="2">
        <v>0</v>
      </c>
      <c r="N47" s="2">
        <v>0</v>
      </c>
      <c r="O47" s="2">
        <v>0</v>
      </c>
      <c r="P47" s="2">
        <v>0</v>
      </c>
      <c r="Q47" s="2">
        <v>0</v>
      </c>
      <c r="R47" s="2">
        <v>0</v>
      </c>
      <c r="S47" s="2">
        <v>0</v>
      </c>
      <c r="T47" s="2">
        <v>0</v>
      </c>
      <c r="U47" s="2">
        <v>58793</v>
      </c>
      <c r="V47" s="2">
        <v>14500</v>
      </c>
      <c r="W47" s="2">
        <v>0</v>
      </c>
      <c r="X47" s="2">
        <v>0</v>
      </c>
      <c r="Y47" s="2">
        <v>0</v>
      </c>
      <c r="Z47" s="2">
        <v>0</v>
      </c>
      <c r="AA47" s="2">
        <v>0</v>
      </c>
      <c r="AB47" s="2">
        <v>0</v>
      </c>
      <c r="AC47" s="2">
        <v>0</v>
      </c>
      <c r="AD47" s="2">
        <v>1500</v>
      </c>
      <c r="AE47" s="2">
        <v>0</v>
      </c>
      <c r="AF47" s="2">
        <v>74793</v>
      </c>
      <c r="AG47" s="2">
        <v>8095</v>
      </c>
      <c r="AH47" s="2">
        <v>4000</v>
      </c>
      <c r="AI47" s="2">
        <v>0</v>
      </c>
      <c r="AJ47" s="2">
        <v>0</v>
      </c>
      <c r="AK47" s="2">
        <v>0</v>
      </c>
      <c r="AL47" s="2">
        <v>0</v>
      </c>
      <c r="AM47" s="2">
        <v>0</v>
      </c>
      <c r="AN47" s="2">
        <v>0</v>
      </c>
      <c r="AO47" s="2">
        <v>0</v>
      </c>
      <c r="AP47" s="2">
        <v>0</v>
      </c>
      <c r="AQ47" s="2">
        <v>0</v>
      </c>
      <c r="AR47" s="2">
        <v>4000</v>
      </c>
      <c r="AS47" s="2">
        <v>0</v>
      </c>
      <c r="AT47" s="2">
        <v>16095</v>
      </c>
      <c r="AU47" s="2">
        <v>11605</v>
      </c>
      <c r="AV47" s="2">
        <v>0</v>
      </c>
      <c r="AW47" s="2">
        <v>0</v>
      </c>
      <c r="AX47" s="2">
        <v>0</v>
      </c>
      <c r="AZ47" s="29">
        <f t="shared" si="0"/>
        <v>0</v>
      </c>
      <c r="BA47" s="131">
        <v>20000</v>
      </c>
      <c r="BD47" s="2" t="s">
        <v>474</v>
      </c>
      <c r="BF47" s="130"/>
    </row>
    <row r="48" spans="1:58" ht="15.75">
      <c r="A48" s="20" t="s">
        <v>489</v>
      </c>
      <c r="B48" s="20" t="s">
        <v>212</v>
      </c>
      <c r="D48" s="2">
        <v>0</v>
      </c>
      <c r="E48" s="2">
        <v>0</v>
      </c>
      <c r="F48" s="2">
        <v>0</v>
      </c>
      <c r="G48" s="2">
        <v>0</v>
      </c>
      <c r="H48" s="2">
        <v>0</v>
      </c>
      <c r="I48" s="2">
        <v>0</v>
      </c>
      <c r="J48" s="2">
        <v>0</v>
      </c>
      <c r="K48" s="2">
        <v>0</v>
      </c>
      <c r="L48" s="2">
        <v>1693</v>
      </c>
      <c r="M48" s="2">
        <v>5658</v>
      </c>
      <c r="N48" s="2">
        <v>284</v>
      </c>
      <c r="O48" s="2">
        <v>0</v>
      </c>
      <c r="P48" s="2">
        <v>7000</v>
      </c>
      <c r="Q48" s="2">
        <v>0</v>
      </c>
      <c r="R48" s="2">
        <v>0</v>
      </c>
      <c r="S48" s="2">
        <v>0</v>
      </c>
      <c r="T48" s="2">
        <v>14635</v>
      </c>
      <c r="U48" s="2">
        <v>443498</v>
      </c>
      <c r="V48" s="2">
        <v>42680</v>
      </c>
      <c r="W48" s="2">
        <v>0</v>
      </c>
      <c r="X48" s="2">
        <v>0</v>
      </c>
      <c r="Y48" s="2">
        <v>0</v>
      </c>
      <c r="Z48" s="2">
        <v>0</v>
      </c>
      <c r="AA48" s="2">
        <v>0</v>
      </c>
      <c r="AB48" s="2">
        <v>0</v>
      </c>
      <c r="AC48" s="2">
        <v>0</v>
      </c>
      <c r="AD48" s="2">
        <v>0</v>
      </c>
      <c r="AE48" s="2">
        <v>0</v>
      </c>
      <c r="AF48" s="2">
        <v>486178</v>
      </c>
      <c r="AG48" s="2">
        <v>180768</v>
      </c>
      <c r="AH48" s="2">
        <v>0</v>
      </c>
      <c r="AI48" s="2">
        <v>0</v>
      </c>
      <c r="AJ48" s="2">
        <v>0</v>
      </c>
      <c r="AK48" s="2">
        <v>0</v>
      </c>
      <c r="AL48" s="2">
        <v>0</v>
      </c>
      <c r="AM48" s="2">
        <v>0</v>
      </c>
      <c r="AN48" s="2">
        <v>0</v>
      </c>
      <c r="AO48" s="2">
        <v>0</v>
      </c>
      <c r="AP48" s="2">
        <v>0</v>
      </c>
      <c r="AQ48" s="2">
        <v>0</v>
      </c>
      <c r="AR48" s="2">
        <v>0</v>
      </c>
      <c r="AS48" s="2">
        <v>0</v>
      </c>
      <c r="AT48" s="2">
        <v>180768</v>
      </c>
      <c r="AU48" s="2">
        <v>0</v>
      </c>
      <c r="AV48" s="2">
        <v>0</v>
      </c>
      <c r="AW48" s="2">
        <v>0</v>
      </c>
      <c r="AX48" s="2">
        <v>0</v>
      </c>
      <c r="AZ48" s="29">
        <f t="shared" si="0"/>
        <v>0</v>
      </c>
      <c r="BA48" s="131">
        <v>30000</v>
      </c>
      <c r="BD48" s="2" t="s">
        <v>489</v>
      </c>
      <c r="BF48" s="130"/>
    </row>
    <row r="49" spans="1:58" ht="15.75">
      <c r="A49" s="20" t="s">
        <v>404</v>
      </c>
      <c r="B49" s="20" t="s">
        <v>127</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10000</v>
      </c>
      <c r="AH49" s="2">
        <v>5000</v>
      </c>
      <c r="AI49" s="2">
        <v>0</v>
      </c>
      <c r="AJ49" s="2">
        <v>5000</v>
      </c>
      <c r="AK49" s="2">
        <v>0</v>
      </c>
      <c r="AL49" s="2">
        <v>0</v>
      </c>
      <c r="AM49" s="2">
        <v>0</v>
      </c>
      <c r="AN49" s="2">
        <v>0</v>
      </c>
      <c r="AO49" s="2">
        <v>0</v>
      </c>
      <c r="AP49" s="2">
        <v>0</v>
      </c>
      <c r="AQ49" s="2">
        <v>0</v>
      </c>
      <c r="AR49" s="2">
        <v>0</v>
      </c>
      <c r="AS49" s="2">
        <v>0</v>
      </c>
      <c r="AT49" s="2">
        <v>20000</v>
      </c>
      <c r="AU49" s="2">
        <v>12642</v>
      </c>
      <c r="AV49" s="2">
        <v>0</v>
      </c>
      <c r="AW49" s="2">
        <v>0</v>
      </c>
      <c r="AX49" s="2">
        <v>0</v>
      </c>
      <c r="AZ49" s="29">
        <f t="shared" si="0"/>
        <v>0</v>
      </c>
      <c r="BA49" s="131">
        <v>20000</v>
      </c>
      <c r="BD49" s="2" t="s">
        <v>404</v>
      </c>
      <c r="BF49" s="130"/>
    </row>
    <row r="50" spans="1:58" ht="15.75">
      <c r="A50" s="20" t="s">
        <v>494</v>
      </c>
      <c r="B50" s="20" t="s">
        <v>217</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210107</v>
      </c>
      <c r="V50" s="2">
        <v>5000</v>
      </c>
      <c r="W50" s="2">
        <v>0</v>
      </c>
      <c r="X50" s="2">
        <v>486</v>
      </c>
      <c r="Y50" s="2">
        <v>0</v>
      </c>
      <c r="Z50" s="2">
        <v>0</v>
      </c>
      <c r="AA50" s="2">
        <v>0</v>
      </c>
      <c r="AB50" s="2">
        <v>1</v>
      </c>
      <c r="AC50" s="2">
        <v>23</v>
      </c>
      <c r="AD50" s="2">
        <v>0</v>
      </c>
      <c r="AE50" s="2">
        <v>0</v>
      </c>
      <c r="AF50" s="2">
        <v>215617</v>
      </c>
      <c r="AG50" s="2">
        <v>23885</v>
      </c>
      <c r="AH50" s="2">
        <v>43100</v>
      </c>
      <c r="AI50" s="2">
        <v>0</v>
      </c>
      <c r="AJ50" s="2">
        <v>0</v>
      </c>
      <c r="AK50" s="2">
        <v>0</v>
      </c>
      <c r="AL50" s="2">
        <v>0</v>
      </c>
      <c r="AM50" s="2">
        <v>0</v>
      </c>
      <c r="AN50" s="2">
        <v>0</v>
      </c>
      <c r="AO50" s="2">
        <v>0</v>
      </c>
      <c r="AP50" s="2">
        <v>0</v>
      </c>
      <c r="AQ50" s="2">
        <v>0</v>
      </c>
      <c r="AR50" s="2">
        <v>0</v>
      </c>
      <c r="AS50" s="2">
        <v>0</v>
      </c>
      <c r="AT50" s="2">
        <v>66985</v>
      </c>
      <c r="AU50" s="2">
        <v>0</v>
      </c>
      <c r="AV50" s="2">
        <v>0</v>
      </c>
      <c r="AW50" s="2">
        <v>0</v>
      </c>
      <c r="AX50" s="2">
        <v>0</v>
      </c>
      <c r="AZ50" s="29">
        <f t="shared" si="0"/>
        <v>0</v>
      </c>
      <c r="BA50" s="131">
        <v>20000</v>
      </c>
      <c r="BD50" s="2" t="s">
        <v>494</v>
      </c>
      <c r="BF50" s="130"/>
    </row>
    <row r="51" spans="1:58" ht="15.75">
      <c r="A51" s="20" t="s">
        <v>502</v>
      </c>
      <c r="B51" s="20" t="s">
        <v>225</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20608</v>
      </c>
      <c r="V51" s="2">
        <v>0</v>
      </c>
      <c r="W51" s="2">
        <v>0</v>
      </c>
      <c r="X51" s="2">
        <v>0</v>
      </c>
      <c r="Y51" s="2">
        <v>0</v>
      </c>
      <c r="Z51" s="2">
        <v>0</v>
      </c>
      <c r="AA51" s="2">
        <v>0</v>
      </c>
      <c r="AB51" s="2">
        <v>0</v>
      </c>
      <c r="AC51" s="2">
        <v>0</v>
      </c>
      <c r="AD51" s="2">
        <v>0</v>
      </c>
      <c r="AE51" s="2">
        <v>0</v>
      </c>
      <c r="AF51" s="2">
        <v>20608</v>
      </c>
      <c r="AG51" s="2">
        <v>8360</v>
      </c>
      <c r="AH51" s="2">
        <v>0</v>
      </c>
      <c r="AI51" s="2">
        <v>0</v>
      </c>
      <c r="AJ51" s="2">
        <v>0</v>
      </c>
      <c r="AK51" s="2">
        <v>0</v>
      </c>
      <c r="AL51" s="2">
        <v>0</v>
      </c>
      <c r="AM51" s="2">
        <v>0</v>
      </c>
      <c r="AN51" s="2">
        <v>0</v>
      </c>
      <c r="AO51" s="2">
        <v>0</v>
      </c>
      <c r="AP51" s="2">
        <v>0</v>
      </c>
      <c r="AQ51" s="2">
        <v>0</v>
      </c>
      <c r="AR51" s="2">
        <v>0</v>
      </c>
      <c r="AS51" s="2">
        <v>0</v>
      </c>
      <c r="AT51" s="2">
        <v>8360</v>
      </c>
      <c r="AU51" s="2">
        <v>0</v>
      </c>
      <c r="AV51" s="2">
        <v>0</v>
      </c>
      <c r="AW51" s="2">
        <v>0</v>
      </c>
      <c r="AX51" s="2">
        <v>0</v>
      </c>
      <c r="AZ51" s="29">
        <f t="shared" si="0"/>
        <v>0</v>
      </c>
      <c r="BA51" s="131">
        <v>20000</v>
      </c>
      <c r="BD51" s="2" t="s">
        <v>502</v>
      </c>
      <c r="BF51" s="130"/>
    </row>
    <row r="52" spans="1:58" ht="15.75">
      <c r="A52" s="20" t="s">
        <v>426</v>
      </c>
      <c r="B52" s="20" t="s">
        <v>149</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15590</v>
      </c>
      <c r="AH52" s="2">
        <v>5000</v>
      </c>
      <c r="AI52" s="2">
        <v>0</v>
      </c>
      <c r="AJ52" s="2">
        <v>22500</v>
      </c>
      <c r="AK52" s="2">
        <v>0</v>
      </c>
      <c r="AL52" s="2">
        <v>5000</v>
      </c>
      <c r="AM52" s="2">
        <v>0</v>
      </c>
      <c r="AN52" s="2">
        <v>0</v>
      </c>
      <c r="AO52" s="2">
        <v>0</v>
      </c>
      <c r="AP52" s="2">
        <v>0</v>
      </c>
      <c r="AQ52" s="2">
        <v>0</v>
      </c>
      <c r="AR52" s="2">
        <v>0</v>
      </c>
      <c r="AS52" s="2">
        <v>0</v>
      </c>
      <c r="AT52" s="2">
        <v>48090</v>
      </c>
      <c r="AU52" s="2">
        <v>0</v>
      </c>
      <c r="AV52" s="2">
        <v>0</v>
      </c>
      <c r="AW52" s="2">
        <v>0</v>
      </c>
      <c r="AX52" s="2">
        <v>0</v>
      </c>
      <c r="AZ52" s="29">
        <f t="shared" si="0"/>
        <v>0</v>
      </c>
      <c r="BA52" s="131">
        <v>20000</v>
      </c>
      <c r="BD52" s="2" t="s">
        <v>426</v>
      </c>
      <c r="BF52" s="130"/>
    </row>
    <row r="53" spans="1:58" ht="15.75">
      <c r="A53" s="20" t="s">
        <v>540</v>
      </c>
      <c r="B53" s="20" t="s">
        <v>262</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3350</v>
      </c>
      <c r="AH53" s="2">
        <v>20000</v>
      </c>
      <c r="AI53" s="2">
        <v>0</v>
      </c>
      <c r="AJ53" s="2">
        <v>0</v>
      </c>
      <c r="AK53" s="2">
        <v>0</v>
      </c>
      <c r="AL53" s="2">
        <v>0</v>
      </c>
      <c r="AM53" s="2">
        <v>0</v>
      </c>
      <c r="AN53" s="2">
        <v>0</v>
      </c>
      <c r="AO53" s="2">
        <v>0</v>
      </c>
      <c r="AP53" s="2">
        <v>0</v>
      </c>
      <c r="AQ53" s="2">
        <v>0</v>
      </c>
      <c r="AR53" s="2">
        <v>0</v>
      </c>
      <c r="AS53" s="2">
        <v>0</v>
      </c>
      <c r="AT53" s="2">
        <v>23350</v>
      </c>
      <c r="AU53" s="2">
        <v>0</v>
      </c>
      <c r="AV53" s="2">
        <v>0</v>
      </c>
      <c r="AW53" s="2">
        <v>0</v>
      </c>
      <c r="AX53" s="2">
        <v>0</v>
      </c>
      <c r="AZ53" s="29">
        <f t="shared" si="0"/>
        <v>0</v>
      </c>
      <c r="BA53" s="131">
        <v>20000</v>
      </c>
      <c r="BD53" s="2" t="s">
        <v>540</v>
      </c>
      <c r="BF53" s="130"/>
    </row>
    <row r="54" spans="1:58" ht="15.75">
      <c r="A54" s="20" t="s">
        <v>492</v>
      </c>
      <c r="B54" s="20" t="s">
        <v>215</v>
      </c>
      <c r="D54" s="2">
        <v>0</v>
      </c>
      <c r="E54" s="2">
        <v>0</v>
      </c>
      <c r="F54" s="2">
        <v>0</v>
      </c>
      <c r="G54" s="2">
        <v>0</v>
      </c>
      <c r="H54" s="2">
        <v>0</v>
      </c>
      <c r="I54" s="2">
        <v>0</v>
      </c>
      <c r="J54" s="2">
        <v>0</v>
      </c>
      <c r="K54" s="2">
        <v>0</v>
      </c>
      <c r="L54" s="2">
        <v>1704</v>
      </c>
      <c r="M54" s="2">
        <v>0</v>
      </c>
      <c r="N54" s="2">
        <v>0</v>
      </c>
      <c r="O54" s="2">
        <v>0</v>
      </c>
      <c r="P54" s="2">
        <v>55000</v>
      </c>
      <c r="Q54" s="2">
        <v>0</v>
      </c>
      <c r="R54" s="2">
        <v>0</v>
      </c>
      <c r="S54" s="2">
        <v>0</v>
      </c>
      <c r="T54" s="2">
        <v>56704</v>
      </c>
      <c r="U54" s="2">
        <v>273190</v>
      </c>
      <c r="V54" s="2">
        <v>215600</v>
      </c>
      <c r="W54" s="2">
        <v>0</v>
      </c>
      <c r="X54" s="2">
        <v>45194</v>
      </c>
      <c r="Y54" s="2">
        <v>0</v>
      </c>
      <c r="Z54" s="2">
        <v>0</v>
      </c>
      <c r="AA54" s="2">
        <v>0</v>
      </c>
      <c r="AB54" s="2">
        <v>30000</v>
      </c>
      <c r="AC54" s="2">
        <v>0</v>
      </c>
      <c r="AD54" s="2">
        <v>0</v>
      </c>
      <c r="AE54" s="2">
        <v>0</v>
      </c>
      <c r="AF54" s="2">
        <v>563984</v>
      </c>
      <c r="AG54" s="2">
        <v>32214</v>
      </c>
      <c r="AH54" s="2">
        <v>15000</v>
      </c>
      <c r="AI54" s="2">
        <v>0</v>
      </c>
      <c r="AJ54" s="2">
        <v>0</v>
      </c>
      <c r="AK54" s="2">
        <v>0</v>
      </c>
      <c r="AL54" s="2">
        <v>10000</v>
      </c>
      <c r="AM54" s="2">
        <v>0</v>
      </c>
      <c r="AN54" s="2">
        <v>0</v>
      </c>
      <c r="AO54" s="2">
        <v>0</v>
      </c>
      <c r="AP54" s="2">
        <v>0</v>
      </c>
      <c r="AQ54" s="2">
        <v>251688</v>
      </c>
      <c r="AR54" s="2">
        <v>93250</v>
      </c>
      <c r="AS54" s="2">
        <v>13398</v>
      </c>
      <c r="AT54" s="2">
        <v>415550</v>
      </c>
      <c r="AU54" s="2">
        <v>7400</v>
      </c>
      <c r="AV54" s="2">
        <v>0</v>
      </c>
      <c r="AW54" s="2">
        <v>0</v>
      </c>
      <c r="AX54" s="2">
        <v>0</v>
      </c>
      <c r="AZ54" s="29">
        <f t="shared" si="0"/>
        <v>0</v>
      </c>
      <c r="BA54" s="131">
        <v>20000</v>
      </c>
      <c r="BD54" s="2" t="s">
        <v>492</v>
      </c>
      <c r="BF54" s="130"/>
    </row>
    <row r="55" spans="1:58" ht="15.75">
      <c r="A55" s="20" t="s">
        <v>495</v>
      </c>
      <c r="B55" s="20" t="s">
        <v>565</v>
      </c>
      <c r="D55" s="2">
        <v>0</v>
      </c>
      <c r="E55" s="2">
        <v>0</v>
      </c>
      <c r="F55" s="2">
        <v>0</v>
      </c>
      <c r="G55" s="2">
        <v>0</v>
      </c>
      <c r="H55" s="2">
        <v>617</v>
      </c>
      <c r="I55" s="2">
        <v>617</v>
      </c>
      <c r="J55" s="2">
        <v>0</v>
      </c>
      <c r="K55" s="2">
        <v>0</v>
      </c>
      <c r="L55" s="2">
        <v>0</v>
      </c>
      <c r="M55" s="2">
        <v>0</v>
      </c>
      <c r="N55" s="2">
        <v>0</v>
      </c>
      <c r="O55" s="2">
        <v>0</v>
      </c>
      <c r="P55" s="2">
        <v>18000</v>
      </c>
      <c r="Q55" s="2">
        <v>895</v>
      </c>
      <c r="R55" s="2">
        <v>0</v>
      </c>
      <c r="S55" s="2">
        <v>0</v>
      </c>
      <c r="T55" s="2">
        <v>18895</v>
      </c>
      <c r="U55" s="2">
        <v>633519</v>
      </c>
      <c r="V55" s="2">
        <v>49000</v>
      </c>
      <c r="W55" s="2">
        <v>0</v>
      </c>
      <c r="X55" s="2">
        <v>0</v>
      </c>
      <c r="Y55" s="2">
        <v>0</v>
      </c>
      <c r="Z55" s="2">
        <v>0</v>
      </c>
      <c r="AA55" s="2">
        <v>0</v>
      </c>
      <c r="AB55" s="2">
        <v>0</v>
      </c>
      <c r="AC55" s="2">
        <v>0</v>
      </c>
      <c r="AD55" s="2">
        <v>0</v>
      </c>
      <c r="AE55" s="2">
        <v>0</v>
      </c>
      <c r="AF55" s="2">
        <v>682519</v>
      </c>
      <c r="AG55" s="2">
        <v>23503</v>
      </c>
      <c r="AH55" s="2">
        <v>0</v>
      </c>
      <c r="AI55" s="2">
        <v>0</v>
      </c>
      <c r="AJ55" s="2">
        <v>10000</v>
      </c>
      <c r="AK55" s="2">
        <v>14965</v>
      </c>
      <c r="AL55" s="2">
        <v>0</v>
      </c>
      <c r="AM55" s="2">
        <v>0</v>
      </c>
      <c r="AN55" s="2">
        <v>0</v>
      </c>
      <c r="AO55" s="2">
        <v>0</v>
      </c>
      <c r="AP55" s="2">
        <v>0</v>
      </c>
      <c r="AQ55" s="2">
        <v>0</v>
      </c>
      <c r="AR55" s="2">
        <v>15000</v>
      </c>
      <c r="AS55" s="2">
        <v>0</v>
      </c>
      <c r="AT55" s="2">
        <v>63468</v>
      </c>
      <c r="AU55" s="2">
        <v>33387</v>
      </c>
      <c r="AV55" s="2">
        <v>0</v>
      </c>
      <c r="AW55" s="2">
        <v>0</v>
      </c>
      <c r="AX55" s="2">
        <v>0</v>
      </c>
      <c r="AZ55" s="29">
        <f t="shared" si="0"/>
        <v>0</v>
      </c>
      <c r="BA55" s="131">
        <v>60000</v>
      </c>
      <c r="BD55" s="2" t="s">
        <v>495</v>
      </c>
      <c r="BF55" s="130"/>
    </row>
    <row r="56" spans="1:58" ht="15.75">
      <c r="A56" s="20" t="s">
        <v>496</v>
      </c>
      <c r="B56" s="20" t="s">
        <v>566</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338700</v>
      </c>
      <c r="V56" s="2">
        <v>90000</v>
      </c>
      <c r="W56" s="2">
        <v>0</v>
      </c>
      <c r="X56" s="2">
        <v>0</v>
      </c>
      <c r="Y56" s="2">
        <v>0</v>
      </c>
      <c r="Z56" s="2">
        <v>0</v>
      </c>
      <c r="AA56" s="2">
        <v>0</v>
      </c>
      <c r="AB56" s="2">
        <v>5000</v>
      </c>
      <c r="AC56" s="2">
        <v>0</v>
      </c>
      <c r="AD56" s="2">
        <v>10000</v>
      </c>
      <c r="AE56" s="2">
        <v>0</v>
      </c>
      <c r="AF56" s="2">
        <v>443700</v>
      </c>
      <c r="AG56" s="2">
        <v>60550</v>
      </c>
      <c r="AH56" s="2">
        <v>0</v>
      </c>
      <c r="AI56" s="2">
        <v>0</v>
      </c>
      <c r="AJ56" s="2">
        <v>0</v>
      </c>
      <c r="AK56" s="2">
        <v>0</v>
      </c>
      <c r="AL56" s="2">
        <v>0</v>
      </c>
      <c r="AM56" s="2">
        <v>0</v>
      </c>
      <c r="AN56" s="2">
        <v>0</v>
      </c>
      <c r="AO56" s="2">
        <v>0</v>
      </c>
      <c r="AP56" s="2">
        <v>0</v>
      </c>
      <c r="AQ56" s="2">
        <v>0</v>
      </c>
      <c r="AR56" s="2">
        <v>1500</v>
      </c>
      <c r="AS56" s="2">
        <v>0</v>
      </c>
      <c r="AT56" s="2">
        <v>62050</v>
      </c>
      <c r="AU56" s="2">
        <v>32050</v>
      </c>
      <c r="AV56" s="2">
        <v>0</v>
      </c>
      <c r="AW56" s="2">
        <v>0</v>
      </c>
      <c r="AX56" s="2">
        <v>0</v>
      </c>
      <c r="AZ56" s="29">
        <f t="shared" si="0"/>
        <v>0</v>
      </c>
      <c r="BA56" s="131">
        <v>30000</v>
      </c>
      <c r="BD56" s="2" t="s">
        <v>496</v>
      </c>
      <c r="BF56" s="130"/>
    </row>
    <row r="57" spans="1:58" ht="15.75">
      <c r="A57" s="20" t="s">
        <v>445</v>
      </c>
      <c r="B57" s="20" t="s">
        <v>168</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7812</v>
      </c>
      <c r="V57" s="2">
        <v>0</v>
      </c>
      <c r="W57" s="2">
        <v>0</v>
      </c>
      <c r="X57" s="2">
        <v>0</v>
      </c>
      <c r="Y57" s="2">
        <v>0</v>
      </c>
      <c r="Z57" s="2">
        <v>0</v>
      </c>
      <c r="AA57" s="2">
        <v>0</v>
      </c>
      <c r="AB57" s="2">
        <v>0</v>
      </c>
      <c r="AC57" s="2">
        <v>0</v>
      </c>
      <c r="AD57" s="2">
        <v>0</v>
      </c>
      <c r="AE57" s="2">
        <v>0</v>
      </c>
      <c r="AF57" s="2">
        <v>7812</v>
      </c>
      <c r="AG57" s="2">
        <v>9660</v>
      </c>
      <c r="AH57" s="2">
        <v>2500</v>
      </c>
      <c r="AI57" s="2">
        <v>0</v>
      </c>
      <c r="AJ57" s="2">
        <v>0</v>
      </c>
      <c r="AK57" s="2">
        <v>0</v>
      </c>
      <c r="AL57" s="2">
        <v>0</v>
      </c>
      <c r="AM57" s="2">
        <v>0</v>
      </c>
      <c r="AN57" s="2">
        <v>0</v>
      </c>
      <c r="AO57" s="2">
        <v>0</v>
      </c>
      <c r="AP57" s="2">
        <v>0</v>
      </c>
      <c r="AQ57" s="2">
        <v>0</v>
      </c>
      <c r="AR57" s="2">
        <v>0</v>
      </c>
      <c r="AS57" s="2">
        <v>0</v>
      </c>
      <c r="AT57" s="2">
        <v>12160</v>
      </c>
      <c r="AU57" s="2">
        <v>3200</v>
      </c>
      <c r="AV57" s="2">
        <v>0</v>
      </c>
      <c r="AW57" s="2">
        <v>0</v>
      </c>
      <c r="AX57" s="2">
        <v>0</v>
      </c>
      <c r="AZ57" s="29">
        <f t="shared" si="0"/>
        <v>0</v>
      </c>
      <c r="BA57" s="131">
        <v>20000</v>
      </c>
      <c r="BD57" s="2" t="s">
        <v>445</v>
      </c>
      <c r="BF57" s="130"/>
    </row>
    <row r="58" spans="1:58" ht="15.75">
      <c r="A58" s="20" t="s">
        <v>504</v>
      </c>
      <c r="B58" s="20" t="s">
        <v>227</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19600</v>
      </c>
      <c r="AH58" s="2">
        <v>1000</v>
      </c>
      <c r="AI58" s="2">
        <v>0</v>
      </c>
      <c r="AJ58" s="2">
        <v>0</v>
      </c>
      <c r="AK58" s="2">
        <v>0</v>
      </c>
      <c r="AL58" s="2">
        <v>2000</v>
      </c>
      <c r="AM58" s="2">
        <v>0</v>
      </c>
      <c r="AN58" s="2">
        <v>0</v>
      </c>
      <c r="AO58" s="2">
        <v>0</v>
      </c>
      <c r="AP58" s="2">
        <v>0</v>
      </c>
      <c r="AQ58" s="2">
        <v>0</v>
      </c>
      <c r="AR58" s="2">
        <v>3000</v>
      </c>
      <c r="AS58" s="2">
        <v>0</v>
      </c>
      <c r="AT58" s="2">
        <v>25600</v>
      </c>
      <c r="AU58" s="2">
        <v>14347</v>
      </c>
      <c r="AV58" s="2">
        <v>30</v>
      </c>
      <c r="AW58" s="2">
        <v>0</v>
      </c>
      <c r="AX58" s="2">
        <v>0</v>
      </c>
      <c r="AZ58" s="29">
        <f t="shared" si="0"/>
        <v>0.6</v>
      </c>
      <c r="BA58" s="131">
        <v>20000</v>
      </c>
      <c r="BD58" s="2" t="s">
        <v>504</v>
      </c>
      <c r="BF58" s="130"/>
    </row>
    <row r="59" spans="1:58" ht="15.75">
      <c r="A59" s="20" t="s">
        <v>517</v>
      </c>
      <c r="B59" s="20" t="s">
        <v>240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29503</v>
      </c>
      <c r="AH59" s="2">
        <v>47000</v>
      </c>
      <c r="AI59" s="2">
        <v>0</v>
      </c>
      <c r="AJ59" s="2">
        <v>0</v>
      </c>
      <c r="AK59" s="2">
        <v>0</v>
      </c>
      <c r="AL59" s="2">
        <v>0</v>
      </c>
      <c r="AM59" s="2">
        <v>0</v>
      </c>
      <c r="AN59" s="2">
        <v>0</v>
      </c>
      <c r="AO59" s="2">
        <v>281</v>
      </c>
      <c r="AP59" s="2">
        <v>0</v>
      </c>
      <c r="AQ59" s="2">
        <v>0</v>
      </c>
      <c r="AR59" s="2">
        <v>7000</v>
      </c>
      <c r="AS59" s="2">
        <v>0</v>
      </c>
      <c r="AT59" s="2">
        <v>83784</v>
      </c>
      <c r="AU59" s="2">
        <v>29220</v>
      </c>
      <c r="AV59" s="2">
        <v>222</v>
      </c>
      <c r="AW59" s="2">
        <v>0</v>
      </c>
      <c r="AX59" s="2">
        <v>0</v>
      </c>
      <c r="AZ59" s="29">
        <f t="shared" si="0"/>
        <v>4.44</v>
      </c>
      <c r="BA59" s="131">
        <v>20000</v>
      </c>
      <c r="BD59" s="2" t="s">
        <v>517</v>
      </c>
      <c r="BF59" s="130"/>
    </row>
    <row r="60" spans="1:58" ht="15.75">
      <c r="A60" s="20" t="s">
        <v>544</v>
      </c>
      <c r="B60" s="20" t="s">
        <v>265</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5700</v>
      </c>
      <c r="AH60" s="2">
        <v>4000</v>
      </c>
      <c r="AI60" s="2">
        <v>0</v>
      </c>
      <c r="AJ60" s="2">
        <v>0</v>
      </c>
      <c r="AK60" s="2">
        <v>0</v>
      </c>
      <c r="AL60" s="2">
        <v>1000</v>
      </c>
      <c r="AM60" s="2">
        <v>0</v>
      </c>
      <c r="AN60" s="2">
        <v>0</v>
      </c>
      <c r="AO60" s="2">
        <v>4800</v>
      </c>
      <c r="AP60" s="2">
        <v>0</v>
      </c>
      <c r="AQ60" s="2">
        <v>0</v>
      </c>
      <c r="AR60" s="2">
        <v>0</v>
      </c>
      <c r="AS60" s="2">
        <v>5000</v>
      </c>
      <c r="AT60" s="2">
        <v>20500</v>
      </c>
      <c r="AU60" s="2">
        <v>15200</v>
      </c>
      <c r="AV60" s="2">
        <v>0</v>
      </c>
      <c r="AW60" s="2">
        <v>0</v>
      </c>
      <c r="AX60" s="2">
        <v>0</v>
      </c>
      <c r="AZ60" s="29">
        <f t="shared" si="0"/>
        <v>0</v>
      </c>
      <c r="BA60" s="131">
        <v>20000</v>
      </c>
      <c r="BD60" s="2" t="s">
        <v>544</v>
      </c>
      <c r="BF60" s="130"/>
    </row>
    <row r="61" spans="1:58" ht="15.75">
      <c r="A61" s="20" t="s">
        <v>531</v>
      </c>
      <c r="B61" s="20" t="s">
        <v>567</v>
      </c>
      <c r="D61" s="2">
        <v>0</v>
      </c>
      <c r="E61" s="2">
        <v>0</v>
      </c>
      <c r="F61" s="2">
        <v>0</v>
      </c>
      <c r="G61" s="2">
        <v>0</v>
      </c>
      <c r="H61" s="2">
        <v>0</v>
      </c>
      <c r="I61" s="2">
        <v>0</v>
      </c>
      <c r="J61" s="2">
        <v>40000</v>
      </c>
      <c r="K61" s="2">
        <v>0</v>
      </c>
      <c r="L61" s="2">
        <v>20000</v>
      </c>
      <c r="M61" s="2">
        <v>0</v>
      </c>
      <c r="N61" s="2">
        <v>0</v>
      </c>
      <c r="O61" s="2">
        <v>0</v>
      </c>
      <c r="P61" s="2">
        <v>44000</v>
      </c>
      <c r="Q61" s="2">
        <v>0</v>
      </c>
      <c r="R61" s="2">
        <v>15000</v>
      </c>
      <c r="S61" s="2">
        <v>78</v>
      </c>
      <c r="T61" s="2">
        <v>119078</v>
      </c>
      <c r="U61" s="2">
        <v>39519</v>
      </c>
      <c r="V61" s="2">
        <v>5000</v>
      </c>
      <c r="W61" s="2">
        <v>0</v>
      </c>
      <c r="X61" s="2">
        <v>0</v>
      </c>
      <c r="Y61" s="2">
        <v>0</v>
      </c>
      <c r="Z61" s="2">
        <v>0</v>
      </c>
      <c r="AA61" s="2">
        <v>0</v>
      </c>
      <c r="AB61" s="2">
        <v>0</v>
      </c>
      <c r="AC61" s="2">
        <v>0</v>
      </c>
      <c r="AD61" s="2">
        <v>0</v>
      </c>
      <c r="AE61" s="2">
        <v>0</v>
      </c>
      <c r="AF61" s="2">
        <v>44519</v>
      </c>
      <c r="AG61" s="2">
        <v>9684</v>
      </c>
      <c r="AH61" s="2">
        <v>0</v>
      </c>
      <c r="AI61" s="2">
        <v>0</v>
      </c>
      <c r="AJ61" s="2">
        <v>0</v>
      </c>
      <c r="AK61" s="2">
        <v>0</v>
      </c>
      <c r="AL61" s="2">
        <v>0</v>
      </c>
      <c r="AM61" s="2">
        <v>0</v>
      </c>
      <c r="AN61" s="2">
        <v>0</v>
      </c>
      <c r="AO61" s="2">
        <v>0</v>
      </c>
      <c r="AP61" s="2">
        <v>0</v>
      </c>
      <c r="AQ61" s="2">
        <v>0</v>
      </c>
      <c r="AR61" s="2">
        <v>0</v>
      </c>
      <c r="AS61" s="2">
        <v>0</v>
      </c>
      <c r="AT61" s="2">
        <v>9684</v>
      </c>
      <c r="AU61" s="2">
        <v>0</v>
      </c>
      <c r="AV61" s="2">
        <v>0</v>
      </c>
      <c r="AW61" s="2">
        <v>0</v>
      </c>
      <c r="AX61" s="2">
        <v>0</v>
      </c>
      <c r="AZ61" s="29">
        <f t="shared" si="0"/>
        <v>0</v>
      </c>
      <c r="BA61" s="131">
        <v>20000</v>
      </c>
      <c r="BD61" s="2" t="s">
        <v>531</v>
      </c>
      <c r="BF61" s="130"/>
    </row>
    <row r="62" spans="1:58" ht="15.75">
      <c r="A62" s="20" t="s">
        <v>522</v>
      </c>
      <c r="B62" s="20" t="s">
        <v>245</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335271</v>
      </c>
      <c r="V62" s="2">
        <v>20000</v>
      </c>
      <c r="W62" s="2">
        <v>0</v>
      </c>
      <c r="X62" s="2">
        <v>0</v>
      </c>
      <c r="Y62" s="2">
        <v>0</v>
      </c>
      <c r="Z62" s="2">
        <v>0</v>
      </c>
      <c r="AA62" s="2">
        <v>0</v>
      </c>
      <c r="AB62" s="2">
        <v>0</v>
      </c>
      <c r="AC62" s="2">
        <v>0</v>
      </c>
      <c r="AD62" s="2">
        <v>0</v>
      </c>
      <c r="AE62" s="2">
        <v>0</v>
      </c>
      <c r="AF62" s="2">
        <v>355271</v>
      </c>
      <c r="AG62" s="2">
        <v>799</v>
      </c>
      <c r="AH62" s="2">
        <v>8000</v>
      </c>
      <c r="AI62" s="2">
        <v>0</v>
      </c>
      <c r="AJ62" s="2">
        <v>0</v>
      </c>
      <c r="AK62" s="2">
        <v>8991</v>
      </c>
      <c r="AL62" s="2">
        <v>9000</v>
      </c>
      <c r="AM62" s="2">
        <v>0</v>
      </c>
      <c r="AN62" s="2">
        <v>0</v>
      </c>
      <c r="AO62" s="2">
        <v>604</v>
      </c>
      <c r="AP62" s="2">
        <v>0</v>
      </c>
      <c r="AQ62" s="2">
        <v>0</v>
      </c>
      <c r="AR62" s="2">
        <v>5000</v>
      </c>
      <c r="AS62" s="2">
        <v>0</v>
      </c>
      <c r="AT62" s="2">
        <v>32394</v>
      </c>
      <c r="AU62" s="2">
        <v>59500</v>
      </c>
      <c r="AV62" s="2">
        <v>0</v>
      </c>
      <c r="AW62" s="2">
        <v>0</v>
      </c>
      <c r="AX62" s="2">
        <v>0</v>
      </c>
      <c r="AZ62" s="29">
        <f t="shared" si="0"/>
        <v>0</v>
      </c>
      <c r="BA62" s="131">
        <v>20000</v>
      </c>
      <c r="BD62" s="2" t="s">
        <v>522</v>
      </c>
      <c r="BF62" s="130"/>
    </row>
    <row r="63" spans="1:58" ht="15.75">
      <c r="A63" s="20" t="s">
        <v>413</v>
      </c>
      <c r="B63" s="20" t="s">
        <v>136</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85005</v>
      </c>
      <c r="V63" s="2">
        <v>0</v>
      </c>
      <c r="W63" s="2">
        <v>0</v>
      </c>
      <c r="X63" s="2">
        <v>0</v>
      </c>
      <c r="Y63" s="2">
        <v>0</v>
      </c>
      <c r="Z63" s="2">
        <v>0</v>
      </c>
      <c r="AA63" s="2">
        <v>0</v>
      </c>
      <c r="AB63" s="2">
        <v>0</v>
      </c>
      <c r="AC63" s="2">
        <v>0</v>
      </c>
      <c r="AD63" s="2">
        <v>0</v>
      </c>
      <c r="AE63" s="2">
        <v>0</v>
      </c>
      <c r="AF63" s="2">
        <v>85005</v>
      </c>
      <c r="AG63" s="2">
        <v>8185</v>
      </c>
      <c r="AH63" s="2">
        <v>2000</v>
      </c>
      <c r="AI63" s="2">
        <v>0</v>
      </c>
      <c r="AJ63" s="2">
        <v>0</v>
      </c>
      <c r="AK63" s="2">
        <v>0</v>
      </c>
      <c r="AL63" s="2">
        <v>0</v>
      </c>
      <c r="AM63" s="2">
        <v>0</v>
      </c>
      <c r="AN63" s="2">
        <v>0</v>
      </c>
      <c r="AO63" s="2">
        <v>2000</v>
      </c>
      <c r="AP63" s="2">
        <v>0</v>
      </c>
      <c r="AQ63" s="2">
        <v>0</v>
      </c>
      <c r="AR63" s="2">
        <v>0</v>
      </c>
      <c r="AS63" s="2">
        <v>0</v>
      </c>
      <c r="AT63" s="2">
        <v>12185</v>
      </c>
      <c r="AU63" s="2">
        <v>2750</v>
      </c>
      <c r="AV63" s="2">
        <v>0</v>
      </c>
      <c r="AW63" s="2">
        <v>0</v>
      </c>
      <c r="AX63" s="2">
        <v>0</v>
      </c>
      <c r="AZ63" s="29">
        <f>AV63*0.02</f>
        <v>0</v>
      </c>
      <c r="BA63" s="131">
        <v>20000</v>
      </c>
      <c r="BD63" s="2" t="s">
        <v>413</v>
      </c>
      <c r="BF63" s="130"/>
    </row>
    <row r="64" spans="1:58" ht="15.75">
      <c r="A64" s="20" t="s">
        <v>432</v>
      </c>
      <c r="B64" s="20" t="s">
        <v>155</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6430</v>
      </c>
      <c r="V64" s="2">
        <v>4500</v>
      </c>
      <c r="W64" s="2">
        <v>0</v>
      </c>
      <c r="X64" s="2">
        <v>0</v>
      </c>
      <c r="Y64" s="2">
        <v>0</v>
      </c>
      <c r="Z64" s="2">
        <v>0</v>
      </c>
      <c r="AA64" s="2">
        <v>0</v>
      </c>
      <c r="AB64" s="2">
        <v>375</v>
      </c>
      <c r="AC64" s="2">
        <v>0</v>
      </c>
      <c r="AD64" s="2">
        <v>0</v>
      </c>
      <c r="AE64" s="2">
        <v>0</v>
      </c>
      <c r="AF64" s="2">
        <v>11305</v>
      </c>
      <c r="AG64" s="2">
        <v>13388</v>
      </c>
      <c r="AH64" s="2">
        <v>0</v>
      </c>
      <c r="AI64" s="2">
        <v>0</v>
      </c>
      <c r="AJ64" s="2">
        <v>0</v>
      </c>
      <c r="AK64" s="2">
        <v>5087</v>
      </c>
      <c r="AL64" s="2">
        <v>1500</v>
      </c>
      <c r="AM64" s="2">
        <v>0</v>
      </c>
      <c r="AN64" s="2">
        <v>0</v>
      </c>
      <c r="AO64" s="2">
        <v>0</v>
      </c>
      <c r="AP64" s="2">
        <v>0</v>
      </c>
      <c r="AQ64" s="2">
        <v>0</v>
      </c>
      <c r="AR64" s="2">
        <v>0</v>
      </c>
      <c r="AS64" s="2">
        <v>0</v>
      </c>
      <c r="AT64" s="2">
        <v>19975</v>
      </c>
      <c r="AU64" s="2">
        <v>4000</v>
      </c>
      <c r="AV64" s="2">
        <v>0</v>
      </c>
      <c r="AW64" s="2">
        <v>0</v>
      </c>
      <c r="AX64" s="2">
        <v>0</v>
      </c>
      <c r="AZ64" s="29">
        <f t="shared" si="0"/>
        <v>0</v>
      </c>
      <c r="BA64" s="131">
        <v>20000</v>
      </c>
      <c r="BD64" s="2" t="s">
        <v>432</v>
      </c>
      <c r="BF64" s="130"/>
    </row>
    <row r="65" spans="1:58" ht="15.75">
      <c r="A65" s="20" t="s">
        <v>483</v>
      </c>
      <c r="B65" s="20" t="s">
        <v>206</v>
      </c>
      <c r="D65" s="2">
        <v>0</v>
      </c>
      <c r="E65" s="2">
        <v>0</v>
      </c>
      <c r="F65" s="2">
        <v>0</v>
      </c>
      <c r="G65" s="2">
        <v>0</v>
      </c>
      <c r="H65" s="2">
        <v>0</v>
      </c>
      <c r="I65" s="2">
        <v>0</v>
      </c>
      <c r="J65" s="2">
        <v>0</v>
      </c>
      <c r="K65" s="2">
        <v>0</v>
      </c>
      <c r="L65" s="2">
        <v>0</v>
      </c>
      <c r="M65" s="2">
        <v>0</v>
      </c>
      <c r="N65" s="2">
        <v>0</v>
      </c>
      <c r="O65" s="2">
        <v>0</v>
      </c>
      <c r="P65" s="2">
        <v>10000</v>
      </c>
      <c r="Q65" s="2">
        <v>0</v>
      </c>
      <c r="R65" s="2">
        <v>0</v>
      </c>
      <c r="S65" s="2">
        <v>0</v>
      </c>
      <c r="T65" s="2">
        <v>10000</v>
      </c>
      <c r="U65" s="2">
        <v>71687</v>
      </c>
      <c r="V65" s="2">
        <v>0</v>
      </c>
      <c r="W65" s="2">
        <v>0</v>
      </c>
      <c r="X65" s="2">
        <v>4000</v>
      </c>
      <c r="Y65" s="2">
        <v>0</v>
      </c>
      <c r="Z65" s="2">
        <v>0</v>
      </c>
      <c r="AA65" s="2">
        <v>0</v>
      </c>
      <c r="AB65" s="2">
        <v>0</v>
      </c>
      <c r="AC65" s="2">
        <v>0</v>
      </c>
      <c r="AD65" s="2">
        <v>0</v>
      </c>
      <c r="AE65" s="2">
        <v>0</v>
      </c>
      <c r="AF65" s="2">
        <v>75687</v>
      </c>
      <c r="AG65" s="2">
        <v>754</v>
      </c>
      <c r="AH65" s="2">
        <v>0</v>
      </c>
      <c r="AI65" s="2">
        <v>0</v>
      </c>
      <c r="AJ65" s="2">
        <v>1000</v>
      </c>
      <c r="AK65" s="2">
        <v>0</v>
      </c>
      <c r="AL65" s="2">
        <v>0</v>
      </c>
      <c r="AM65" s="2">
        <v>0</v>
      </c>
      <c r="AN65" s="2">
        <v>0</v>
      </c>
      <c r="AO65" s="2">
        <v>0</v>
      </c>
      <c r="AP65" s="2">
        <v>0</v>
      </c>
      <c r="AQ65" s="2">
        <v>0</v>
      </c>
      <c r="AR65" s="2">
        <v>0</v>
      </c>
      <c r="AS65" s="2">
        <v>242</v>
      </c>
      <c r="AT65" s="2">
        <v>1996</v>
      </c>
      <c r="AU65" s="2">
        <v>6300</v>
      </c>
      <c r="AV65" s="2">
        <v>0</v>
      </c>
      <c r="AW65" s="2">
        <v>0</v>
      </c>
      <c r="AX65" s="2">
        <v>0</v>
      </c>
      <c r="AZ65" s="29">
        <f t="shared" si="0"/>
        <v>0</v>
      </c>
      <c r="BA65" s="131">
        <v>20000</v>
      </c>
      <c r="BD65" s="2" t="s">
        <v>483</v>
      </c>
      <c r="BF65" s="130"/>
    </row>
    <row r="66" spans="1:58" ht="15.75">
      <c r="A66" s="20" t="s">
        <v>525</v>
      </c>
      <c r="B66" s="20" t="s">
        <v>248</v>
      </c>
      <c r="D66" s="2">
        <v>0</v>
      </c>
      <c r="E66" s="2">
        <v>0</v>
      </c>
      <c r="F66" s="2">
        <v>0</v>
      </c>
      <c r="G66" s="2">
        <v>0</v>
      </c>
      <c r="H66" s="2">
        <v>0</v>
      </c>
      <c r="I66" s="2">
        <v>0</v>
      </c>
      <c r="J66" s="2">
        <v>0</v>
      </c>
      <c r="K66" s="2">
        <v>0</v>
      </c>
      <c r="L66" s="2">
        <v>0</v>
      </c>
      <c r="M66" s="2">
        <v>0</v>
      </c>
      <c r="N66" s="2">
        <v>0</v>
      </c>
      <c r="O66" s="2">
        <v>0</v>
      </c>
      <c r="P66" s="2">
        <v>30658</v>
      </c>
      <c r="Q66" s="2">
        <v>0</v>
      </c>
      <c r="R66" s="2">
        <v>0</v>
      </c>
      <c r="S66" s="2">
        <v>0</v>
      </c>
      <c r="T66" s="2">
        <v>30658</v>
      </c>
      <c r="U66" s="2">
        <v>387247</v>
      </c>
      <c r="V66" s="2">
        <v>10000</v>
      </c>
      <c r="W66" s="2">
        <v>0</v>
      </c>
      <c r="X66" s="2">
        <v>0</v>
      </c>
      <c r="Y66" s="2">
        <v>0</v>
      </c>
      <c r="Z66" s="2">
        <v>0</v>
      </c>
      <c r="AA66" s="2">
        <v>0</v>
      </c>
      <c r="AB66" s="2">
        <v>0</v>
      </c>
      <c r="AC66" s="2">
        <v>0</v>
      </c>
      <c r="AD66" s="2">
        <v>0</v>
      </c>
      <c r="AE66" s="2">
        <v>0</v>
      </c>
      <c r="AF66" s="2">
        <v>397247</v>
      </c>
      <c r="AG66" s="2">
        <v>0</v>
      </c>
      <c r="AH66" s="2">
        <v>0</v>
      </c>
      <c r="AI66" s="2">
        <v>0</v>
      </c>
      <c r="AJ66" s="2">
        <v>0</v>
      </c>
      <c r="AK66" s="2">
        <v>0</v>
      </c>
      <c r="AL66" s="2">
        <v>0</v>
      </c>
      <c r="AM66" s="2">
        <v>0</v>
      </c>
      <c r="AN66" s="2">
        <v>0</v>
      </c>
      <c r="AO66" s="2">
        <v>0</v>
      </c>
      <c r="AP66" s="2">
        <v>0</v>
      </c>
      <c r="AQ66" s="2">
        <v>0</v>
      </c>
      <c r="AR66" s="2">
        <v>0</v>
      </c>
      <c r="AS66" s="2">
        <v>0</v>
      </c>
      <c r="AT66" s="2">
        <v>0</v>
      </c>
      <c r="AU66" s="2">
        <v>64500</v>
      </c>
      <c r="AV66" s="2">
        <v>0</v>
      </c>
      <c r="AW66" s="2">
        <v>0</v>
      </c>
      <c r="AX66" s="2">
        <v>0</v>
      </c>
      <c r="AZ66" s="29">
        <f t="shared" si="0"/>
        <v>0</v>
      </c>
      <c r="BA66" s="131">
        <v>50000</v>
      </c>
      <c r="BD66" s="2" t="s">
        <v>525</v>
      </c>
      <c r="BF66" s="130"/>
    </row>
    <row r="67" spans="1:58" ht="15.75">
      <c r="A67" s="20" t="s">
        <v>437</v>
      </c>
      <c r="B67" s="20" t="s">
        <v>568</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15000</v>
      </c>
      <c r="AI67" s="2">
        <v>0</v>
      </c>
      <c r="AJ67" s="2">
        <v>0</v>
      </c>
      <c r="AK67" s="2">
        <v>0</v>
      </c>
      <c r="AL67" s="2">
        <v>0</v>
      </c>
      <c r="AM67" s="2">
        <v>0</v>
      </c>
      <c r="AN67" s="2">
        <v>0</v>
      </c>
      <c r="AO67" s="2">
        <v>0</v>
      </c>
      <c r="AP67" s="2">
        <v>0</v>
      </c>
      <c r="AQ67" s="2">
        <v>0</v>
      </c>
      <c r="AR67" s="2">
        <v>0</v>
      </c>
      <c r="AS67" s="2">
        <v>0</v>
      </c>
      <c r="AT67" s="2">
        <v>15000</v>
      </c>
      <c r="AU67" s="2">
        <v>2100</v>
      </c>
      <c r="AV67" s="2">
        <v>11449</v>
      </c>
      <c r="AW67" s="2">
        <v>1</v>
      </c>
      <c r="AX67" s="2">
        <v>1500</v>
      </c>
      <c r="AZ67" s="29">
        <f t="shared" si="0"/>
        <v>228.98000000000002</v>
      </c>
      <c r="BA67" s="131">
        <v>20000</v>
      </c>
      <c r="BD67" s="2" t="s">
        <v>437</v>
      </c>
      <c r="BF67" s="130"/>
    </row>
    <row r="68" spans="1:58" ht="15.75">
      <c r="A68" s="20" t="s">
        <v>453</v>
      </c>
      <c r="B68" s="20" t="s">
        <v>176</v>
      </c>
      <c r="D68" s="2">
        <v>0</v>
      </c>
      <c r="E68" s="2">
        <v>0</v>
      </c>
      <c r="F68" s="2">
        <v>0</v>
      </c>
      <c r="G68" s="2">
        <v>0</v>
      </c>
      <c r="H68" s="2">
        <v>0</v>
      </c>
      <c r="I68" s="2">
        <v>0</v>
      </c>
      <c r="J68" s="2">
        <v>0</v>
      </c>
      <c r="K68" s="2">
        <v>0</v>
      </c>
      <c r="L68" s="2">
        <v>0</v>
      </c>
      <c r="M68" s="2">
        <v>0</v>
      </c>
      <c r="N68" s="2">
        <v>0</v>
      </c>
      <c r="O68" s="2">
        <v>0</v>
      </c>
      <c r="P68" s="2">
        <v>25800</v>
      </c>
      <c r="Q68" s="2">
        <v>0</v>
      </c>
      <c r="R68" s="2">
        <v>0</v>
      </c>
      <c r="S68" s="2">
        <v>0</v>
      </c>
      <c r="T68" s="2">
        <v>25800</v>
      </c>
      <c r="U68" s="2">
        <v>193585</v>
      </c>
      <c r="V68" s="2">
        <v>0</v>
      </c>
      <c r="W68" s="2">
        <v>0</v>
      </c>
      <c r="X68" s="2">
        <v>0</v>
      </c>
      <c r="Y68" s="2">
        <v>0</v>
      </c>
      <c r="Z68" s="2">
        <v>0</v>
      </c>
      <c r="AA68" s="2">
        <v>0</v>
      </c>
      <c r="AB68" s="2">
        <v>10000</v>
      </c>
      <c r="AC68" s="2">
        <v>0</v>
      </c>
      <c r="AD68" s="2">
        <v>0</v>
      </c>
      <c r="AE68" s="2">
        <v>0</v>
      </c>
      <c r="AF68" s="2">
        <v>203585</v>
      </c>
      <c r="AG68" s="2">
        <v>42053</v>
      </c>
      <c r="AH68" s="2">
        <v>7000</v>
      </c>
      <c r="AI68" s="2">
        <v>0</v>
      </c>
      <c r="AJ68" s="2">
        <v>0</v>
      </c>
      <c r="AK68" s="2">
        <v>0</v>
      </c>
      <c r="AL68" s="2">
        <v>5000</v>
      </c>
      <c r="AM68" s="2">
        <v>0</v>
      </c>
      <c r="AN68" s="2">
        <v>0</v>
      </c>
      <c r="AO68" s="2">
        <v>28537</v>
      </c>
      <c r="AP68" s="2">
        <v>0</v>
      </c>
      <c r="AQ68" s="2">
        <v>5000</v>
      </c>
      <c r="AR68" s="2">
        <v>19500</v>
      </c>
      <c r="AS68" s="2">
        <v>0</v>
      </c>
      <c r="AT68" s="2">
        <v>107090</v>
      </c>
      <c r="AU68" s="2">
        <v>8060</v>
      </c>
      <c r="AV68" s="2">
        <v>21557</v>
      </c>
      <c r="AW68" s="2">
        <v>0</v>
      </c>
      <c r="AX68" s="2">
        <v>0</v>
      </c>
      <c r="AZ68" s="29">
        <f t="shared" si="0"/>
        <v>431.14</v>
      </c>
      <c r="BA68" s="131">
        <v>20000</v>
      </c>
      <c r="BD68" s="2" t="s">
        <v>453</v>
      </c>
      <c r="BF68" s="130"/>
    </row>
    <row r="69" spans="1:58" ht="15.75">
      <c r="A69" s="20" t="s">
        <v>526</v>
      </c>
      <c r="B69" s="20" t="s">
        <v>249</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16283</v>
      </c>
      <c r="V69" s="2">
        <v>0</v>
      </c>
      <c r="W69" s="2">
        <v>0</v>
      </c>
      <c r="X69" s="2">
        <v>0</v>
      </c>
      <c r="Y69" s="2">
        <v>0</v>
      </c>
      <c r="Z69" s="2">
        <v>0</v>
      </c>
      <c r="AA69" s="2">
        <v>0</v>
      </c>
      <c r="AB69" s="2">
        <v>1060</v>
      </c>
      <c r="AC69" s="2">
        <v>0</v>
      </c>
      <c r="AD69" s="2">
        <v>0</v>
      </c>
      <c r="AE69" s="2">
        <v>0</v>
      </c>
      <c r="AF69" s="2">
        <v>17343</v>
      </c>
      <c r="AG69" s="2">
        <v>4993</v>
      </c>
      <c r="AH69" s="2">
        <v>4000</v>
      </c>
      <c r="AI69" s="2">
        <v>0</v>
      </c>
      <c r="AJ69" s="2">
        <v>0</v>
      </c>
      <c r="AK69" s="2">
        <v>0</v>
      </c>
      <c r="AL69" s="2">
        <v>0</v>
      </c>
      <c r="AM69" s="2">
        <v>0</v>
      </c>
      <c r="AN69" s="2">
        <v>0</v>
      </c>
      <c r="AO69" s="2">
        <v>0</v>
      </c>
      <c r="AP69" s="2">
        <v>0</v>
      </c>
      <c r="AQ69" s="2">
        <v>0</v>
      </c>
      <c r="AR69" s="2">
        <v>7500</v>
      </c>
      <c r="AS69" s="2">
        <v>0</v>
      </c>
      <c r="AT69" s="2">
        <v>16493</v>
      </c>
      <c r="AU69" s="2">
        <v>1981</v>
      </c>
      <c r="AV69" s="2">
        <v>7979</v>
      </c>
      <c r="AW69" s="2">
        <v>0</v>
      </c>
      <c r="AX69" s="2">
        <v>0</v>
      </c>
      <c r="AZ69" s="29">
        <f aca="true" t="shared" si="1" ref="AZ69:AZ132">AV69*0.02</f>
        <v>159.58</v>
      </c>
      <c r="BA69" s="131">
        <v>20000</v>
      </c>
      <c r="BD69" s="2" t="s">
        <v>526</v>
      </c>
      <c r="BF69" s="130"/>
    </row>
    <row r="70" spans="1:58" ht="15.75">
      <c r="A70" s="20" t="s">
        <v>539</v>
      </c>
      <c r="B70" s="20" t="s">
        <v>261</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378125</v>
      </c>
      <c r="V70" s="2">
        <v>0</v>
      </c>
      <c r="W70" s="2">
        <v>0</v>
      </c>
      <c r="X70" s="2">
        <v>0</v>
      </c>
      <c r="Y70" s="2">
        <v>0</v>
      </c>
      <c r="Z70" s="2">
        <v>0</v>
      </c>
      <c r="AA70" s="2">
        <v>0</v>
      </c>
      <c r="AB70" s="2">
        <v>0</v>
      </c>
      <c r="AC70" s="2">
        <v>0</v>
      </c>
      <c r="AD70" s="2">
        <v>0</v>
      </c>
      <c r="AE70" s="2">
        <v>0</v>
      </c>
      <c r="AF70" s="2">
        <v>378125</v>
      </c>
      <c r="AG70" s="2">
        <v>13588</v>
      </c>
      <c r="AH70" s="2">
        <v>35000</v>
      </c>
      <c r="AI70" s="2">
        <v>18500</v>
      </c>
      <c r="AJ70" s="2">
        <v>0</v>
      </c>
      <c r="AK70" s="2">
        <v>0</v>
      </c>
      <c r="AL70" s="2">
        <v>0</v>
      </c>
      <c r="AM70" s="2">
        <v>0</v>
      </c>
      <c r="AN70" s="2">
        <v>0</v>
      </c>
      <c r="AO70" s="2">
        <v>0</v>
      </c>
      <c r="AP70" s="2">
        <v>0</v>
      </c>
      <c r="AQ70" s="2">
        <v>0</v>
      </c>
      <c r="AR70" s="2">
        <v>10000</v>
      </c>
      <c r="AS70" s="2">
        <v>0</v>
      </c>
      <c r="AT70" s="2">
        <v>77088</v>
      </c>
      <c r="AU70" s="2">
        <v>176592</v>
      </c>
      <c r="AV70" s="2">
        <v>0</v>
      </c>
      <c r="AW70" s="2">
        <v>0</v>
      </c>
      <c r="AX70" s="2">
        <v>0</v>
      </c>
      <c r="AZ70" s="29">
        <f t="shared" si="1"/>
        <v>0</v>
      </c>
      <c r="BA70" s="131">
        <v>30000</v>
      </c>
      <c r="BD70" s="2" t="s">
        <v>539</v>
      </c>
      <c r="BF70" s="130"/>
    </row>
    <row r="71" spans="1:58" ht="15.75">
      <c r="A71" s="20" t="s">
        <v>523</v>
      </c>
      <c r="B71" s="20" t="s">
        <v>246</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3427</v>
      </c>
      <c r="AH71" s="2">
        <v>0</v>
      </c>
      <c r="AI71" s="2">
        <v>0</v>
      </c>
      <c r="AJ71" s="2">
        <v>0</v>
      </c>
      <c r="AK71" s="2">
        <v>0</v>
      </c>
      <c r="AL71" s="2">
        <v>0</v>
      </c>
      <c r="AM71" s="2">
        <v>0</v>
      </c>
      <c r="AN71" s="2">
        <v>0</v>
      </c>
      <c r="AO71" s="2">
        <v>0</v>
      </c>
      <c r="AP71" s="2">
        <v>0</v>
      </c>
      <c r="AQ71" s="2">
        <v>0</v>
      </c>
      <c r="AR71" s="2">
        <v>0</v>
      </c>
      <c r="AS71" s="2">
        <v>0</v>
      </c>
      <c r="AT71" s="2">
        <v>3427</v>
      </c>
      <c r="AU71" s="2">
        <v>0</v>
      </c>
      <c r="AV71" s="2">
        <v>16131</v>
      </c>
      <c r="AW71" s="2">
        <v>0</v>
      </c>
      <c r="AX71" s="2">
        <v>0</v>
      </c>
      <c r="AZ71" s="29">
        <f t="shared" si="1"/>
        <v>322.62</v>
      </c>
      <c r="BA71" s="131">
        <v>20000</v>
      </c>
      <c r="BD71" s="2" t="s">
        <v>523</v>
      </c>
      <c r="BF71" s="130"/>
    </row>
    <row r="72" spans="1:58" ht="15.75">
      <c r="A72" s="20" t="s">
        <v>545</v>
      </c>
      <c r="B72" s="20" t="s">
        <v>266</v>
      </c>
      <c r="D72" s="2">
        <v>0</v>
      </c>
      <c r="E72" s="2">
        <v>0</v>
      </c>
      <c r="F72" s="2">
        <v>0</v>
      </c>
      <c r="G72" s="2">
        <v>0</v>
      </c>
      <c r="H72" s="2">
        <v>0</v>
      </c>
      <c r="I72" s="2">
        <v>0</v>
      </c>
      <c r="J72" s="2">
        <v>10239</v>
      </c>
      <c r="K72" s="2">
        <v>0</v>
      </c>
      <c r="L72" s="2">
        <v>32480</v>
      </c>
      <c r="M72" s="2">
        <v>0</v>
      </c>
      <c r="N72" s="2">
        <v>4247</v>
      </c>
      <c r="O72" s="2">
        <v>0</v>
      </c>
      <c r="P72" s="2">
        <v>0</v>
      </c>
      <c r="Q72" s="2">
        <v>0</v>
      </c>
      <c r="R72" s="2">
        <v>0</v>
      </c>
      <c r="S72" s="2">
        <v>0</v>
      </c>
      <c r="T72" s="2">
        <v>46966</v>
      </c>
      <c r="U72" s="2">
        <v>406397</v>
      </c>
      <c r="V72" s="2">
        <v>0</v>
      </c>
      <c r="W72" s="2">
        <v>0</v>
      </c>
      <c r="X72" s="2">
        <v>0</v>
      </c>
      <c r="Y72" s="2">
        <v>0</v>
      </c>
      <c r="Z72" s="2">
        <v>0</v>
      </c>
      <c r="AA72" s="2">
        <v>0</v>
      </c>
      <c r="AB72" s="2">
        <v>0</v>
      </c>
      <c r="AC72" s="2">
        <v>0</v>
      </c>
      <c r="AD72" s="2">
        <v>0</v>
      </c>
      <c r="AE72" s="2">
        <v>0</v>
      </c>
      <c r="AF72" s="2">
        <v>406397</v>
      </c>
      <c r="AG72" s="2">
        <v>92240</v>
      </c>
      <c r="AH72" s="2">
        <v>15000</v>
      </c>
      <c r="AI72" s="2">
        <v>0</v>
      </c>
      <c r="AJ72" s="2">
        <v>0</v>
      </c>
      <c r="AK72" s="2">
        <v>0</v>
      </c>
      <c r="AL72" s="2">
        <v>14994</v>
      </c>
      <c r="AM72" s="2">
        <v>0</v>
      </c>
      <c r="AN72" s="2">
        <v>0</v>
      </c>
      <c r="AO72" s="2">
        <v>29213</v>
      </c>
      <c r="AP72" s="2">
        <v>0</v>
      </c>
      <c r="AQ72" s="2">
        <v>0</v>
      </c>
      <c r="AR72" s="2">
        <v>35000</v>
      </c>
      <c r="AS72" s="2">
        <v>0</v>
      </c>
      <c r="AT72" s="2">
        <v>186447</v>
      </c>
      <c r="AU72" s="2">
        <v>137781</v>
      </c>
      <c r="AV72" s="2">
        <v>0</v>
      </c>
      <c r="AW72" s="2">
        <v>0</v>
      </c>
      <c r="AX72" s="2">
        <v>0</v>
      </c>
      <c r="AZ72" s="29">
        <f t="shared" si="1"/>
        <v>0</v>
      </c>
      <c r="BA72" s="131">
        <v>30000</v>
      </c>
      <c r="BD72" s="2" t="s">
        <v>545</v>
      </c>
      <c r="BF72" s="130"/>
    </row>
    <row r="73" spans="1:58" ht="15.75">
      <c r="A73" s="20" t="s">
        <v>394</v>
      </c>
      <c r="B73" s="20" t="s">
        <v>117</v>
      </c>
      <c r="D73" s="2">
        <v>0</v>
      </c>
      <c r="E73" s="2">
        <v>0</v>
      </c>
      <c r="F73" s="2">
        <v>0</v>
      </c>
      <c r="G73" s="2">
        <v>0</v>
      </c>
      <c r="H73" s="2">
        <v>0</v>
      </c>
      <c r="I73" s="2">
        <v>0</v>
      </c>
      <c r="J73" s="2">
        <v>0</v>
      </c>
      <c r="K73" s="2">
        <v>0</v>
      </c>
      <c r="L73" s="2">
        <v>0</v>
      </c>
      <c r="M73" s="2">
        <v>0</v>
      </c>
      <c r="N73" s="2">
        <v>0</v>
      </c>
      <c r="O73" s="2">
        <v>0</v>
      </c>
      <c r="P73" s="2">
        <v>282</v>
      </c>
      <c r="Q73" s="2">
        <v>0</v>
      </c>
      <c r="R73" s="2">
        <v>0</v>
      </c>
      <c r="S73" s="2">
        <v>0</v>
      </c>
      <c r="T73" s="2">
        <v>282</v>
      </c>
      <c r="U73" s="2">
        <v>56316</v>
      </c>
      <c r="V73" s="2">
        <v>10690</v>
      </c>
      <c r="W73" s="2">
        <v>0</v>
      </c>
      <c r="X73" s="2">
        <v>13</v>
      </c>
      <c r="Y73" s="2">
        <v>0</v>
      </c>
      <c r="Z73" s="2">
        <v>0</v>
      </c>
      <c r="AA73" s="2">
        <v>0</v>
      </c>
      <c r="AB73" s="2">
        <v>0</v>
      </c>
      <c r="AC73" s="2">
        <v>0</v>
      </c>
      <c r="AD73" s="2">
        <v>7250</v>
      </c>
      <c r="AE73" s="2">
        <v>0</v>
      </c>
      <c r="AF73" s="2">
        <v>74269</v>
      </c>
      <c r="AG73" s="2">
        <v>8100</v>
      </c>
      <c r="AH73" s="2">
        <v>5000</v>
      </c>
      <c r="AI73" s="2">
        <v>0</v>
      </c>
      <c r="AJ73" s="2">
        <v>0</v>
      </c>
      <c r="AK73" s="2">
        <v>0</v>
      </c>
      <c r="AL73" s="2">
        <v>0</v>
      </c>
      <c r="AM73" s="2">
        <v>0</v>
      </c>
      <c r="AN73" s="2">
        <v>0</v>
      </c>
      <c r="AO73" s="2">
        <v>50</v>
      </c>
      <c r="AP73" s="2">
        <v>0</v>
      </c>
      <c r="AQ73" s="2">
        <v>0</v>
      </c>
      <c r="AR73" s="2">
        <v>2000</v>
      </c>
      <c r="AS73" s="2">
        <v>0</v>
      </c>
      <c r="AT73" s="2">
        <v>15150</v>
      </c>
      <c r="AU73" s="2">
        <v>2150</v>
      </c>
      <c r="AV73" s="2">
        <v>0</v>
      </c>
      <c r="AW73" s="2">
        <v>0</v>
      </c>
      <c r="AX73" s="2">
        <v>0</v>
      </c>
      <c r="AZ73" s="29">
        <f t="shared" si="1"/>
        <v>0</v>
      </c>
      <c r="BA73" s="131">
        <v>20000</v>
      </c>
      <c r="BD73" s="2" t="s">
        <v>394</v>
      </c>
      <c r="BF73" s="130"/>
    </row>
    <row r="74" spans="1:58" ht="15.75">
      <c r="A74" s="20" t="s">
        <v>424</v>
      </c>
      <c r="B74" s="20" t="s">
        <v>147</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260325</v>
      </c>
      <c r="V74" s="2">
        <v>0</v>
      </c>
      <c r="W74" s="2">
        <v>0</v>
      </c>
      <c r="X74" s="2">
        <v>0</v>
      </c>
      <c r="Y74" s="2">
        <v>0</v>
      </c>
      <c r="Z74" s="2">
        <v>0</v>
      </c>
      <c r="AA74" s="2">
        <v>0</v>
      </c>
      <c r="AB74" s="2">
        <v>0</v>
      </c>
      <c r="AC74" s="2">
        <v>0</v>
      </c>
      <c r="AD74" s="2">
        <v>0</v>
      </c>
      <c r="AE74" s="2">
        <v>0</v>
      </c>
      <c r="AF74" s="2">
        <v>260325</v>
      </c>
      <c r="AG74" s="2">
        <v>12413</v>
      </c>
      <c r="AH74" s="2">
        <v>6500</v>
      </c>
      <c r="AI74" s="2">
        <v>0</v>
      </c>
      <c r="AJ74" s="2">
        <v>24171</v>
      </c>
      <c r="AK74" s="2">
        <v>0</v>
      </c>
      <c r="AL74" s="2">
        <v>4000</v>
      </c>
      <c r="AM74" s="2">
        <v>0</v>
      </c>
      <c r="AN74" s="2">
        <v>0</v>
      </c>
      <c r="AO74" s="2">
        <v>25744</v>
      </c>
      <c r="AP74" s="2">
        <v>0</v>
      </c>
      <c r="AQ74" s="2">
        <v>0</v>
      </c>
      <c r="AR74" s="2">
        <v>34000</v>
      </c>
      <c r="AS74" s="2">
        <v>0</v>
      </c>
      <c r="AT74" s="2">
        <v>106828</v>
      </c>
      <c r="AU74" s="2">
        <v>3380</v>
      </c>
      <c r="AV74" s="2">
        <v>0</v>
      </c>
      <c r="AW74" s="2">
        <v>0</v>
      </c>
      <c r="AX74" s="2">
        <v>0</v>
      </c>
      <c r="AZ74" s="29">
        <f t="shared" si="1"/>
        <v>0</v>
      </c>
      <c r="BA74" s="131">
        <v>20000</v>
      </c>
      <c r="BD74" s="2" t="s">
        <v>424</v>
      </c>
      <c r="BF74" s="130"/>
    </row>
    <row r="75" spans="1:58" ht="15.75">
      <c r="A75" s="20" t="s">
        <v>530</v>
      </c>
      <c r="B75" s="20" t="s">
        <v>253</v>
      </c>
      <c r="D75" s="2">
        <v>0</v>
      </c>
      <c r="E75" s="2">
        <v>0</v>
      </c>
      <c r="F75" s="2">
        <v>0</v>
      </c>
      <c r="G75" s="2">
        <v>0</v>
      </c>
      <c r="H75" s="2">
        <v>0</v>
      </c>
      <c r="I75" s="2">
        <v>0</v>
      </c>
      <c r="J75" s="2">
        <v>0</v>
      </c>
      <c r="K75" s="2">
        <v>0</v>
      </c>
      <c r="L75" s="2">
        <v>0</v>
      </c>
      <c r="M75" s="2">
        <v>0</v>
      </c>
      <c r="N75" s="2">
        <v>0</v>
      </c>
      <c r="O75" s="2">
        <v>0</v>
      </c>
      <c r="P75" s="2">
        <v>9100</v>
      </c>
      <c r="Q75" s="2">
        <v>0</v>
      </c>
      <c r="R75" s="2">
        <v>0</v>
      </c>
      <c r="S75" s="2">
        <v>0</v>
      </c>
      <c r="T75" s="2">
        <v>9100</v>
      </c>
      <c r="U75" s="2">
        <v>240007</v>
      </c>
      <c r="V75" s="2">
        <v>30000</v>
      </c>
      <c r="W75" s="2">
        <v>0</v>
      </c>
      <c r="X75" s="2">
        <v>0</v>
      </c>
      <c r="Y75" s="2">
        <v>0</v>
      </c>
      <c r="Z75" s="2">
        <v>0</v>
      </c>
      <c r="AA75" s="2">
        <v>0</v>
      </c>
      <c r="AB75" s="2">
        <v>15000</v>
      </c>
      <c r="AC75" s="2">
        <v>0</v>
      </c>
      <c r="AD75" s="2">
        <v>0</v>
      </c>
      <c r="AE75" s="2">
        <v>0</v>
      </c>
      <c r="AF75" s="2">
        <v>285007</v>
      </c>
      <c r="AG75" s="2">
        <v>15000</v>
      </c>
      <c r="AH75" s="2">
        <v>10000</v>
      </c>
      <c r="AI75" s="2">
        <v>0</v>
      </c>
      <c r="AJ75" s="2">
        <v>20000</v>
      </c>
      <c r="AK75" s="2">
        <v>0</v>
      </c>
      <c r="AL75" s="2">
        <v>0</v>
      </c>
      <c r="AM75" s="2">
        <v>0</v>
      </c>
      <c r="AN75" s="2">
        <v>0</v>
      </c>
      <c r="AO75" s="2">
        <v>0</v>
      </c>
      <c r="AP75" s="2">
        <v>0</v>
      </c>
      <c r="AQ75" s="2">
        <v>0</v>
      </c>
      <c r="AR75" s="2">
        <v>0</v>
      </c>
      <c r="AS75" s="2">
        <v>0</v>
      </c>
      <c r="AT75" s="2">
        <v>45000</v>
      </c>
      <c r="AU75" s="2">
        <v>17000</v>
      </c>
      <c r="AV75" s="2">
        <v>0</v>
      </c>
      <c r="AW75" s="2">
        <v>0</v>
      </c>
      <c r="AX75" s="2">
        <v>0</v>
      </c>
      <c r="AZ75" s="29">
        <f t="shared" si="1"/>
        <v>0</v>
      </c>
      <c r="BA75" s="131">
        <v>20000</v>
      </c>
      <c r="BD75" s="2" t="s">
        <v>530</v>
      </c>
      <c r="BF75" s="130"/>
    </row>
    <row r="76" spans="1:58" ht="15.75">
      <c r="A76" s="20" t="s">
        <v>549</v>
      </c>
      <c r="B76" s="20" t="s">
        <v>270</v>
      </c>
      <c r="D76" s="2">
        <v>0</v>
      </c>
      <c r="E76" s="2">
        <v>0</v>
      </c>
      <c r="F76" s="2">
        <v>0</v>
      </c>
      <c r="G76" s="2">
        <v>0</v>
      </c>
      <c r="H76" s="2">
        <v>0</v>
      </c>
      <c r="I76" s="2">
        <v>0</v>
      </c>
      <c r="J76" s="2">
        <v>0</v>
      </c>
      <c r="K76" s="2">
        <v>0</v>
      </c>
      <c r="L76" s="2">
        <v>1500</v>
      </c>
      <c r="M76" s="2">
        <v>0</v>
      </c>
      <c r="N76" s="2">
        <v>0</v>
      </c>
      <c r="O76" s="2">
        <v>0</v>
      </c>
      <c r="P76" s="2">
        <v>0</v>
      </c>
      <c r="Q76" s="2">
        <v>0</v>
      </c>
      <c r="R76" s="2">
        <v>0</v>
      </c>
      <c r="S76" s="2">
        <v>0</v>
      </c>
      <c r="T76" s="2">
        <v>1500</v>
      </c>
      <c r="U76" s="2">
        <v>286933</v>
      </c>
      <c r="V76" s="2">
        <v>37000</v>
      </c>
      <c r="W76" s="2">
        <v>0</v>
      </c>
      <c r="X76" s="2">
        <v>0</v>
      </c>
      <c r="Y76" s="2">
        <v>0</v>
      </c>
      <c r="Z76" s="2">
        <v>0</v>
      </c>
      <c r="AA76" s="2">
        <v>0</v>
      </c>
      <c r="AB76" s="2">
        <v>0</v>
      </c>
      <c r="AC76" s="2">
        <v>0</v>
      </c>
      <c r="AD76" s="2">
        <v>24000</v>
      </c>
      <c r="AE76" s="2">
        <v>0</v>
      </c>
      <c r="AF76" s="2">
        <v>347933</v>
      </c>
      <c r="AG76" s="2">
        <v>5000</v>
      </c>
      <c r="AH76" s="2">
        <v>8000</v>
      </c>
      <c r="AI76" s="2">
        <v>0</v>
      </c>
      <c r="AJ76" s="2">
        <v>23197</v>
      </c>
      <c r="AK76" s="2">
        <v>0</v>
      </c>
      <c r="AL76" s="2">
        <v>0</v>
      </c>
      <c r="AM76" s="2">
        <v>0</v>
      </c>
      <c r="AN76" s="2">
        <v>0</v>
      </c>
      <c r="AO76" s="2">
        <v>0</v>
      </c>
      <c r="AP76" s="2">
        <v>0</v>
      </c>
      <c r="AQ76" s="2">
        <v>0</v>
      </c>
      <c r="AR76" s="2">
        <v>14410</v>
      </c>
      <c r="AS76" s="2">
        <v>0</v>
      </c>
      <c r="AT76" s="2">
        <v>50607</v>
      </c>
      <c r="AU76" s="2">
        <v>5823</v>
      </c>
      <c r="AV76" s="2">
        <v>0</v>
      </c>
      <c r="AW76" s="2">
        <v>0</v>
      </c>
      <c r="AX76" s="2">
        <v>0</v>
      </c>
      <c r="AZ76" s="29">
        <f t="shared" si="1"/>
        <v>0</v>
      </c>
      <c r="BA76" s="131">
        <v>30000</v>
      </c>
      <c r="BD76" s="2" t="s">
        <v>549</v>
      </c>
      <c r="BF76" s="130"/>
    </row>
    <row r="77" spans="1:58" ht="15.75">
      <c r="A77" s="20" t="s">
        <v>408</v>
      </c>
      <c r="B77" s="20" t="s">
        <v>131</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134007</v>
      </c>
      <c r="V77" s="2">
        <v>11000</v>
      </c>
      <c r="W77" s="2">
        <v>0</v>
      </c>
      <c r="X77" s="2">
        <v>0</v>
      </c>
      <c r="Y77" s="2">
        <v>0</v>
      </c>
      <c r="Z77" s="2">
        <v>0</v>
      </c>
      <c r="AA77" s="2">
        <v>0</v>
      </c>
      <c r="AB77" s="2">
        <v>18500</v>
      </c>
      <c r="AC77" s="2">
        <v>3</v>
      </c>
      <c r="AD77" s="2">
        <v>28000</v>
      </c>
      <c r="AE77" s="2">
        <v>0</v>
      </c>
      <c r="AF77" s="2">
        <v>191510</v>
      </c>
      <c r="AG77" s="2">
        <v>25600</v>
      </c>
      <c r="AH77" s="2">
        <v>0</v>
      </c>
      <c r="AI77" s="2">
        <v>0</v>
      </c>
      <c r="AJ77" s="2">
        <v>0</v>
      </c>
      <c r="AK77" s="2">
        <v>0</v>
      </c>
      <c r="AL77" s="2">
        <v>0</v>
      </c>
      <c r="AM77" s="2">
        <v>0</v>
      </c>
      <c r="AN77" s="2">
        <v>0</v>
      </c>
      <c r="AO77" s="2">
        <v>0</v>
      </c>
      <c r="AP77" s="2">
        <v>0</v>
      </c>
      <c r="AQ77" s="2">
        <v>0</v>
      </c>
      <c r="AR77" s="2">
        <v>0</v>
      </c>
      <c r="AS77" s="2">
        <v>0</v>
      </c>
      <c r="AT77" s="2">
        <v>25600</v>
      </c>
      <c r="AU77" s="2">
        <v>0</v>
      </c>
      <c r="AV77" s="2">
        <v>0</v>
      </c>
      <c r="AW77" s="2">
        <v>0</v>
      </c>
      <c r="AX77" s="2">
        <v>0</v>
      </c>
      <c r="AZ77" s="29">
        <f t="shared" si="1"/>
        <v>0</v>
      </c>
      <c r="BA77" s="131">
        <v>20000</v>
      </c>
      <c r="BD77" s="2" t="s">
        <v>408</v>
      </c>
      <c r="BF77" s="130"/>
    </row>
    <row r="78" spans="1:58" ht="15.75">
      <c r="A78" s="20" t="s">
        <v>479</v>
      </c>
      <c r="B78" s="20" t="s">
        <v>202</v>
      </c>
      <c r="D78" s="2">
        <v>0</v>
      </c>
      <c r="E78" s="2">
        <v>0</v>
      </c>
      <c r="F78" s="2">
        <v>0</v>
      </c>
      <c r="G78" s="2">
        <v>0</v>
      </c>
      <c r="H78" s="2">
        <v>8083</v>
      </c>
      <c r="I78" s="2">
        <v>8083</v>
      </c>
      <c r="J78" s="2">
        <v>0</v>
      </c>
      <c r="K78" s="2">
        <v>0</v>
      </c>
      <c r="L78" s="2">
        <v>0</v>
      </c>
      <c r="M78" s="2">
        <v>0</v>
      </c>
      <c r="N78" s="2">
        <v>0</v>
      </c>
      <c r="O78" s="2">
        <v>0</v>
      </c>
      <c r="P78" s="2">
        <v>145</v>
      </c>
      <c r="Q78" s="2">
        <v>0</v>
      </c>
      <c r="R78" s="2">
        <v>0</v>
      </c>
      <c r="S78" s="2">
        <v>7441</v>
      </c>
      <c r="T78" s="2">
        <v>7586</v>
      </c>
      <c r="U78" s="2">
        <v>0</v>
      </c>
      <c r="V78" s="2">
        <v>221575</v>
      </c>
      <c r="W78" s="2">
        <v>0</v>
      </c>
      <c r="X78" s="2">
        <v>45000</v>
      </c>
      <c r="Y78" s="2">
        <v>0</v>
      </c>
      <c r="Z78" s="2">
        <v>0</v>
      </c>
      <c r="AA78" s="2">
        <v>121575</v>
      </c>
      <c r="AB78" s="2">
        <v>10000</v>
      </c>
      <c r="AC78" s="2">
        <v>0</v>
      </c>
      <c r="AD78" s="2">
        <v>193500</v>
      </c>
      <c r="AE78" s="2">
        <v>140</v>
      </c>
      <c r="AF78" s="2">
        <v>591790</v>
      </c>
      <c r="AG78" s="2">
        <v>16199</v>
      </c>
      <c r="AH78" s="2">
        <v>0</v>
      </c>
      <c r="AI78" s="2">
        <v>6500</v>
      </c>
      <c r="AJ78" s="2">
        <v>0</v>
      </c>
      <c r="AK78" s="2">
        <v>0</v>
      </c>
      <c r="AL78" s="2">
        <v>0</v>
      </c>
      <c r="AM78" s="2">
        <v>0</v>
      </c>
      <c r="AN78" s="2">
        <v>0</v>
      </c>
      <c r="AO78" s="2">
        <v>0</v>
      </c>
      <c r="AP78" s="2">
        <v>0</v>
      </c>
      <c r="AQ78" s="2">
        <v>83168</v>
      </c>
      <c r="AR78" s="2">
        <v>157000</v>
      </c>
      <c r="AS78" s="2">
        <v>28823</v>
      </c>
      <c r="AT78" s="2">
        <v>291690</v>
      </c>
      <c r="AU78" s="2">
        <v>0</v>
      </c>
      <c r="AV78" s="2">
        <v>0</v>
      </c>
      <c r="AW78" s="2">
        <v>0</v>
      </c>
      <c r="AX78" s="2">
        <v>0</v>
      </c>
      <c r="AZ78" s="29">
        <f t="shared" si="1"/>
        <v>0</v>
      </c>
      <c r="BA78" s="131">
        <v>30000</v>
      </c>
      <c r="BD78" s="2" t="s">
        <v>479</v>
      </c>
      <c r="BF78" s="130"/>
    </row>
    <row r="79" spans="1:58" ht="15.75">
      <c r="A79" s="20" t="s">
        <v>497</v>
      </c>
      <c r="B79" s="20" t="s">
        <v>220</v>
      </c>
      <c r="D79" s="2">
        <v>0</v>
      </c>
      <c r="E79" s="2">
        <v>0</v>
      </c>
      <c r="F79" s="2">
        <v>0</v>
      </c>
      <c r="G79" s="2">
        <v>0</v>
      </c>
      <c r="H79" s="2">
        <v>6600</v>
      </c>
      <c r="I79" s="2">
        <v>6600</v>
      </c>
      <c r="J79" s="2">
        <v>0</v>
      </c>
      <c r="K79" s="2">
        <v>0</v>
      </c>
      <c r="L79" s="2">
        <v>0</v>
      </c>
      <c r="M79" s="2">
        <v>0</v>
      </c>
      <c r="N79" s="2">
        <v>0</v>
      </c>
      <c r="O79" s="2">
        <v>0</v>
      </c>
      <c r="P79" s="2">
        <v>0</v>
      </c>
      <c r="Q79" s="2">
        <v>576</v>
      </c>
      <c r="R79" s="2">
        <v>0</v>
      </c>
      <c r="S79" s="2">
        <v>0</v>
      </c>
      <c r="T79" s="2">
        <v>576</v>
      </c>
      <c r="U79" s="2">
        <v>15723</v>
      </c>
      <c r="V79" s="2">
        <v>125500</v>
      </c>
      <c r="W79" s="2">
        <v>0</v>
      </c>
      <c r="X79" s="2">
        <v>0</v>
      </c>
      <c r="Y79" s="2">
        <v>0</v>
      </c>
      <c r="Z79" s="2">
        <v>0</v>
      </c>
      <c r="AA79" s="2">
        <v>0</v>
      </c>
      <c r="AB79" s="2">
        <v>0</v>
      </c>
      <c r="AC79" s="2">
        <v>24</v>
      </c>
      <c r="AD79" s="2">
        <v>0</v>
      </c>
      <c r="AE79" s="2">
        <v>0</v>
      </c>
      <c r="AF79" s="2">
        <v>141247</v>
      </c>
      <c r="AG79" s="2">
        <v>22500</v>
      </c>
      <c r="AH79" s="2">
        <v>5000</v>
      </c>
      <c r="AI79" s="2">
        <v>0</v>
      </c>
      <c r="AJ79" s="2">
        <v>0</v>
      </c>
      <c r="AK79" s="2">
        <v>0</v>
      </c>
      <c r="AL79" s="2">
        <v>6500</v>
      </c>
      <c r="AM79" s="2">
        <v>0</v>
      </c>
      <c r="AN79" s="2">
        <v>0</v>
      </c>
      <c r="AO79" s="2">
        <v>41969</v>
      </c>
      <c r="AP79" s="2">
        <v>0</v>
      </c>
      <c r="AQ79" s="2">
        <v>0</v>
      </c>
      <c r="AR79" s="2">
        <v>10500</v>
      </c>
      <c r="AS79" s="2">
        <v>0</v>
      </c>
      <c r="AT79" s="2">
        <v>86469</v>
      </c>
      <c r="AU79" s="2">
        <v>34030</v>
      </c>
      <c r="AV79" s="2">
        <v>0</v>
      </c>
      <c r="AW79" s="2">
        <v>0</v>
      </c>
      <c r="AX79" s="2">
        <v>0</v>
      </c>
      <c r="AZ79" s="29">
        <f t="shared" si="1"/>
        <v>0</v>
      </c>
      <c r="BA79" s="131">
        <v>20000</v>
      </c>
      <c r="BD79" s="2" t="s">
        <v>497</v>
      </c>
      <c r="BF79" s="130"/>
    </row>
    <row r="80" spans="1:58" ht="15.75">
      <c r="A80" s="20" t="s">
        <v>503</v>
      </c>
      <c r="B80" s="20" t="s">
        <v>226</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11333</v>
      </c>
      <c r="V80" s="2">
        <v>75000</v>
      </c>
      <c r="W80" s="2">
        <v>0</v>
      </c>
      <c r="X80" s="2">
        <v>0</v>
      </c>
      <c r="Y80" s="2">
        <v>0</v>
      </c>
      <c r="Z80" s="2">
        <v>0</v>
      </c>
      <c r="AA80" s="2">
        <v>0</v>
      </c>
      <c r="AB80" s="2">
        <v>0</v>
      </c>
      <c r="AC80" s="2">
        <v>0</v>
      </c>
      <c r="AD80" s="2">
        <v>55000</v>
      </c>
      <c r="AE80" s="2">
        <v>0</v>
      </c>
      <c r="AF80" s="2">
        <v>141333</v>
      </c>
      <c r="AG80" s="2">
        <v>25005</v>
      </c>
      <c r="AH80" s="2">
        <v>0</v>
      </c>
      <c r="AI80" s="2">
        <v>0</v>
      </c>
      <c r="AJ80" s="2">
        <v>3000</v>
      </c>
      <c r="AK80" s="2">
        <v>0</v>
      </c>
      <c r="AL80" s="2">
        <v>0</v>
      </c>
      <c r="AM80" s="2">
        <v>0</v>
      </c>
      <c r="AN80" s="2">
        <v>0</v>
      </c>
      <c r="AO80" s="2">
        <v>0</v>
      </c>
      <c r="AP80" s="2">
        <v>0</v>
      </c>
      <c r="AQ80" s="2">
        <v>0</v>
      </c>
      <c r="AR80" s="2">
        <v>0</v>
      </c>
      <c r="AS80" s="2">
        <v>0</v>
      </c>
      <c r="AT80" s="2">
        <v>28005</v>
      </c>
      <c r="AU80" s="2">
        <v>26365</v>
      </c>
      <c r="AV80" s="2">
        <v>0</v>
      </c>
      <c r="AW80" s="2">
        <v>0</v>
      </c>
      <c r="AX80" s="2">
        <v>0</v>
      </c>
      <c r="AZ80" s="29">
        <f t="shared" si="1"/>
        <v>0</v>
      </c>
      <c r="BA80" s="131">
        <v>20000</v>
      </c>
      <c r="BD80" s="2" t="s">
        <v>503</v>
      </c>
      <c r="BF80" s="130"/>
    </row>
    <row r="81" spans="1:58" ht="15.75">
      <c r="A81" s="20" t="s">
        <v>521</v>
      </c>
      <c r="B81" s="20" t="s">
        <v>244</v>
      </c>
      <c r="D81" s="2">
        <v>0</v>
      </c>
      <c r="E81" s="2">
        <v>0</v>
      </c>
      <c r="F81" s="2">
        <v>0</v>
      </c>
      <c r="G81" s="2">
        <v>0</v>
      </c>
      <c r="H81" s="2">
        <v>0</v>
      </c>
      <c r="I81" s="2">
        <v>0</v>
      </c>
      <c r="J81" s="2">
        <v>0</v>
      </c>
      <c r="K81" s="2">
        <v>0</v>
      </c>
      <c r="L81" s="2">
        <v>0</v>
      </c>
      <c r="M81" s="2">
        <v>0</v>
      </c>
      <c r="N81" s="2">
        <v>0</v>
      </c>
      <c r="O81" s="2">
        <v>0</v>
      </c>
      <c r="P81" s="2">
        <v>60600</v>
      </c>
      <c r="Q81" s="2">
        <v>28</v>
      </c>
      <c r="R81" s="2">
        <v>0</v>
      </c>
      <c r="S81" s="2">
        <v>0</v>
      </c>
      <c r="T81" s="2">
        <v>60628</v>
      </c>
      <c r="U81" s="2">
        <v>300231</v>
      </c>
      <c r="V81" s="2">
        <v>77500</v>
      </c>
      <c r="W81" s="2">
        <v>0</v>
      </c>
      <c r="X81" s="2">
        <v>0</v>
      </c>
      <c r="Y81" s="2">
        <v>0</v>
      </c>
      <c r="Z81" s="2">
        <v>0</v>
      </c>
      <c r="AA81" s="2">
        <v>0</v>
      </c>
      <c r="AB81" s="2">
        <v>0</v>
      </c>
      <c r="AC81" s="2">
        <v>0</v>
      </c>
      <c r="AD81" s="2">
        <v>0</v>
      </c>
      <c r="AE81" s="2">
        <v>0</v>
      </c>
      <c r="AF81" s="2">
        <v>377731</v>
      </c>
      <c r="AG81" s="2">
        <v>7500</v>
      </c>
      <c r="AH81" s="2">
        <v>5000</v>
      </c>
      <c r="AI81" s="2">
        <v>0</v>
      </c>
      <c r="AJ81" s="2">
        <v>10000</v>
      </c>
      <c r="AK81" s="2">
        <v>0</v>
      </c>
      <c r="AL81" s="2">
        <v>0</v>
      </c>
      <c r="AM81" s="2">
        <v>0</v>
      </c>
      <c r="AN81" s="2">
        <v>0</v>
      </c>
      <c r="AO81" s="2">
        <v>0</v>
      </c>
      <c r="AP81" s="2">
        <v>0</v>
      </c>
      <c r="AQ81" s="2">
        <v>0</v>
      </c>
      <c r="AR81" s="2">
        <v>0</v>
      </c>
      <c r="AS81" s="2">
        <v>0</v>
      </c>
      <c r="AT81" s="2">
        <v>22500</v>
      </c>
      <c r="AU81" s="2">
        <v>975</v>
      </c>
      <c r="AV81" s="2">
        <v>0</v>
      </c>
      <c r="AW81" s="2">
        <v>0</v>
      </c>
      <c r="AX81" s="2">
        <v>0</v>
      </c>
      <c r="AZ81" s="29">
        <f t="shared" si="1"/>
        <v>0</v>
      </c>
      <c r="BA81" s="131">
        <v>20000</v>
      </c>
      <c r="BD81" s="2" t="s">
        <v>521</v>
      </c>
      <c r="BF81" s="130"/>
    </row>
    <row r="82" spans="1:58" ht="15.75">
      <c r="A82" s="20" t="s">
        <v>548</v>
      </c>
      <c r="B82" s="20" t="s">
        <v>269</v>
      </c>
      <c r="D82" s="2">
        <v>0</v>
      </c>
      <c r="E82" s="2">
        <v>0</v>
      </c>
      <c r="F82" s="2">
        <v>0</v>
      </c>
      <c r="G82" s="2">
        <v>0</v>
      </c>
      <c r="H82" s="2">
        <v>0</v>
      </c>
      <c r="I82" s="2">
        <v>0</v>
      </c>
      <c r="J82" s="2">
        <v>0</v>
      </c>
      <c r="K82" s="2">
        <v>0</v>
      </c>
      <c r="L82" s="2">
        <v>0</v>
      </c>
      <c r="M82" s="2">
        <v>1000</v>
      </c>
      <c r="N82" s="2">
        <v>0</v>
      </c>
      <c r="O82" s="2">
        <v>0</v>
      </c>
      <c r="P82" s="2">
        <v>0</v>
      </c>
      <c r="Q82" s="2">
        <v>0</v>
      </c>
      <c r="R82" s="2">
        <v>0</v>
      </c>
      <c r="S82" s="2">
        <v>0</v>
      </c>
      <c r="T82" s="2">
        <v>1000</v>
      </c>
      <c r="U82" s="2">
        <v>380277</v>
      </c>
      <c r="V82" s="2">
        <v>0</v>
      </c>
      <c r="W82" s="2">
        <v>0</v>
      </c>
      <c r="X82" s="2">
        <v>1912</v>
      </c>
      <c r="Y82" s="2">
        <v>0</v>
      </c>
      <c r="Z82" s="2">
        <v>0</v>
      </c>
      <c r="AA82" s="2">
        <v>0</v>
      </c>
      <c r="AB82" s="2">
        <v>0</v>
      </c>
      <c r="AC82" s="2">
        <v>0</v>
      </c>
      <c r="AD82" s="2">
        <v>0</v>
      </c>
      <c r="AE82" s="2">
        <v>0</v>
      </c>
      <c r="AF82" s="2">
        <v>382189</v>
      </c>
      <c r="AG82" s="2">
        <v>39800</v>
      </c>
      <c r="AH82" s="2">
        <v>20000</v>
      </c>
      <c r="AI82" s="2">
        <v>0</v>
      </c>
      <c r="AJ82" s="2">
        <v>0</v>
      </c>
      <c r="AK82" s="2">
        <v>0</v>
      </c>
      <c r="AL82" s="2">
        <v>0</v>
      </c>
      <c r="AM82" s="2">
        <v>0</v>
      </c>
      <c r="AN82" s="2">
        <v>0</v>
      </c>
      <c r="AO82" s="2">
        <v>0</v>
      </c>
      <c r="AP82" s="2">
        <v>0</v>
      </c>
      <c r="AQ82" s="2">
        <v>0</v>
      </c>
      <c r="AR82" s="2">
        <v>8000</v>
      </c>
      <c r="AS82" s="2">
        <v>0</v>
      </c>
      <c r="AT82" s="2">
        <v>67800</v>
      </c>
      <c r="AU82" s="2">
        <v>6000</v>
      </c>
      <c r="AV82" s="2">
        <v>0</v>
      </c>
      <c r="AW82" s="2">
        <v>0</v>
      </c>
      <c r="AX82" s="2">
        <v>0</v>
      </c>
      <c r="AZ82" s="29">
        <f t="shared" si="1"/>
        <v>0</v>
      </c>
      <c r="BA82" s="131">
        <v>20000</v>
      </c>
      <c r="BD82" s="2" t="s">
        <v>548</v>
      </c>
      <c r="BF82" s="130"/>
    </row>
    <row r="83" spans="1:58" ht="15.75">
      <c r="A83" s="20" t="s">
        <v>475</v>
      </c>
      <c r="B83" s="20" t="s">
        <v>198</v>
      </c>
      <c r="D83" s="2">
        <v>0</v>
      </c>
      <c r="E83" s="2">
        <v>0</v>
      </c>
      <c r="F83" s="2">
        <v>0</v>
      </c>
      <c r="G83" s="2">
        <v>0</v>
      </c>
      <c r="H83" s="2">
        <v>6523</v>
      </c>
      <c r="I83" s="2">
        <v>6523</v>
      </c>
      <c r="J83" s="2">
        <v>0</v>
      </c>
      <c r="K83" s="2">
        <v>0</v>
      </c>
      <c r="L83" s="2">
        <v>0</v>
      </c>
      <c r="M83" s="2">
        <v>0</v>
      </c>
      <c r="N83" s="2">
        <v>0</v>
      </c>
      <c r="O83" s="2">
        <v>0</v>
      </c>
      <c r="P83" s="2">
        <v>20000</v>
      </c>
      <c r="Q83" s="2">
        <v>0</v>
      </c>
      <c r="R83" s="2">
        <v>0</v>
      </c>
      <c r="S83" s="2">
        <v>0</v>
      </c>
      <c r="T83" s="2">
        <v>20000</v>
      </c>
      <c r="U83" s="2">
        <v>240000</v>
      </c>
      <c r="V83" s="2">
        <v>170000</v>
      </c>
      <c r="W83" s="2">
        <v>0</v>
      </c>
      <c r="X83" s="2">
        <v>0</v>
      </c>
      <c r="Y83" s="2">
        <v>0</v>
      </c>
      <c r="Z83" s="2">
        <v>0</v>
      </c>
      <c r="AA83" s="2">
        <v>0</v>
      </c>
      <c r="AB83" s="2">
        <v>20000</v>
      </c>
      <c r="AC83" s="2">
        <v>0</v>
      </c>
      <c r="AD83" s="2">
        <v>0</v>
      </c>
      <c r="AE83" s="2">
        <v>0</v>
      </c>
      <c r="AF83" s="2">
        <v>430000</v>
      </c>
      <c r="AG83" s="2">
        <v>23200</v>
      </c>
      <c r="AH83" s="2">
        <v>0</v>
      </c>
      <c r="AI83" s="2">
        <v>0</v>
      </c>
      <c r="AJ83" s="2">
        <v>0</v>
      </c>
      <c r="AK83" s="2">
        <v>0</v>
      </c>
      <c r="AL83" s="2">
        <v>0</v>
      </c>
      <c r="AM83" s="2">
        <v>0</v>
      </c>
      <c r="AN83" s="2">
        <v>0</v>
      </c>
      <c r="AO83" s="2">
        <v>0</v>
      </c>
      <c r="AP83" s="2">
        <v>0</v>
      </c>
      <c r="AQ83" s="2">
        <v>0</v>
      </c>
      <c r="AR83" s="2">
        <v>0</v>
      </c>
      <c r="AS83" s="2">
        <v>0</v>
      </c>
      <c r="AT83" s="2">
        <v>23200</v>
      </c>
      <c r="AU83" s="2">
        <v>85000</v>
      </c>
      <c r="AV83" s="2">
        <v>0</v>
      </c>
      <c r="AW83" s="2">
        <v>0</v>
      </c>
      <c r="AX83" s="2">
        <v>0</v>
      </c>
      <c r="AZ83" s="29">
        <f t="shared" si="1"/>
        <v>0</v>
      </c>
      <c r="BA83" s="131">
        <v>40000</v>
      </c>
      <c r="BD83" s="2" t="s">
        <v>475</v>
      </c>
      <c r="BF83" s="130"/>
    </row>
    <row r="84" spans="1:58" ht="15.75">
      <c r="A84" s="20" t="s">
        <v>507</v>
      </c>
      <c r="B84" s="20" t="s">
        <v>230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110177</v>
      </c>
      <c r="V84" s="2">
        <v>0</v>
      </c>
      <c r="W84" s="2">
        <v>0</v>
      </c>
      <c r="X84" s="2">
        <v>0</v>
      </c>
      <c r="Y84" s="2">
        <v>0</v>
      </c>
      <c r="Z84" s="2">
        <v>0</v>
      </c>
      <c r="AA84" s="2">
        <v>0</v>
      </c>
      <c r="AB84" s="2">
        <v>0</v>
      </c>
      <c r="AC84" s="2">
        <v>16</v>
      </c>
      <c r="AD84" s="2">
        <v>0</v>
      </c>
      <c r="AE84" s="2">
        <v>0</v>
      </c>
      <c r="AF84" s="2">
        <v>110193</v>
      </c>
      <c r="AG84" s="2">
        <v>32000</v>
      </c>
      <c r="AH84" s="2">
        <v>0</v>
      </c>
      <c r="AI84" s="2">
        <v>0</v>
      </c>
      <c r="AJ84" s="2">
        <v>0</v>
      </c>
      <c r="AK84" s="2">
        <v>0</v>
      </c>
      <c r="AL84" s="2">
        <v>0</v>
      </c>
      <c r="AM84" s="2">
        <v>0</v>
      </c>
      <c r="AN84" s="2">
        <v>0</v>
      </c>
      <c r="AO84" s="2">
        <v>0</v>
      </c>
      <c r="AP84" s="2">
        <v>0</v>
      </c>
      <c r="AQ84" s="2">
        <v>0</v>
      </c>
      <c r="AR84" s="2">
        <v>0</v>
      </c>
      <c r="AS84" s="2">
        <v>0</v>
      </c>
      <c r="AT84" s="2">
        <v>32000</v>
      </c>
      <c r="AU84" s="2">
        <v>34990</v>
      </c>
      <c r="AV84" s="2">
        <v>10</v>
      </c>
      <c r="AW84" s="2">
        <v>0</v>
      </c>
      <c r="AX84" s="2">
        <v>0</v>
      </c>
      <c r="AZ84" s="29">
        <f t="shared" si="1"/>
        <v>0.2</v>
      </c>
      <c r="BA84" s="131">
        <v>20000</v>
      </c>
      <c r="BD84" s="2" t="s">
        <v>507</v>
      </c>
      <c r="BF84" s="130"/>
    </row>
    <row r="85" spans="1:58" ht="15.75">
      <c r="A85" s="20" t="s">
        <v>550</v>
      </c>
      <c r="B85" s="20" t="s">
        <v>271</v>
      </c>
      <c r="D85" s="2">
        <v>0</v>
      </c>
      <c r="E85" s="2">
        <v>0</v>
      </c>
      <c r="F85" s="2">
        <v>0</v>
      </c>
      <c r="G85" s="2">
        <v>0</v>
      </c>
      <c r="H85" s="2">
        <v>0</v>
      </c>
      <c r="I85" s="2">
        <v>0</v>
      </c>
      <c r="J85" s="2">
        <v>0</v>
      </c>
      <c r="K85" s="2">
        <v>0</v>
      </c>
      <c r="L85" s="2">
        <v>0</v>
      </c>
      <c r="M85" s="2">
        <v>0</v>
      </c>
      <c r="N85" s="2">
        <v>0</v>
      </c>
      <c r="O85" s="2">
        <v>0</v>
      </c>
      <c r="P85" s="2">
        <v>10000</v>
      </c>
      <c r="Q85" s="2">
        <v>0</v>
      </c>
      <c r="R85" s="2">
        <v>0</v>
      </c>
      <c r="S85" s="2">
        <v>0</v>
      </c>
      <c r="T85" s="2">
        <v>10000</v>
      </c>
      <c r="U85" s="2">
        <v>32029</v>
      </c>
      <c r="V85" s="2">
        <v>41500</v>
      </c>
      <c r="W85" s="2">
        <v>0</v>
      </c>
      <c r="X85" s="2">
        <v>0</v>
      </c>
      <c r="Y85" s="2">
        <v>0</v>
      </c>
      <c r="Z85" s="2">
        <v>0</v>
      </c>
      <c r="AA85" s="2">
        <v>0</v>
      </c>
      <c r="AB85" s="2">
        <v>0</v>
      </c>
      <c r="AC85" s="2">
        <v>0</v>
      </c>
      <c r="AD85" s="2">
        <v>116000</v>
      </c>
      <c r="AE85" s="2">
        <v>121</v>
      </c>
      <c r="AF85" s="2">
        <v>189650</v>
      </c>
      <c r="AG85" s="2">
        <v>13000</v>
      </c>
      <c r="AH85" s="2">
        <v>5000</v>
      </c>
      <c r="AI85" s="2">
        <v>0</v>
      </c>
      <c r="AJ85" s="2">
        <v>10000</v>
      </c>
      <c r="AK85" s="2">
        <v>0</v>
      </c>
      <c r="AL85" s="2">
        <v>3000</v>
      </c>
      <c r="AM85" s="2">
        <v>0</v>
      </c>
      <c r="AN85" s="2">
        <v>0</v>
      </c>
      <c r="AO85" s="2">
        <v>0</v>
      </c>
      <c r="AP85" s="2">
        <v>0</v>
      </c>
      <c r="AQ85" s="2">
        <v>0</v>
      </c>
      <c r="AR85" s="2">
        <v>2000</v>
      </c>
      <c r="AS85" s="2">
        <v>1300</v>
      </c>
      <c r="AT85" s="2">
        <v>34300</v>
      </c>
      <c r="AU85" s="2">
        <v>28285</v>
      </c>
      <c r="AV85" s="2">
        <v>2000</v>
      </c>
      <c r="AW85" s="2">
        <v>0</v>
      </c>
      <c r="AX85" s="2">
        <v>0</v>
      </c>
      <c r="AZ85" s="29">
        <f t="shared" si="1"/>
        <v>40</v>
      </c>
      <c r="BA85" s="131">
        <v>20000</v>
      </c>
      <c r="BD85" s="2" t="s">
        <v>550</v>
      </c>
      <c r="BF85" s="130"/>
    </row>
    <row r="86" spans="1:58" ht="15.75">
      <c r="A86" s="20" t="s">
        <v>395</v>
      </c>
      <c r="B86" s="20" t="s">
        <v>118</v>
      </c>
      <c r="D86" s="2">
        <v>0</v>
      </c>
      <c r="E86" s="2">
        <v>0</v>
      </c>
      <c r="F86" s="2">
        <v>0</v>
      </c>
      <c r="G86" s="2">
        <v>0</v>
      </c>
      <c r="H86" s="2">
        <v>0</v>
      </c>
      <c r="I86" s="2">
        <v>0</v>
      </c>
      <c r="J86" s="2">
        <v>0</v>
      </c>
      <c r="K86" s="2">
        <v>0</v>
      </c>
      <c r="L86" s="2">
        <v>0</v>
      </c>
      <c r="M86" s="2">
        <v>0</v>
      </c>
      <c r="N86" s="2">
        <v>0</v>
      </c>
      <c r="O86" s="2">
        <v>0</v>
      </c>
      <c r="P86" s="2">
        <v>41760</v>
      </c>
      <c r="Q86" s="2">
        <v>0</v>
      </c>
      <c r="R86" s="2">
        <v>0</v>
      </c>
      <c r="S86" s="2">
        <v>0</v>
      </c>
      <c r="T86" s="2">
        <v>41760</v>
      </c>
      <c r="U86" s="2">
        <v>422741</v>
      </c>
      <c r="V86" s="2">
        <v>0</v>
      </c>
      <c r="W86" s="2">
        <v>0</v>
      </c>
      <c r="X86" s="2">
        <v>0</v>
      </c>
      <c r="Y86" s="2">
        <v>0</v>
      </c>
      <c r="Z86" s="2">
        <v>0</v>
      </c>
      <c r="AA86" s="2">
        <v>0</v>
      </c>
      <c r="AB86" s="2">
        <v>0</v>
      </c>
      <c r="AC86" s="2">
        <v>0</v>
      </c>
      <c r="AD86" s="2">
        <v>63000</v>
      </c>
      <c r="AE86" s="2">
        <v>0</v>
      </c>
      <c r="AF86" s="2">
        <v>485741</v>
      </c>
      <c r="AG86" s="2">
        <v>15200</v>
      </c>
      <c r="AH86" s="2">
        <v>0</v>
      </c>
      <c r="AI86" s="2">
        <v>0</v>
      </c>
      <c r="AJ86" s="2">
        <v>8300</v>
      </c>
      <c r="AK86" s="2">
        <v>0</v>
      </c>
      <c r="AL86" s="2">
        <v>0</v>
      </c>
      <c r="AM86" s="2">
        <v>0</v>
      </c>
      <c r="AN86" s="2">
        <v>0</v>
      </c>
      <c r="AO86" s="2">
        <v>0</v>
      </c>
      <c r="AP86" s="2">
        <v>0</v>
      </c>
      <c r="AQ86" s="2">
        <v>0</v>
      </c>
      <c r="AR86" s="2">
        <v>0</v>
      </c>
      <c r="AS86" s="2">
        <v>0</v>
      </c>
      <c r="AT86" s="2">
        <v>23500</v>
      </c>
      <c r="AU86" s="2">
        <v>20200</v>
      </c>
      <c r="AV86" s="2">
        <v>0</v>
      </c>
      <c r="AW86" s="2">
        <v>0</v>
      </c>
      <c r="AX86" s="2">
        <v>0</v>
      </c>
      <c r="AZ86" s="29">
        <f t="shared" si="1"/>
        <v>0</v>
      </c>
      <c r="BA86" s="131">
        <v>20000</v>
      </c>
      <c r="BD86" s="2" t="s">
        <v>395</v>
      </c>
      <c r="BF86" s="130"/>
    </row>
    <row r="87" spans="1:58" ht="15.75">
      <c r="A87" s="20" t="s">
        <v>509</v>
      </c>
      <c r="B87" s="20" t="s">
        <v>232</v>
      </c>
      <c r="D87" s="2">
        <v>0</v>
      </c>
      <c r="E87" s="2">
        <v>0</v>
      </c>
      <c r="F87" s="2">
        <v>0</v>
      </c>
      <c r="G87" s="2">
        <v>0</v>
      </c>
      <c r="H87" s="2">
        <v>0</v>
      </c>
      <c r="I87" s="2">
        <v>0</v>
      </c>
      <c r="J87" s="2">
        <v>0</v>
      </c>
      <c r="K87" s="2">
        <v>0</v>
      </c>
      <c r="L87" s="2">
        <v>0</v>
      </c>
      <c r="M87" s="2">
        <v>0</v>
      </c>
      <c r="N87" s="2">
        <v>0</v>
      </c>
      <c r="O87" s="2">
        <v>0</v>
      </c>
      <c r="P87" s="2">
        <v>20000</v>
      </c>
      <c r="Q87" s="2">
        <v>0</v>
      </c>
      <c r="R87" s="2">
        <v>0</v>
      </c>
      <c r="S87" s="2">
        <v>0</v>
      </c>
      <c r="T87" s="2">
        <v>20000</v>
      </c>
      <c r="U87" s="2">
        <v>375964</v>
      </c>
      <c r="V87" s="2">
        <v>133000</v>
      </c>
      <c r="W87" s="2">
        <v>0</v>
      </c>
      <c r="X87" s="2">
        <v>25000</v>
      </c>
      <c r="Y87" s="2">
        <v>0</v>
      </c>
      <c r="Z87" s="2">
        <v>0</v>
      </c>
      <c r="AA87" s="2">
        <v>0</v>
      </c>
      <c r="AB87" s="2">
        <v>40000</v>
      </c>
      <c r="AC87" s="2">
        <v>0</v>
      </c>
      <c r="AD87" s="2">
        <v>155000</v>
      </c>
      <c r="AE87" s="2">
        <v>0</v>
      </c>
      <c r="AF87" s="2">
        <v>728964</v>
      </c>
      <c r="AG87" s="2">
        <v>55000</v>
      </c>
      <c r="AH87" s="2">
        <v>0</v>
      </c>
      <c r="AI87" s="2">
        <v>0</v>
      </c>
      <c r="AJ87" s="2">
        <v>15000</v>
      </c>
      <c r="AK87" s="2">
        <v>0</v>
      </c>
      <c r="AL87" s="2">
        <v>0</v>
      </c>
      <c r="AM87" s="2">
        <v>0</v>
      </c>
      <c r="AN87" s="2">
        <v>0</v>
      </c>
      <c r="AO87" s="2">
        <v>0</v>
      </c>
      <c r="AP87" s="2">
        <v>0</v>
      </c>
      <c r="AQ87" s="2">
        <v>0</v>
      </c>
      <c r="AR87" s="2">
        <v>0</v>
      </c>
      <c r="AS87" s="2">
        <v>0</v>
      </c>
      <c r="AT87" s="2">
        <v>70000</v>
      </c>
      <c r="AU87" s="2">
        <v>61818</v>
      </c>
      <c r="AV87" s="2">
        <v>0</v>
      </c>
      <c r="AW87" s="2">
        <v>0</v>
      </c>
      <c r="AX87" s="2">
        <v>0</v>
      </c>
      <c r="AZ87" s="29">
        <f t="shared" si="1"/>
        <v>0</v>
      </c>
      <c r="BA87" s="131">
        <v>30000</v>
      </c>
      <c r="BD87" s="2" t="s">
        <v>509</v>
      </c>
      <c r="BF87" s="130"/>
    </row>
    <row r="88" spans="1:58" ht="15.75">
      <c r="A88" s="20" t="s">
        <v>444</v>
      </c>
      <c r="B88" s="20" t="s">
        <v>167</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492787</v>
      </c>
      <c r="V88" s="2">
        <v>120000</v>
      </c>
      <c r="W88" s="2">
        <v>0</v>
      </c>
      <c r="X88" s="2">
        <v>0</v>
      </c>
      <c r="Y88" s="2">
        <v>0</v>
      </c>
      <c r="Z88" s="2">
        <v>0</v>
      </c>
      <c r="AA88" s="2">
        <v>0</v>
      </c>
      <c r="AB88" s="2">
        <v>0</v>
      </c>
      <c r="AC88" s="2">
        <v>0</v>
      </c>
      <c r="AD88" s="2">
        <v>0</v>
      </c>
      <c r="AE88" s="2">
        <v>0</v>
      </c>
      <c r="AF88" s="2">
        <v>612787</v>
      </c>
      <c r="AG88" s="2">
        <v>75146</v>
      </c>
      <c r="AH88" s="2">
        <v>5000</v>
      </c>
      <c r="AI88" s="2">
        <v>0</v>
      </c>
      <c r="AJ88" s="2">
        <v>0</v>
      </c>
      <c r="AK88" s="2">
        <v>0</v>
      </c>
      <c r="AL88" s="2">
        <v>0</v>
      </c>
      <c r="AM88" s="2">
        <v>0</v>
      </c>
      <c r="AN88" s="2">
        <v>0</v>
      </c>
      <c r="AO88" s="2">
        <v>0</v>
      </c>
      <c r="AP88" s="2">
        <v>0</v>
      </c>
      <c r="AQ88" s="2">
        <v>0</v>
      </c>
      <c r="AR88" s="2">
        <v>5000</v>
      </c>
      <c r="AS88" s="2">
        <v>0</v>
      </c>
      <c r="AT88" s="2">
        <v>85146</v>
      </c>
      <c r="AU88" s="2">
        <v>0</v>
      </c>
      <c r="AV88" s="2">
        <v>0</v>
      </c>
      <c r="AW88" s="2">
        <v>0</v>
      </c>
      <c r="AX88" s="2">
        <v>0</v>
      </c>
      <c r="AZ88" s="29">
        <f t="shared" si="1"/>
        <v>0</v>
      </c>
      <c r="BA88" s="131">
        <v>30000</v>
      </c>
      <c r="BD88" s="2" t="s">
        <v>444</v>
      </c>
      <c r="BF88" s="130"/>
    </row>
    <row r="89" spans="1:58" ht="15.75">
      <c r="A89" s="20" t="s">
        <v>487</v>
      </c>
      <c r="B89" s="20" t="s">
        <v>210</v>
      </c>
      <c r="D89" s="2">
        <v>0</v>
      </c>
      <c r="E89" s="2">
        <v>0</v>
      </c>
      <c r="F89" s="2">
        <v>0</v>
      </c>
      <c r="G89" s="2">
        <v>0</v>
      </c>
      <c r="H89" s="2">
        <v>3199</v>
      </c>
      <c r="I89" s="2">
        <v>3199</v>
      </c>
      <c r="J89" s="2">
        <v>0</v>
      </c>
      <c r="K89" s="2">
        <v>0</v>
      </c>
      <c r="L89" s="2">
        <v>0</v>
      </c>
      <c r="M89" s="2">
        <v>0</v>
      </c>
      <c r="N89" s="2">
        <v>0</v>
      </c>
      <c r="O89" s="2">
        <v>0</v>
      </c>
      <c r="P89" s="2">
        <v>18000</v>
      </c>
      <c r="Q89" s="2">
        <v>0</v>
      </c>
      <c r="R89" s="2">
        <v>0</v>
      </c>
      <c r="S89" s="2">
        <v>0</v>
      </c>
      <c r="T89" s="2">
        <v>18000</v>
      </c>
      <c r="U89" s="2">
        <v>196573</v>
      </c>
      <c r="V89" s="2">
        <v>265000</v>
      </c>
      <c r="W89" s="2">
        <v>0</v>
      </c>
      <c r="X89" s="2">
        <v>25056</v>
      </c>
      <c r="Y89" s="2">
        <v>0</v>
      </c>
      <c r="Z89" s="2">
        <v>0</v>
      </c>
      <c r="AA89" s="2">
        <v>0</v>
      </c>
      <c r="AB89" s="2">
        <v>135500</v>
      </c>
      <c r="AC89" s="2">
        <v>0</v>
      </c>
      <c r="AD89" s="2">
        <v>55000</v>
      </c>
      <c r="AE89" s="2">
        <v>0</v>
      </c>
      <c r="AF89" s="2">
        <v>677129</v>
      </c>
      <c r="AG89" s="2">
        <v>0</v>
      </c>
      <c r="AH89" s="2">
        <v>15000</v>
      </c>
      <c r="AI89" s="2">
        <v>0</v>
      </c>
      <c r="AJ89" s="2">
        <v>0</v>
      </c>
      <c r="AK89" s="2">
        <v>0</v>
      </c>
      <c r="AL89" s="2">
        <v>0</v>
      </c>
      <c r="AM89" s="2">
        <v>0</v>
      </c>
      <c r="AN89" s="2">
        <v>0</v>
      </c>
      <c r="AO89" s="2">
        <v>0</v>
      </c>
      <c r="AP89" s="2">
        <v>0</v>
      </c>
      <c r="AQ89" s="2">
        <v>0</v>
      </c>
      <c r="AR89" s="2">
        <v>0</v>
      </c>
      <c r="AS89" s="2">
        <v>0</v>
      </c>
      <c r="AT89" s="2">
        <v>15000</v>
      </c>
      <c r="AU89" s="2">
        <v>16600</v>
      </c>
      <c r="AV89" s="2">
        <v>0</v>
      </c>
      <c r="AW89" s="2">
        <v>0</v>
      </c>
      <c r="AX89" s="2">
        <v>0</v>
      </c>
      <c r="AZ89" s="29">
        <f t="shared" si="1"/>
        <v>0</v>
      </c>
      <c r="BA89" s="131">
        <v>30000</v>
      </c>
      <c r="BD89" s="2" t="s">
        <v>487</v>
      </c>
      <c r="BF89" s="130"/>
    </row>
    <row r="90" spans="1:58" ht="15.75">
      <c r="A90" s="20" t="s">
        <v>518</v>
      </c>
      <c r="B90" s="20" t="s">
        <v>241</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571836</v>
      </c>
      <c r="V90" s="2">
        <v>8000</v>
      </c>
      <c r="W90" s="2">
        <v>0</v>
      </c>
      <c r="X90" s="2">
        <v>0</v>
      </c>
      <c r="Y90" s="2">
        <v>0</v>
      </c>
      <c r="Z90" s="2">
        <v>0</v>
      </c>
      <c r="AA90" s="2">
        <v>0</v>
      </c>
      <c r="AB90" s="2">
        <v>0</v>
      </c>
      <c r="AC90" s="2">
        <v>0</v>
      </c>
      <c r="AD90" s="2">
        <v>1000</v>
      </c>
      <c r="AE90" s="2">
        <v>1000</v>
      </c>
      <c r="AF90" s="2">
        <v>581836</v>
      </c>
      <c r="AG90" s="2">
        <v>40370</v>
      </c>
      <c r="AH90" s="2">
        <v>0</v>
      </c>
      <c r="AI90" s="2">
        <v>0</v>
      </c>
      <c r="AJ90" s="2">
        <v>0</v>
      </c>
      <c r="AK90" s="2">
        <v>0</v>
      </c>
      <c r="AL90" s="2">
        <v>0</v>
      </c>
      <c r="AM90" s="2">
        <v>0</v>
      </c>
      <c r="AN90" s="2">
        <v>0</v>
      </c>
      <c r="AO90" s="2">
        <v>0</v>
      </c>
      <c r="AP90" s="2">
        <v>0</v>
      </c>
      <c r="AQ90" s="2">
        <v>0</v>
      </c>
      <c r="AR90" s="2">
        <v>0</v>
      </c>
      <c r="AS90" s="2">
        <v>0</v>
      </c>
      <c r="AT90" s="2">
        <v>40370</v>
      </c>
      <c r="AU90" s="2">
        <v>25650</v>
      </c>
      <c r="AV90" s="2">
        <v>0</v>
      </c>
      <c r="AW90" s="2">
        <v>0</v>
      </c>
      <c r="AX90" s="2">
        <v>0</v>
      </c>
      <c r="AZ90" s="29">
        <f t="shared" si="1"/>
        <v>0</v>
      </c>
      <c r="BA90" s="131">
        <v>20000</v>
      </c>
      <c r="BD90" s="2" t="s">
        <v>518</v>
      </c>
      <c r="BF90" s="130"/>
    </row>
    <row r="91" spans="1:58" ht="15.75">
      <c r="A91" s="20" t="s">
        <v>524</v>
      </c>
      <c r="B91" s="20" t="s">
        <v>247</v>
      </c>
      <c r="D91" s="2">
        <v>0</v>
      </c>
      <c r="E91" s="2">
        <v>0</v>
      </c>
      <c r="F91" s="2">
        <v>0</v>
      </c>
      <c r="G91" s="2">
        <v>0</v>
      </c>
      <c r="H91" s="2">
        <v>90</v>
      </c>
      <c r="I91" s="2">
        <v>90</v>
      </c>
      <c r="J91" s="2">
        <v>0</v>
      </c>
      <c r="K91" s="2">
        <v>0</v>
      </c>
      <c r="L91" s="2">
        <v>0</v>
      </c>
      <c r="M91" s="2">
        <v>0</v>
      </c>
      <c r="N91" s="2">
        <v>0</v>
      </c>
      <c r="O91" s="2">
        <v>0</v>
      </c>
      <c r="P91" s="2">
        <v>27514</v>
      </c>
      <c r="Q91" s="2">
        <v>126</v>
      </c>
      <c r="R91" s="2">
        <v>0</v>
      </c>
      <c r="S91" s="2">
        <v>0</v>
      </c>
      <c r="T91" s="2">
        <v>27640</v>
      </c>
      <c r="U91" s="2">
        <v>187800</v>
      </c>
      <c r="V91" s="2">
        <v>39500</v>
      </c>
      <c r="W91" s="2">
        <v>0</v>
      </c>
      <c r="X91" s="2">
        <v>6</v>
      </c>
      <c r="Y91" s="2">
        <v>0</v>
      </c>
      <c r="Z91" s="2">
        <v>0</v>
      </c>
      <c r="AA91" s="2">
        <v>0</v>
      </c>
      <c r="AB91" s="2">
        <v>112</v>
      </c>
      <c r="AC91" s="2">
        <v>58</v>
      </c>
      <c r="AD91" s="2">
        <v>0</v>
      </c>
      <c r="AE91" s="2">
        <v>0</v>
      </c>
      <c r="AF91" s="2">
        <v>227476</v>
      </c>
      <c r="AG91" s="2">
        <v>129450</v>
      </c>
      <c r="AH91" s="2">
        <v>10000</v>
      </c>
      <c r="AI91" s="2">
        <v>0</v>
      </c>
      <c r="AJ91" s="2">
        <v>0</v>
      </c>
      <c r="AK91" s="2">
        <v>0</v>
      </c>
      <c r="AL91" s="2">
        <v>0</v>
      </c>
      <c r="AM91" s="2">
        <v>0</v>
      </c>
      <c r="AN91" s="2">
        <v>0</v>
      </c>
      <c r="AO91" s="2">
        <v>0</v>
      </c>
      <c r="AP91" s="2">
        <v>0</v>
      </c>
      <c r="AQ91" s="2">
        <v>0</v>
      </c>
      <c r="AR91" s="2">
        <v>0</v>
      </c>
      <c r="AS91" s="2">
        <v>16414</v>
      </c>
      <c r="AT91" s="2">
        <v>155864</v>
      </c>
      <c r="AU91" s="2">
        <v>86345</v>
      </c>
      <c r="AV91" s="2">
        <v>0</v>
      </c>
      <c r="AW91" s="2">
        <v>0</v>
      </c>
      <c r="AX91" s="2">
        <v>0</v>
      </c>
      <c r="AZ91" s="29">
        <f t="shared" si="1"/>
        <v>0</v>
      </c>
      <c r="BA91" s="131">
        <v>20000</v>
      </c>
      <c r="BD91" s="2" t="s">
        <v>524</v>
      </c>
      <c r="BF91" s="130"/>
    </row>
    <row r="92" spans="1:58" ht="15.75">
      <c r="A92" s="20" t="s">
        <v>399</v>
      </c>
      <c r="B92" s="20" t="s">
        <v>122</v>
      </c>
      <c r="D92" s="2">
        <v>0</v>
      </c>
      <c r="E92" s="2">
        <v>0</v>
      </c>
      <c r="F92" s="2">
        <v>0</v>
      </c>
      <c r="G92" s="2">
        <v>0</v>
      </c>
      <c r="H92" s="2">
        <v>295630</v>
      </c>
      <c r="I92" s="2">
        <v>295630</v>
      </c>
      <c r="J92" s="2">
        <v>0</v>
      </c>
      <c r="K92" s="2">
        <v>0</v>
      </c>
      <c r="L92" s="2">
        <v>0</v>
      </c>
      <c r="M92" s="2">
        <v>0</v>
      </c>
      <c r="N92" s="2">
        <v>0</v>
      </c>
      <c r="O92" s="2">
        <v>0</v>
      </c>
      <c r="P92" s="2">
        <v>320473</v>
      </c>
      <c r="Q92" s="2">
        <v>1718</v>
      </c>
      <c r="R92" s="2">
        <v>0</v>
      </c>
      <c r="S92" s="2">
        <v>0</v>
      </c>
      <c r="T92" s="2">
        <v>322191</v>
      </c>
      <c r="U92" s="2">
        <v>2290922</v>
      </c>
      <c r="V92" s="2">
        <v>130000</v>
      </c>
      <c r="W92" s="2">
        <v>0</v>
      </c>
      <c r="X92" s="2">
        <v>7000</v>
      </c>
      <c r="Y92" s="2">
        <v>0</v>
      </c>
      <c r="Z92" s="2">
        <v>0</v>
      </c>
      <c r="AA92" s="2">
        <v>0</v>
      </c>
      <c r="AB92" s="2">
        <v>263</v>
      </c>
      <c r="AC92" s="2">
        <v>1</v>
      </c>
      <c r="AD92" s="2">
        <v>65000</v>
      </c>
      <c r="AE92" s="2">
        <v>4350</v>
      </c>
      <c r="AF92" s="2">
        <v>2497536</v>
      </c>
      <c r="AG92" s="2">
        <v>137593</v>
      </c>
      <c r="AH92" s="2">
        <v>0</v>
      </c>
      <c r="AI92" s="2">
        <v>0</v>
      </c>
      <c r="AJ92" s="2">
        <v>0</v>
      </c>
      <c r="AK92" s="2">
        <v>0</v>
      </c>
      <c r="AL92" s="2">
        <v>0</v>
      </c>
      <c r="AM92" s="2">
        <v>0</v>
      </c>
      <c r="AN92" s="2">
        <v>0</v>
      </c>
      <c r="AO92" s="2">
        <v>257</v>
      </c>
      <c r="AP92" s="2">
        <v>0</v>
      </c>
      <c r="AQ92" s="2">
        <v>0</v>
      </c>
      <c r="AR92" s="2">
        <v>6000</v>
      </c>
      <c r="AS92" s="2">
        <v>0</v>
      </c>
      <c r="AT92" s="2">
        <v>143850</v>
      </c>
      <c r="AU92" s="2">
        <v>72536</v>
      </c>
      <c r="AV92" s="2">
        <v>0</v>
      </c>
      <c r="AW92" s="2">
        <v>0</v>
      </c>
      <c r="AX92" s="2">
        <v>0</v>
      </c>
      <c r="AZ92" s="29">
        <f t="shared" si="1"/>
        <v>0</v>
      </c>
      <c r="BA92" s="131">
        <v>40000</v>
      </c>
      <c r="BD92" s="2" t="s">
        <v>399</v>
      </c>
      <c r="BF92" s="130"/>
    </row>
    <row r="93" spans="1:58" ht="15.75">
      <c r="A93" s="20" t="s">
        <v>422</v>
      </c>
      <c r="B93" s="20" t="s">
        <v>145</v>
      </c>
      <c r="D93" s="2">
        <v>0</v>
      </c>
      <c r="E93" s="2">
        <v>0</v>
      </c>
      <c r="F93" s="2">
        <v>0</v>
      </c>
      <c r="G93" s="2">
        <v>0</v>
      </c>
      <c r="H93" s="2">
        <v>12004</v>
      </c>
      <c r="I93" s="2">
        <v>12004</v>
      </c>
      <c r="J93" s="2">
        <v>0</v>
      </c>
      <c r="K93" s="2">
        <v>0</v>
      </c>
      <c r="L93" s="2">
        <v>0</v>
      </c>
      <c r="M93" s="2">
        <v>0</v>
      </c>
      <c r="N93" s="2">
        <v>0</v>
      </c>
      <c r="O93" s="2">
        <v>0</v>
      </c>
      <c r="P93" s="2">
        <v>0</v>
      </c>
      <c r="Q93" s="2">
        <v>462</v>
      </c>
      <c r="R93" s="2">
        <v>0</v>
      </c>
      <c r="S93" s="2">
        <v>0</v>
      </c>
      <c r="T93" s="2">
        <v>462</v>
      </c>
      <c r="U93" s="2">
        <v>209459</v>
      </c>
      <c r="V93" s="2">
        <v>53000</v>
      </c>
      <c r="W93" s="2">
        <v>0</v>
      </c>
      <c r="X93" s="2">
        <v>1000</v>
      </c>
      <c r="Y93" s="2">
        <v>0</v>
      </c>
      <c r="Z93" s="2">
        <v>0</v>
      </c>
      <c r="AA93" s="2">
        <v>0</v>
      </c>
      <c r="AB93" s="2">
        <v>18264</v>
      </c>
      <c r="AC93" s="2">
        <v>0</v>
      </c>
      <c r="AD93" s="2">
        <v>5000</v>
      </c>
      <c r="AE93" s="2">
        <v>0</v>
      </c>
      <c r="AF93" s="2">
        <v>286723</v>
      </c>
      <c r="AG93" s="2">
        <v>33620</v>
      </c>
      <c r="AH93" s="2">
        <v>13000</v>
      </c>
      <c r="AI93" s="2">
        <v>0</v>
      </c>
      <c r="AJ93" s="2">
        <v>0</v>
      </c>
      <c r="AK93" s="2">
        <v>0</v>
      </c>
      <c r="AL93" s="2">
        <v>8001</v>
      </c>
      <c r="AM93" s="2">
        <v>0</v>
      </c>
      <c r="AN93" s="2">
        <v>0</v>
      </c>
      <c r="AO93" s="2">
        <v>45991</v>
      </c>
      <c r="AP93" s="2">
        <v>8000</v>
      </c>
      <c r="AQ93" s="2">
        <v>2950</v>
      </c>
      <c r="AR93" s="2">
        <v>0</v>
      </c>
      <c r="AS93" s="2">
        <v>21691</v>
      </c>
      <c r="AT93" s="2">
        <v>133253</v>
      </c>
      <c r="AU93" s="2">
        <v>36562</v>
      </c>
      <c r="AV93" s="2">
        <v>0</v>
      </c>
      <c r="AW93" s="2">
        <v>0</v>
      </c>
      <c r="AX93" s="2">
        <v>0</v>
      </c>
      <c r="AZ93" s="29">
        <f t="shared" si="1"/>
        <v>0</v>
      </c>
      <c r="BA93" s="131">
        <v>20000</v>
      </c>
      <c r="BD93" s="2" t="s">
        <v>422</v>
      </c>
      <c r="BF93" s="130"/>
    </row>
    <row r="94" spans="1:58" ht="15.75">
      <c r="A94" s="20" t="s">
        <v>513</v>
      </c>
      <c r="B94" s="20" t="s">
        <v>236</v>
      </c>
      <c r="D94" s="2">
        <v>0</v>
      </c>
      <c r="E94" s="2">
        <v>0</v>
      </c>
      <c r="F94" s="2">
        <v>0</v>
      </c>
      <c r="G94" s="2">
        <v>0</v>
      </c>
      <c r="H94" s="2">
        <v>0</v>
      </c>
      <c r="I94" s="2">
        <v>0</v>
      </c>
      <c r="J94" s="2">
        <v>0</v>
      </c>
      <c r="K94" s="2">
        <v>0</v>
      </c>
      <c r="L94" s="2">
        <v>0</v>
      </c>
      <c r="M94" s="2">
        <v>11252</v>
      </c>
      <c r="N94" s="2">
        <v>0</v>
      </c>
      <c r="O94" s="2">
        <v>0</v>
      </c>
      <c r="P94" s="2">
        <v>0</v>
      </c>
      <c r="Q94" s="2">
        <v>0</v>
      </c>
      <c r="R94" s="2">
        <v>0</v>
      </c>
      <c r="S94" s="2">
        <v>0</v>
      </c>
      <c r="T94" s="2">
        <v>11252</v>
      </c>
      <c r="U94" s="2">
        <v>204126</v>
      </c>
      <c r="V94" s="2">
        <v>35000</v>
      </c>
      <c r="W94" s="2">
        <v>0</v>
      </c>
      <c r="X94" s="2">
        <v>0</v>
      </c>
      <c r="Y94" s="2">
        <v>0</v>
      </c>
      <c r="Z94" s="2">
        <v>0</v>
      </c>
      <c r="AA94" s="2">
        <v>0</v>
      </c>
      <c r="AB94" s="2">
        <v>9224</v>
      </c>
      <c r="AC94" s="2">
        <v>0</v>
      </c>
      <c r="AD94" s="2">
        <v>0</v>
      </c>
      <c r="AE94" s="2">
        <v>0</v>
      </c>
      <c r="AF94" s="2">
        <v>248350</v>
      </c>
      <c r="AG94" s="2">
        <v>8672</v>
      </c>
      <c r="AH94" s="2">
        <v>4000</v>
      </c>
      <c r="AI94" s="2">
        <v>0</v>
      </c>
      <c r="AJ94" s="2">
        <v>0</v>
      </c>
      <c r="AK94" s="2">
        <v>0</v>
      </c>
      <c r="AL94" s="2">
        <v>0</v>
      </c>
      <c r="AM94" s="2">
        <v>0</v>
      </c>
      <c r="AN94" s="2">
        <v>0</v>
      </c>
      <c r="AO94" s="2">
        <v>37884</v>
      </c>
      <c r="AP94" s="2">
        <v>0</v>
      </c>
      <c r="AQ94" s="2">
        <v>0</v>
      </c>
      <c r="AR94" s="2">
        <v>36000</v>
      </c>
      <c r="AS94" s="2">
        <v>0</v>
      </c>
      <c r="AT94" s="2">
        <v>86556</v>
      </c>
      <c r="AU94" s="2">
        <v>9900</v>
      </c>
      <c r="AV94" s="2">
        <v>0</v>
      </c>
      <c r="AW94" s="2">
        <v>0</v>
      </c>
      <c r="AX94" s="2">
        <v>0</v>
      </c>
      <c r="AZ94" s="29">
        <f t="shared" si="1"/>
        <v>0</v>
      </c>
      <c r="BA94" s="131">
        <v>20000</v>
      </c>
      <c r="BD94" s="2" t="s">
        <v>513</v>
      </c>
      <c r="BF94" s="130"/>
    </row>
    <row r="95" spans="1:58" ht="15.75">
      <c r="A95" s="20" t="s">
        <v>537</v>
      </c>
      <c r="B95" s="20" t="s">
        <v>259</v>
      </c>
      <c r="D95" s="2">
        <v>0</v>
      </c>
      <c r="E95" s="2">
        <v>0</v>
      </c>
      <c r="F95" s="2">
        <v>0</v>
      </c>
      <c r="G95" s="2">
        <v>0</v>
      </c>
      <c r="H95" s="2">
        <v>0</v>
      </c>
      <c r="I95" s="2">
        <v>0</v>
      </c>
      <c r="J95" s="2">
        <v>0</v>
      </c>
      <c r="K95" s="2">
        <v>0</v>
      </c>
      <c r="L95" s="2">
        <v>0</v>
      </c>
      <c r="M95" s="2">
        <v>0</v>
      </c>
      <c r="N95" s="2">
        <v>0</v>
      </c>
      <c r="O95" s="2">
        <v>0</v>
      </c>
      <c r="P95" s="2">
        <v>7000</v>
      </c>
      <c r="Q95" s="2">
        <v>2598</v>
      </c>
      <c r="R95" s="2">
        <v>0</v>
      </c>
      <c r="S95" s="2">
        <v>0</v>
      </c>
      <c r="T95" s="2">
        <v>9598</v>
      </c>
      <c r="U95" s="2">
        <v>96620</v>
      </c>
      <c r="V95" s="2">
        <v>102000</v>
      </c>
      <c r="W95" s="2">
        <v>0</v>
      </c>
      <c r="X95" s="2">
        <v>0</v>
      </c>
      <c r="Y95" s="2">
        <v>0</v>
      </c>
      <c r="Z95" s="2">
        <v>0</v>
      </c>
      <c r="AA95" s="2">
        <v>0</v>
      </c>
      <c r="AB95" s="2">
        <v>0</v>
      </c>
      <c r="AC95" s="2">
        <v>373</v>
      </c>
      <c r="AD95" s="2">
        <v>0</v>
      </c>
      <c r="AE95" s="2">
        <v>0</v>
      </c>
      <c r="AF95" s="2">
        <v>198993</v>
      </c>
      <c r="AG95" s="2">
        <v>88812</v>
      </c>
      <c r="AH95" s="2">
        <v>67000</v>
      </c>
      <c r="AI95" s="2">
        <v>0</v>
      </c>
      <c r="AJ95" s="2">
        <v>0</v>
      </c>
      <c r="AK95" s="2">
        <v>0</v>
      </c>
      <c r="AL95" s="2">
        <v>0</v>
      </c>
      <c r="AM95" s="2">
        <v>0</v>
      </c>
      <c r="AN95" s="2">
        <v>0</v>
      </c>
      <c r="AO95" s="2">
        <v>0</v>
      </c>
      <c r="AP95" s="2">
        <v>0</v>
      </c>
      <c r="AQ95" s="2">
        <v>0</v>
      </c>
      <c r="AR95" s="2">
        <v>0</v>
      </c>
      <c r="AS95" s="2">
        <v>0</v>
      </c>
      <c r="AT95" s="2">
        <v>155812</v>
      </c>
      <c r="AU95" s="2">
        <v>0</v>
      </c>
      <c r="AV95" s="2">
        <v>0</v>
      </c>
      <c r="AW95" s="2">
        <v>0</v>
      </c>
      <c r="AX95" s="2">
        <v>0</v>
      </c>
      <c r="AZ95" s="29">
        <f t="shared" si="1"/>
        <v>0</v>
      </c>
      <c r="BA95" s="131">
        <v>20000</v>
      </c>
      <c r="BD95" s="2" t="s">
        <v>537</v>
      </c>
      <c r="BF95" s="130"/>
    </row>
    <row r="96" spans="1:58" ht="15.75">
      <c r="A96" s="20" t="s">
        <v>403</v>
      </c>
      <c r="B96" s="20" t="s">
        <v>126</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s="2">
        <v>288995</v>
      </c>
      <c r="V96" s="2">
        <v>41400</v>
      </c>
      <c r="W96" s="2">
        <v>0</v>
      </c>
      <c r="X96" s="2">
        <v>0</v>
      </c>
      <c r="Y96" s="2">
        <v>0</v>
      </c>
      <c r="Z96" s="2">
        <v>0</v>
      </c>
      <c r="AA96" s="2">
        <v>0</v>
      </c>
      <c r="AB96" s="2">
        <v>0</v>
      </c>
      <c r="AC96" s="2">
        <v>0</v>
      </c>
      <c r="AD96" s="2">
        <v>0</v>
      </c>
      <c r="AE96" s="2">
        <v>0</v>
      </c>
      <c r="AF96" s="2">
        <v>330395</v>
      </c>
      <c r="AG96" s="2">
        <v>3300</v>
      </c>
      <c r="AH96" s="2">
        <v>6300</v>
      </c>
      <c r="AI96" s="2">
        <v>0</v>
      </c>
      <c r="AJ96" s="2">
        <v>24800</v>
      </c>
      <c r="AK96" s="2">
        <v>4995</v>
      </c>
      <c r="AL96" s="2">
        <v>0</v>
      </c>
      <c r="AM96" s="2">
        <v>0</v>
      </c>
      <c r="AN96" s="2">
        <v>0</v>
      </c>
      <c r="AO96" s="2">
        <v>0</v>
      </c>
      <c r="AP96" s="2">
        <v>0</v>
      </c>
      <c r="AQ96" s="2">
        <v>0</v>
      </c>
      <c r="AR96" s="2">
        <v>5000</v>
      </c>
      <c r="AS96" s="2">
        <v>0</v>
      </c>
      <c r="AT96" s="2">
        <v>44395</v>
      </c>
      <c r="AU96" s="2">
        <v>19100</v>
      </c>
      <c r="AV96" s="2">
        <v>0</v>
      </c>
      <c r="AW96" s="2">
        <v>0</v>
      </c>
      <c r="AX96" s="2">
        <v>0</v>
      </c>
      <c r="AZ96" s="29">
        <f t="shared" si="1"/>
        <v>0</v>
      </c>
      <c r="BA96" s="131">
        <v>30000</v>
      </c>
      <c r="BD96" s="2" t="s">
        <v>403</v>
      </c>
      <c r="BF96" s="130"/>
    </row>
    <row r="97" spans="1:58" ht="15.75">
      <c r="A97" s="20" t="s">
        <v>410</v>
      </c>
      <c r="B97" s="20" t="s">
        <v>133</v>
      </c>
      <c r="D97" s="2">
        <v>0</v>
      </c>
      <c r="E97" s="2">
        <v>0</v>
      </c>
      <c r="F97" s="2">
        <v>0</v>
      </c>
      <c r="G97" s="2">
        <v>0</v>
      </c>
      <c r="H97" s="2">
        <v>0</v>
      </c>
      <c r="I97" s="2">
        <v>0</v>
      </c>
      <c r="J97" s="2">
        <v>0</v>
      </c>
      <c r="K97" s="2">
        <v>0</v>
      </c>
      <c r="L97" s="2">
        <v>0</v>
      </c>
      <c r="M97" s="2">
        <v>0</v>
      </c>
      <c r="N97" s="2">
        <v>0</v>
      </c>
      <c r="O97" s="2">
        <v>0</v>
      </c>
      <c r="P97" s="2">
        <v>5000</v>
      </c>
      <c r="Q97" s="2">
        <v>0</v>
      </c>
      <c r="R97" s="2">
        <v>0</v>
      </c>
      <c r="S97" s="2">
        <v>0</v>
      </c>
      <c r="T97" s="2">
        <v>5000</v>
      </c>
      <c r="U97" s="2">
        <v>82616</v>
      </c>
      <c r="V97" s="2">
        <v>0</v>
      </c>
      <c r="W97" s="2">
        <v>0</v>
      </c>
      <c r="X97" s="2">
        <v>0</v>
      </c>
      <c r="Y97" s="2">
        <v>0</v>
      </c>
      <c r="Z97" s="2">
        <v>0</v>
      </c>
      <c r="AA97" s="2">
        <v>0</v>
      </c>
      <c r="AB97" s="2">
        <v>0</v>
      </c>
      <c r="AC97" s="2">
        <v>0</v>
      </c>
      <c r="AD97" s="2">
        <v>0</v>
      </c>
      <c r="AE97" s="2">
        <v>0</v>
      </c>
      <c r="AF97" s="2">
        <v>82616</v>
      </c>
      <c r="AG97" s="2">
        <v>44500</v>
      </c>
      <c r="AH97" s="2">
        <v>25100</v>
      </c>
      <c r="AI97" s="2">
        <v>0</v>
      </c>
      <c r="AJ97" s="2">
        <v>0</v>
      </c>
      <c r="AK97" s="2">
        <v>0</v>
      </c>
      <c r="AL97" s="2">
        <v>0</v>
      </c>
      <c r="AM97" s="2">
        <v>0</v>
      </c>
      <c r="AN97" s="2">
        <v>0</v>
      </c>
      <c r="AO97" s="2">
        <v>0</v>
      </c>
      <c r="AP97" s="2">
        <v>0</v>
      </c>
      <c r="AQ97" s="2">
        <v>0</v>
      </c>
      <c r="AR97" s="2">
        <v>12100</v>
      </c>
      <c r="AS97" s="2">
        <v>0</v>
      </c>
      <c r="AT97" s="2">
        <v>81700</v>
      </c>
      <c r="AU97" s="2">
        <v>0</v>
      </c>
      <c r="AV97" s="2">
        <v>0</v>
      </c>
      <c r="AW97" s="2">
        <v>0</v>
      </c>
      <c r="AX97" s="2">
        <v>0</v>
      </c>
      <c r="AZ97" s="29">
        <f t="shared" si="1"/>
        <v>0</v>
      </c>
      <c r="BA97" s="131">
        <v>20000</v>
      </c>
      <c r="BD97" s="2" t="s">
        <v>410</v>
      </c>
      <c r="BF97" s="130"/>
    </row>
    <row r="98" spans="1:58" ht="15.75">
      <c r="A98" s="20" t="s">
        <v>469</v>
      </c>
      <c r="B98" s="20" t="s">
        <v>192</v>
      </c>
      <c r="D98" s="2">
        <v>0</v>
      </c>
      <c r="E98" s="2">
        <v>0</v>
      </c>
      <c r="F98" s="2">
        <v>0</v>
      </c>
      <c r="G98" s="2">
        <v>0</v>
      </c>
      <c r="H98" s="2">
        <v>0</v>
      </c>
      <c r="I98" s="2">
        <v>0</v>
      </c>
      <c r="J98" s="2">
        <v>36</v>
      </c>
      <c r="K98" s="2">
        <v>0</v>
      </c>
      <c r="L98" s="2">
        <v>40000</v>
      </c>
      <c r="M98" s="2">
        <v>0</v>
      </c>
      <c r="N98" s="2">
        <v>0</v>
      </c>
      <c r="O98" s="2">
        <v>0</v>
      </c>
      <c r="P98" s="2">
        <v>200425</v>
      </c>
      <c r="Q98" s="2">
        <v>0</v>
      </c>
      <c r="R98" s="2">
        <v>0</v>
      </c>
      <c r="S98" s="2">
        <v>0</v>
      </c>
      <c r="T98" s="2">
        <v>240461</v>
      </c>
      <c r="U98" s="2">
        <v>979415</v>
      </c>
      <c r="V98" s="2">
        <v>225000</v>
      </c>
      <c r="W98" s="2">
        <v>0</v>
      </c>
      <c r="X98" s="2">
        <v>10000</v>
      </c>
      <c r="Y98" s="2">
        <v>0</v>
      </c>
      <c r="Z98" s="2">
        <v>0</v>
      </c>
      <c r="AA98" s="2">
        <v>0</v>
      </c>
      <c r="AB98" s="2">
        <v>37575</v>
      </c>
      <c r="AC98" s="2">
        <v>0</v>
      </c>
      <c r="AD98" s="2">
        <v>210000</v>
      </c>
      <c r="AE98" s="2">
        <v>0</v>
      </c>
      <c r="AF98" s="2">
        <v>1461990</v>
      </c>
      <c r="AG98" s="2">
        <v>45005</v>
      </c>
      <c r="AH98" s="2">
        <v>0</v>
      </c>
      <c r="AI98" s="2">
        <v>0</v>
      </c>
      <c r="AJ98" s="2">
        <v>0</v>
      </c>
      <c r="AK98" s="2">
        <v>0</v>
      </c>
      <c r="AL98" s="2">
        <v>0</v>
      </c>
      <c r="AM98" s="2">
        <v>0</v>
      </c>
      <c r="AN98" s="2">
        <v>0</v>
      </c>
      <c r="AO98" s="2">
        <v>0</v>
      </c>
      <c r="AP98" s="2">
        <v>0</v>
      </c>
      <c r="AQ98" s="2">
        <v>0</v>
      </c>
      <c r="AR98" s="2">
        <v>0</v>
      </c>
      <c r="AS98" s="2">
        <v>0</v>
      </c>
      <c r="AT98" s="2">
        <v>45005</v>
      </c>
      <c r="AU98" s="2">
        <v>0</v>
      </c>
      <c r="AV98" s="2">
        <v>0</v>
      </c>
      <c r="AW98" s="2">
        <v>0</v>
      </c>
      <c r="AX98" s="2">
        <v>0</v>
      </c>
      <c r="AZ98" s="29">
        <f t="shared" si="1"/>
        <v>0</v>
      </c>
      <c r="BA98" s="131">
        <v>30000</v>
      </c>
      <c r="BD98" s="2" t="s">
        <v>469</v>
      </c>
      <c r="BF98" s="130"/>
    </row>
    <row r="99" spans="1:58" ht="15.75">
      <c r="A99" s="20" t="s">
        <v>419</v>
      </c>
      <c r="B99" s="20" t="s">
        <v>142</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396500</v>
      </c>
      <c r="AH99" s="2">
        <v>171900</v>
      </c>
      <c r="AI99" s="2">
        <v>0</v>
      </c>
      <c r="AJ99" s="2">
        <v>0</v>
      </c>
      <c r="AK99" s="2">
        <v>0</v>
      </c>
      <c r="AL99" s="2">
        <v>0</v>
      </c>
      <c r="AM99" s="2">
        <v>0</v>
      </c>
      <c r="AN99" s="2">
        <v>0</v>
      </c>
      <c r="AO99" s="2">
        <v>0</v>
      </c>
      <c r="AP99" s="2">
        <v>0</v>
      </c>
      <c r="AQ99" s="2">
        <v>0</v>
      </c>
      <c r="AR99" s="2">
        <v>0</v>
      </c>
      <c r="AS99" s="2">
        <v>0</v>
      </c>
      <c r="AT99" s="2">
        <v>568400</v>
      </c>
      <c r="AU99" s="2">
        <v>361300</v>
      </c>
      <c r="AV99" s="2">
        <v>594251</v>
      </c>
      <c r="AW99" s="2">
        <v>54600</v>
      </c>
      <c r="AX99" s="2">
        <v>54600</v>
      </c>
      <c r="AZ99" s="29">
        <f t="shared" si="1"/>
        <v>11885.02</v>
      </c>
      <c r="BA99" s="131">
        <v>30000</v>
      </c>
      <c r="BD99" s="2" t="s">
        <v>419</v>
      </c>
      <c r="BF99" s="130"/>
    </row>
    <row r="100" spans="1:58" ht="15.75">
      <c r="A100" s="20" t="s">
        <v>412</v>
      </c>
      <c r="B100" s="20" t="s">
        <v>135</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219005</v>
      </c>
      <c r="V100" s="2">
        <v>0</v>
      </c>
      <c r="W100" s="2">
        <v>0</v>
      </c>
      <c r="X100" s="2">
        <v>0</v>
      </c>
      <c r="Y100" s="2">
        <v>0</v>
      </c>
      <c r="Z100" s="2">
        <v>0</v>
      </c>
      <c r="AA100" s="2">
        <v>0</v>
      </c>
      <c r="AB100" s="2">
        <v>0</v>
      </c>
      <c r="AC100" s="2">
        <v>0</v>
      </c>
      <c r="AD100" s="2">
        <v>124000</v>
      </c>
      <c r="AE100" s="2">
        <v>0</v>
      </c>
      <c r="AF100" s="2">
        <v>343005</v>
      </c>
      <c r="AG100" s="2">
        <v>60000</v>
      </c>
      <c r="AH100" s="2">
        <v>0</v>
      </c>
      <c r="AI100" s="2">
        <v>0</v>
      </c>
      <c r="AJ100" s="2">
        <v>183000</v>
      </c>
      <c r="AK100" s="2">
        <v>0</v>
      </c>
      <c r="AL100" s="2">
        <v>0</v>
      </c>
      <c r="AM100" s="2">
        <v>0</v>
      </c>
      <c r="AN100" s="2">
        <v>0</v>
      </c>
      <c r="AO100" s="2">
        <v>0</v>
      </c>
      <c r="AP100" s="2">
        <v>0</v>
      </c>
      <c r="AQ100" s="2">
        <v>0</v>
      </c>
      <c r="AR100" s="2">
        <v>13000</v>
      </c>
      <c r="AS100" s="2">
        <v>0</v>
      </c>
      <c r="AT100" s="2">
        <v>256000</v>
      </c>
      <c r="AU100" s="2">
        <v>1205</v>
      </c>
      <c r="AV100" s="2">
        <v>0</v>
      </c>
      <c r="AW100" s="2">
        <v>0</v>
      </c>
      <c r="AX100" s="2">
        <v>0</v>
      </c>
      <c r="AZ100" s="29">
        <f t="shared" si="1"/>
        <v>0</v>
      </c>
      <c r="BA100" s="131">
        <v>30000</v>
      </c>
      <c r="BD100" s="2" t="s">
        <v>412</v>
      </c>
      <c r="BF100" s="130"/>
    </row>
    <row r="101" spans="1:58" ht="15.75">
      <c r="A101" s="20" t="s">
        <v>452</v>
      </c>
      <c r="B101" s="20" t="s">
        <v>175</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267765</v>
      </c>
      <c r="V101" s="2">
        <v>129000</v>
      </c>
      <c r="W101" s="2">
        <v>0</v>
      </c>
      <c r="X101" s="2">
        <v>0</v>
      </c>
      <c r="Y101" s="2">
        <v>0</v>
      </c>
      <c r="Z101" s="2">
        <v>0</v>
      </c>
      <c r="AA101" s="2">
        <v>0</v>
      </c>
      <c r="AB101" s="2">
        <v>0</v>
      </c>
      <c r="AC101" s="2">
        <v>0</v>
      </c>
      <c r="AD101" s="2">
        <v>0</v>
      </c>
      <c r="AE101" s="2">
        <v>0</v>
      </c>
      <c r="AF101" s="2">
        <v>396765</v>
      </c>
      <c r="AG101" s="2">
        <v>30317</v>
      </c>
      <c r="AH101" s="2">
        <v>0</v>
      </c>
      <c r="AI101" s="2">
        <v>23459</v>
      </c>
      <c r="AJ101" s="2">
        <v>0</v>
      </c>
      <c r="AK101" s="2">
        <v>274358</v>
      </c>
      <c r="AL101" s="2">
        <v>0</v>
      </c>
      <c r="AM101" s="2">
        <v>0</v>
      </c>
      <c r="AN101" s="2">
        <v>0</v>
      </c>
      <c r="AO101" s="2">
        <v>0</v>
      </c>
      <c r="AP101" s="2">
        <v>0</v>
      </c>
      <c r="AQ101" s="2">
        <v>0</v>
      </c>
      <c r="AR101" s="2">
        <v>0</v>
      </c>
      <c r="AS101" s="2">
        <v>579</v>
      </c>
      <c r="AT101" s="2">
        <v>328713</v>
      </c>
      <c r="AU101" s="2">
        <v>0</v>
      </c>
      <c r="AV101" s="2">
        <v>0</v>
      </c>
      <c r="AW101" s="2">
        <v>0</v>
      </c>
      <c r="AX101" s="2">
        <v>0</v>
      </c>
      <c r="AZ101" s="29">
        <f t="shared" si="1"/>
        <v>0</v>
      </c>
      <c r="BA101" s="131">
        <v>30000</v>
      </c>
      <c r="BD101" s="2" t="s">
        <v>452</v>
      </c>
      <c r="BF101" s="130"/>
    </row>
    <row r="102" spans="1:58" ht="15.75">
      <c r="A102" s="20" t="s">
        <v>463</v>
      </c>
      <c r="B102" s="20" t="s">
        <v>186</v>
      </c>
      <c r="D102" s="2">
        <v>0</v>
      </c>
      <c r="E102" s="2">
        <v>0</v>
      </c>
      <c r="F102" s="2">
        <v>0</v>
      </c>
      <c r="G102" s="2">
        <v>0</v>
      </c>
      <c r="H102" s="2">
        <v>3596</v>
      </c>
      <c r="I102" s="2">
        <v>3596</v>
      </c>
      <c r="J102" s="2">
        <v>0</v>
      </c>
      <c r="K102" s="2">
        <v>0</v>
      </c>
      <c r="L102" s="2">
        <v>0</v>
      </c>
      <c r="M102" s="2">
        <v>0</v>
      </c>
      <c r="N102" s="2">
        <v>0</v>
      </c>
      <c r="O102" s="2">
        <v>0</v>
      </c>
      <c r="P102" s="2">
        <v>20000</v>
      </c>
      <c r="Q102" s="2">
        <v>0</v>
      </c>
      <c r="R102" s="2">
        <v>0</v>
      </c>
      <c r="S102" s="2">
        <v>0</v>
      </c>
      <c r="T102" s="2">
        <v>20000</v>
      </c>
      <c r="U102" s="2">
        <v>218792</v>
      </c>
      <c r="V102" s="2">
        <v>0</v>
      </c>
      <c r="W102" s="2">
        <v>0</v>
      </c>
      <c r="X102" s="2">
        <v>0</v>
      </c>
      <c r="Y102" s="2">
        <v>0</v>
      </c>
      <c r="Z102" s="2">
        <v>0</v>
      </c>
      <c r="AA102" s="2">
        <v>0</v>
      </c>
      <c r="AB102" s="2">
        <v>53500</v>
      </c>
      <c r="AC102" s="2">
        <v>0</v>
      </c>
      <c r="AD102" s="2">
        <v>0</v>
      </c>
      <c r="AE102" s="2">
        <v>0</v>
      </c>
      <c r="AF102" s="2">
        <v>272292</v>
      </c>
      <c r="AG102" s="2">
        <v>0</v>
      </c>
      <c r="AH102" s="2">
        <v>0</v>
      </c>
      <c r="AI102" s="2">
        <v>16300</v>
      </c>
      <c r="AJ102" s="2">
        <v>0</v>
      </c>
      <c r="AK102" s="2">
        <v>0</v>
      </c>
      <c r="AL102" s="2">
        <v>0</v>
      </c>
      <c r="AM102" s="2">
        <v>0</v>
      </c>
      <c r="AN102" s="2">
        <v>0</v>
      </c>
      <c r="AO102" s="2">
        <v>0</v>
      </c>
      <c r="AP102" s="2">
        <v>0</v>
      </c>
      <c r="AQ102" s="2">
        <v>0</v>
      </c>
      <c r="AR102" s="2">
        <v>91000</v>
      </c>
      <c r="AS102" s="2">
        <v>0</v>
      </c>
      <c r="AT102" s="2">
        <v>107300</v>
      </c>
      <c r="AU102" s="2">
        <v>0</v>
      </c>
      <c r="AV102" s="2">
        <v>0</v>
      </c>
      <c r="AW102" s="2">
        <v>0</v>
      </c>
      <c r="AX102" s="2">
        <v>0</v>
      </c>
      <c r="AZ102" s="29">
        <f t="shared" si="1"/>
        <v>0</v>
      </c>
      <c r="BA102" s="131">
        <v>30000</v>
      </c>
      <c r="BD102" s="2" t="s">
        <v>463</v>
      </c>
      <c r="BF102" s="130"/>
    </row>
    <row r="103" spans="1:58" ht="15.75">
      <c r="A103" s="20" t="s">
        <v>473</v>
      </c>
      <c r="B103" s="20" t="s">
        <v>196</v>
      </c>
      <c r="D103" s="2">
        <v>0</v>
      </c>
      <c r="E103" s="2">
        <v>0</v>
      </c>
      <c r="F103" s="2">
        <v>0</v>
      </c>
      <c r="G103" s="2">
        <v>0</v>
      </c>
      <c r="H103" s="2">
        <v>0</v>
      </c>
      <c r="I103" s="2">
        <v>0</v>
      </c>
      <c r="J103" s="2">
        <v>0</v>
      </c>
      <c r="K103" s="2">
        <v>0</v>
      </c>
      <c r="L103" s="2">
        <v>0</v>
      </c>
      <c r="M103" s="2">
        <v>0</v>
      </c>
      <c r="N103" s="2">
        <v>0</v>
      </c>
      <c r="O103" s="2">
        <v>0</v>
      </c>
      <c r="P103" s="2">
        <v>0</v>
      </c>
      <c r="Q103" s="2">
        <v>0</v>
      </c>
      <c r="R103" s="2">
        <v>0</v>
      </c>
      <c r="S103" s="2">
        <v>0</v>
      </c>
      <c r="T103" s="2">
        <v>0</v>
      </c>
      <c r="U103" s="2">
        <v>78003</v>
      </c>
      <c r="V103" s="2">
        <v>35000</v>
      </c>
      <c r="W103" s="2">
        <v>0</v>
      </c>
      <c r="X103" s="2">
        <v>0</v>
      </c>
      <c r="Y103" s="2">
        <v>0</v>
      </c>
      <c r="Z103" s="2">
        <v>0</v>
      </c>
      <c r="AA103" s="2">
        <v>0</v>
      </c>
      <c r="AB103" s="2">
        <v>0</v>
      </c>
      <c r="AC103" s="2">
        <v>0</v>
      </c>
      <c r="AD103" s="2">
        <v>78252</v>
      </c>
      <c r="AE103" s="2">
        <v>0</v>
      </c>
      <c r="AF103" s="2">
        <v>191255</v>
      </c>
      <c r="AG103" s="2">
        <v>65000</v>
      </c>
      <c r="AH103" s="2">
        <v>15000</v>
      </c>
      <c r="AI103" s="2">
        <v>0</v>
      </c>
      <c r="AJ103" s="2">
        <v>165000</v>
      </c>
      <c r="AK103" s="2">
        <v>0</v>
      </c>
      <c r="AL103" s="2">
        <v>0</v>
      </c>
      <c r="AM103" s="2">
        <v>0</v>
      </c>
      <c r="AN103" s="2">
        <v>0</v>
      </c>
      <c r="AO103" s="2">
        <v>0</v>
      </c>
      <c r="AP103" s="2">
        <v>0</v>
      </c>
      <c r="AQ103" s="2">
        <v>0</v>
      </c>
      <c r="AR103" s="2">
        <v>0</v>
      </c>
      <c r="AS103" s="2">
        <v>0</v>
      </c>
      <c r="AT103" s="2">
        <v>245000</v>
      </c>
      <c r="AU103" s="2">
        <v>105768</v>
      </c>
      <c r="AV103" s="2">
        <v>0</v>
      </c>
      <c r="AW103" s="2">
        <v>0</v>
      </c>
      <c r="AX103" s="2">
        <v>0</v>
      </c>
      <c r="AZ103" s="29">
        <f t="shared" si="1"/>
        <v>0</v>
      </c>
      <c r="BA103" s="131">
        <v>30000</v>
      </c>
      <c r="BD103" s="2" t="s">
        <v>473</v>
      </c>
      <c r="BF103" s="130"/>
    </row>
    <row r="104" spans="1:58" ht="15.75">
      <c r="A104" s="20" t="s">
        <v>520</v>
      </c>
      <c r="B104" s="20" t="s">
        <v>243</v>
      </c>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460351</v>
      </c>
      <c r="V104" s="2">
        <v>0</v>
      </c>
      <c r="W104" s="2">
        <v>0</v>
      </c>
      <c r="X104" s="2">
        <v>0</v>
      </c>
      <c r="Y104" s="2">
        <v>0</v>
      </c>
      <c r="Z104" s="2">
        <v>0</v>
      </c>
      <c r="AA104" s="2">
        <v>0</v>
      </c>
      <c r="AB104" s="2">
        <v>0</v>
      </c>
      <c r="AC104" s="2">
        <v>0</v>
      </c>
      <c r="AD104" s="2">
        <v>0</v>
      </c>
      <c r="AE104" s="2">
        <v>0</v>
      </c>
      <c r="AF104" s="2">
        <v>460351</v>
      </c>
      <c r="AG104" s="2">
        <v>0</v>
      </c>
      <c r="AH104" s="2">
        <v>0</v>
      </c>
      <c r="AI104" s="2">
        <v>0</v>
      </c>
      <c r="AJ104" s="2">
        <v>0</v>
      </c>
      <c r="AK104" s="2">
        <v>0</v>
      </c>
      <c r="AL104" s="2">
        <v>0</v>
      </c>
      <c r="AM104" s="2">
        <v>0</v>
      </c>
      <c r="AN104" s="2">
        <v>0</v>
      </c>
      <c r="AO104" s="2">
        <v>0</v>
      </c>
      <c r="AP104" s="2">
        <v>0</v>
      </c>
      <c r="AQ104" s="2">
        <v>0</v>
      </c>
      <c r="AR104" s="2">
        <v>0</v>
      </c>
      <c r="AS104" s="2">
        <v>0</v>
      </c>
      <c r="AT104" s="2">
        <v>0</v>
      </c>
      <c r="AU104" s="2">
        <v>68231</v>
      </c>
      <c r="AV104" s="2">
        <v>118461</v>
      </c>
      <c r="AW104" s="2">
        <v>25000</v>
      </c>
      <c r="AX104" s="2">
        <v>0</v>
      </c>
      <c r="AZ104" s="29">
        <f t="shared" si="1"/>
        <v>2369.2200000000003</v>
      </c>
      <c r="BA104" s="131">
        <v>30000</v>
      </c>
      <c r="BD104" s="2" t="s">
        <v>520</v>
      </c>
      <c r="BF104" s="130"/>
    </row>
    <row r="105" spans="1:58" ht="15.75">
      <c r="A105" s="20" t="s">
        <v>535</v>
      </c>
      <c r="B105" s="20" t="s">
        <v>257</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0</v>
      </c>
      <c r="U105" s="2">
        <v>10325</v>
      </c>
      <c r="V105" s="2">
        <v>77500</v>
      </c>
      <c r="W105" s="2">
        <v>0</v>
      </c>
      <c r="X105" s="2">
        <v>0</v>
      </c>
      <c r="Y105" s="2">
        <v>0</v>
      </c>
      <c r="Z105" s="2">
        <v>0</v>
      </c>
      <c r="AA105" s="2">
        <v>0</v>
      </c>
      <c r="AB105" s="2">
        <v>0</v>
      </c>
      <c r="AC105" s="2">
        <v>0</v>
      </c>
      <c r="AD105" s="2">
        <v>0</v>
      </c>
      <c r="AE105" s="2">
        <v>0</v>
      </c>
      <c r="AF105" s="2">
        <v>87825</v>
      </c>
      <c r="AG105" s="2">
        <v>65000</v>
      </c>
      <c r="AH105" s="2">
        <v>40000</v>
      </c>
      <c r="AI105" s="2">
        <v>0</v>
      </c>
      <c r="AJ105" s="2">
        <v>195000</v>
      </c>
      <c r="AK105" s="2">
        <v>0</v>
      </c>
      <c r="AL105" s="2">
        <v>0</v>
      </c>
      <c r="AM105" s="2">
        <v>0</v>
      </c>
      <c r="AN105" s="2">
        <v>0</v>
      </c>
      <c r="AO105" s="2">
        <v>0</v>
      </c>
      <c r="AP105" s="2">
        <v>0</v>
      </c>
      <c r="AQ105" s="2">
        <v>0</v>
      </c>
      <c r="AR105" s="2">
        <v>10000</v>
      </c>
      <c r="AS105" s="2">
        <v>0</v>
      </c>
      <c r="AT105" s="2">
        <v>310000</v>
      </c>
      <c r="AU105" s="2">
        <v>142950</v>
      </c>
      <c r="AV105" s="2">
        <v>0</v>
      </c>
      <c r="AW105" s="2">
        <v>0</v>
      </c>
      <c r="AX105" s="2">
        <v>0</v>
      </c>
      <c r="AZ105" s="29">
        <f t="shared" si="1"/>
        <v>0</v>
      </c>
      <c r="BA105" s="131">
        <v>30000</v>
      </c>
      <c r="BD105" s="2" t="s">
        <v>535</v>
      </c>
      <c r="BF105" s="130"/>
    </row>
    <row r="106" spans="1:58" ht="15.75">
      <c r="A106" s="20" t="s">
        <v>547</v>
      </c>
      <c r="B106" s="20" t="s">
        <v>268</v>
      </c>
      <c r="D106" s="2">
        <v>0</v>
      </c>
      <c r="E106" s="2">
        <v>0</v>
      </c>
      <c r="F106" s="2">
        <v>0</v>
      </c>
      <c r="G106" s="2">
        <v>0</v>
      </c>
      <c r="H106" s="2">
        <v>0</v>
      </c>
      <c r="I106" s="2">
        <v>0</v>
      </c>
      <c r="J106" s="2">
        <v>0</v>
      </c>
      <c r="K106" s="2">
        <v>0</v>
      </c>
      <c r="L106" s="2">
        <v>0</v>
      </c>
      <c r="M106" s="2">
        <v>0</v>
      </c>
      <c r="N106" s="2">
        <v>0</v>
      </c>
      <c r="O106" s="2">
        <v>0</v>
      </c>
      <c r="P106" s="2">
        <v>0</v>
      </c>
      <c r="Q106" s="2">
        <v>0</v>
      </c>
      <c r="R106" s="2">
        <v>0</v>
      </c>
      <c r="S106" s="2">
        <v>0</v>
      </c>
      <c r="T106" s="2">
        <v>0</v>
      </c>
      <c r="U106" s="2">
        <v>181040</v>
      </c>
      <c r="V106" s="2">
        <v>0</v>
      </c>
      <c r="W106" s="2">
        <v>0</v>
      </c>
      <c r="X106" s="2">
        <v>10474</v>
      </c>
      <c r="Y106" s="2">
        <v>0</v>
      </c>
      <c r="Z106" s="2">
        <v>0</v>
      </c>
      <c r="AA106" s="2">
        <v>0</v>
      </c>
      <c r="AB106" s="2">
        <v>0</v>
      </c>
      <c r="AC106" s="2">
        <v>0</v>
      </c>
      <c r="AD106" s="2">
        <v>60000</v>
      </c>
      <c r="AE106" s="2">
        <v>0</v>
      </c>
      <c r="AF106" s="2">
        <v>251514</v>
      </c>
      <c r="AG106" s="2">
        <v>144957</v>
      </c>
      <c r="AH106" s="2">
        <v>0</v>
      </c>
      <c r="AI106" s="2">
        <v>0</v>
      </c>
      <c r="AJ106" s="2">
        <v>38000</v>
      </c>
      <c r="AK106" s="2">
        <v>44798</v>
      </c>
      <c r="AL106" s="2">
        <v>74212</v>
      </c>
      <c r="AM106" s="2">
        <v>0</v>
      </c>
      <c r="AN106" s="2">
        <v>0</v>
      </c>
      <c r="AO106" s="2">
        <v>284846</v>
      </c>
      <c r="AP106" s="2">
        <v>0</v>
      </c>
      <c r="AQ106" s="2">
        <v>0</v>
      </c>
      <c r="AR106" s="2">
        <v>0</v>
      </c>
      <c r="AS106" s="2">
        <v>0</v>
      </c>
      <c r="AT106" s="2">
        <v>586813</v>
      </c>
      <c r="AU106" s="2">
        <v>192892</v>
      </c>
      <c r="AV106" s="2">
        <v>36767</v>
      </c>
      <c r="AW106" s="2">
        <v>5000</v>
      </c>
      <c r="AX106" s="2">
        <v>0</v>
      </c>
      <c r="AZ106" s="29">
        <f t="shared" si="1"/>
        <v>735.34</v>
      </c>
      <c r="BA106" s="131">
        <v>60000</v>
      </c>
      <c r="BD106" s="2" t="s">
        <v>547</v>
      </c>
      <c r="BF106" s="130"/>
    </row>
    <row r="107" spans="1:58" ht="15.75">
      <c r="A107" s="20" t="s">
        <v>398</v>
      </c>
      <c r="B107" s="20" t="s">
        <v>121</v>
      </c>
      <c r="D107" s="2">
        <v>0</v>
      </c>
      <c r="E107" s="2">
        <v>0</v>
      </c>
      <c r="F107" s="2">
        <v>0</v>
      </c>
      <c r="G107" s="2">
        <v>0</v>
      </c>
      <c r="H107" s="2">
        <v>0</v>
      </c>
      <c r="I107" s="2">
        <v>0</v>
      </c>
      <c r="J107" s="2">
        <v>0</v>
      </c>
      <c r="K107" s="2">
        <v>0</v>
      </c>
      <c r="L107" s="2">
        <v>0</v>
      </c>
      <c r="M107" s="2">
        <v>0</v>
      </c>
      <c r="N107" s="2">
        <v>0</v>
      </c>
      <c r="O107" s="2">
        <v>0</v>
      </c>
      <c r="P107" s="2">
        <v>0</v>
      </c>
      <c r="Q107" s="2">
        <v>0</v>
      </c>
      <c r="R107" s="2">
        <v>0</v>
      </c>
      <c r="S107" s="2">
        <v>0</v>
      </c>
      <c r="T107" s="2">
        <v>0</v>
      </c>
      <c r="U107" s="2">
        <v>103096</v>
      </c>
      <c r="V107" s="2">
        <v>0</v>
      </c>
      <c r="W107" s="2">
        <v>0</v>
      </c>
      <c r="X107" s="2">
        <v>0</v>
      </c>
      <c r="Y107" s="2">
        <v>0</v>
      </c>
      <c r="Z107" s="2">
        <v>0</v>
      </c>
      <c r="AA107" s="2">
        <v>0</v>
      </c>
      <c r="AB107" s="2">
        <v>0</v>
      </c>
      <c r="AC107" s="2">
        <v>0</v>
      </c>
      <c r="AD107" s="2">
        <v>0</v>
      </c>
      <c r="AE107" s="2">
        <v>0</v>
      </c>
      <c r="AF107" s="2">
        <v>103096</v>
      </c>
      <c r="AG107" s="2">
        <v>29400</v>
      </c>
      <c r="AH107" s="2">
        <v>4600</v>
      </c>
      <c r="AI107" s="2">
        <v>0</v>
      </c>
      <c r="AJ107" s="2">
        <v>0</v>
      </c>
      <c r="AK107" s="2">
        <v>0</v>
      </c>
      <c r="AL107" s="2">
        <v>0</v>
      </c>
      <c r="AM107" s="2">
        <v>0</v>
      </c>
      <c r="AN107" s="2">
        <v>0</v>
      </c>
      <c r="AO107" s="2">
        <v>0</v>
      </c>
      <c r="AP107" s="2">
        <v>0</v>
      </c>
      <c r="AQ107" s="2">
        <v>0</v>
      </c>
      <c r="AR107" s="2">
        <v>0</v>
      </c>
      <c r="AS107" s="2">
        <v>0</v>
      </c>
      <c r="AT107" s="2">
        <v>34000</v>
      </c>
      <c r="AU107" s="2">
        <v>41800</v>
      </c>
      <c r="AV107" s="2">
        <v>0</v>
      </c>
      <c r="AW107" s="2">
        <v>0</v>
      </c>
      <c r="AX107" s="2">
        <v>0</v>
      </c>
      <c r="AZ107" s="29">
        <f t="shared" si="1"/>
        <v>0</v>
      </c>
      <c r="BA107" s="131">
        <v>20000</v>
      </c>
      <c r="BD107" s="2" t="s">
        <v>398</v>
      </c>
      <c r="BF107" s="130"/>
    </row>
    <row r="108" spans="1:58" ht="15.75">
      <c r="A108" s="20" t="s">
        <v>405</v>
      </c>
      <c r="B108" s="20" t="s">
        <v>128</v>
      </c>
      <c r="D108" s="2">
        <v>0</v>
      </c>
      <c r="E108" s="2">
        <v>0</v>
      </c>
      <c r="F108" s="2">
        <v>0</v>
      </c>
      <c r="G108" s="2">
        <v>0</v>
      </c>
      <c r="H108" s="2">
        <v>0</v>
      </c>
      <c r="I108" s="2">
        <v>0</v>
      </c>
      <c r="J108" s="2">
        <v>0</v>
      </c>
      <c r="K108" s="2">
        <v>0</v>
      </c>
      <c r="L108" s="2">
        <v>0</v>
      </c>
      <c r="M108" s="2">
        <v>0</v>
      </c>
      <c r="N108" s="2">
        <v>0</v>
      </c>
      <c r="O108" s="2">
        <v>0</v>
      </c>
      <c r="P108" s="2">
        <v>0</v>
      </c>
      <c r="Q108" s="2">
        <v>0</v>
      </c>
      <c r="R108" s="2">
        <v>0</v>
      </c>
      <c r="S108" s="2">
        <v>0</v>
      </c>
      <c r="T108" s="2">
        <v>0</v>
      </c>
      <c r="U108" s="2">
        <v>322256</v>
      </c>
      <c r="V108" s="2">
        <v>95500</v>
      </c>
      <c r="W108" s="2">
        <v>0</v>
      </c>
      <c r="X108" s="2">
        <v>0</v>
      </c>
      <c r="Y108" s="2">
        <v>0</v>
      </c>
      <c r="Z108" s="2">
        <v>0</v>
      </c>
      <c r="AA108" s="2">
        <v>0</v>
      </c>
      <c r="AB108" s="2">
        <v>0</v>
      </c>
      <c r="AC108" s="2">
        <v>0</v>
      </c>
      <c r="AD108" s="2">
        <v>0</v>
      </c>
      <c r="AE108" s="2">
        <v>0</v>
      </c>
      <c r="AF108" s="2">
        <v>417756</v>
      </c>
      <c r="AG108" s="2">
        <v>359</v>
      </c>
      <c r="AH108" s="2">
        <v>0</v>
      </c>
      <c r="AI108" s="2">
        <v>0</v>
      </c>
      <c r="AJ108" s="2">
        <v>0</v>
      </c>
      <c r="AK108" s="2">
        <v>10000</v>
      </c>
      <c r="AL108" s="2">
        <v>30000</v>
      </c>
      <c r="AM108" s="2">
        <v>15000</v>
      </c>
      <c r="AN108" s="2">
        <v>0</v>
      </c>
      <c r="AO108" s="2">
        <v>0</v>
      </c>
      <c r="AP108" s="2">
        <v>0</v>
      </c>
      <c r="AQ108" s="2">
        <v>0</v>
      </c>
      <c r="AR108" s="2">
        <v>118000</v>
      </c>
      <c r="AS108" s="2">
        <v>0</v>
      </c>
      <c r="AT108" s="2">
        <v>173359</v>
      </c>
      <c r="AU108" s="2">
        <v>13100</v>
      </c>
      <c r="AV108" s="2">
        <v>0</v>
      </c>
      <c r="AW108" s="2">
        <v>0</v>
      </c>
      <c r="AX108" s="2">
        <v>0</v>
      </c>
      <c r="AZ108" s="29">
        <f t="shared" si="1"/>
        <v>0</v>
      </c>
      <c r="BA108" s="131">
        <v>30000</v>
      </c>
      <c r="BD108" s="2" t="s">
        <v>405</v>
      </c>
      <c r="BF108" s="130"/>
    </row>
    <row r="109" spans="1:58" ht="15.75">
      <c r="A109" s="20" t="s">
        <v>425</v>
      </c>
      <c r="B109" s="20" t="s">
        <v>148</v>
      </c>
      <c r="D109" s="2">
        <v>0</v>
      </c>
      <c r="E109" s="2">
        <v>0</v>
      </c>
      <c r="F109" s="2">
        <v>0</v>
      </c>
      <c r="G109" s="2">
        <v>0</v>
      </c>
      <c r="H109" s="2">
        <v>315</v>
      </c>
      <c r="I109" s="2">
        <v>315</v>
      </c>
      <c r="J109" s="2">
        <v>0</v>
      </c>
      <c r="K109" s="2">
        <v>0</v>
      </c>
      <c r="L109" s="2">
        <v>0</v>
      </c>
      <c r="M109" s="2">
        <v>0</v>
      </c>
      <c r="N109" s="2">
        <v>0</v>
      </c>
      <c r="O109" s="2">
        <v>0</v>
      </c>
      <c r="P109" s="2">
        <v>0</v>
      </c>
      <c r="Q109" s="2">
        <v>23</v>
      </c>
      <c r="R109" s="2">
        <v>0</v>
      </c>
      <c r="S109" s="2">
        <v>0</v>
      </c>
      <c r="T109" s="2">
        <v>23</v>
      </c>
      <c r="U109" s="2">
        <v>614926</v>
      </c>
      <c r="V109" s="2">
        <v>120000</v>
      </c>
      <c r="W109" s="2">
        <v>0</v>
      </c>
      <c r="X109" s="2">
        <v>23075</v>
      </c>
      <c r="Y109" s="2">
        <v>0</v>
      </c>
      <c r="Z109" s="2">
        <v>0</v>
      </c>
      <c r="AA109" s="2">
        <v>0</v>
      </c>
      <c r="AB109" s="2">
        <v>37500</v>
      </c>
      <c r="AC109" s="2">
        <v>0</v>
      </c>
      <c r="AD109" s="2">
        <v>25745</v>
      </c>
      <c r="AE109" s="2">
        <v>0</v>
      </c>
      <c r="AF109" s="2">
        <v>821246</v>
      </c>
      <c r="AG109" s="2">
        <v>120000</v>
      </c>
      <c r="AH109" s="2">
        <v>0</v>
      </c>
      <c r="AI109" s="2">
        <v>0</v>
      </c>
      <c r="AJ109" s="2">
        <v>0</v>
      </c>
      <c r="AK109" s="2">
        <v>0</v>
      </c>
      <c r="AL109" s="2">
        <v>0</v>
      </c>
      <c r="AM109" s="2">
        <v>0</v>
      </c>
      <c r="AN109" s="2">
        <v>0</v>
      </c>
      <c r="AO109" s="2">
        <v>0</v>
      </c>
      <c r="AP109" s="2">
        <v>0</v>
      </c>
      <c r="AQ109" s="2">
        <v>0</v>
      </c>
      <c r="AR109" s="2">
        <v>0</v>
      </c>
      <c r="AS109" s="2">
        <v>0</v>
      </c>
      <c r="AT109" s="2">
        <v>120000</v>
      </c>
      <c r="AU109" s="2">
        <v>23785</v>
      </c>
      <c r="AV109" s="2">
        <v>0</v>
      </c>
      <c r="AW109" s="2">
        <v>0</v>
      </c>
      <c r="AX109" s="2">
        <v>0</v>
      </c>
      <c r="AZ109" s="29">
        <f t="shared" si="1"/>
        <v>0</v>
      </c>
      <c r="BA109" s="131">
        <v>40000</v>
      </c>
      <c r="BD109" s="2" t="s">
        <v>425</v>
      </c>
      <c r="BF109" s="130"/>
    </row>
    <row r="110" spans="1:58" ht="15.75">
      <c r="A110" s="20" t="s">
        <v>430</v>
      </c>
      <c r="B110" s="20" t="s">
        <v>153</v>
      </c>
      <c r="D110" s="2">
        <v>0</v>
      </c>
      <c r="E110" s="2">
        <v>0</v>
      </c>
      <c r="F110" s="2">
        <v>0</v>
      </c>
      <c r="G110" s="2">
        <v>0</v>
      </c>
      <c r="H110" s="2">
        <v>0</v>
      </c>
      <c r="I110" s="2">
        <v>0</v>
      </c>
      <c r="J110" s="2">
        <v>0</v>
      </c>
      <c r="K110" s="2">
        <v>0</v>
      </c>
      <c r="L110" s="2">
        <v>0</v>
      </c>
      <c r="M110" s="2">
        <v>0</v>
      </c>
      <c r="N110" s="2">
        <v>0</v>
      </c>
      <c r="O110" s="2">
        <v>0</v>
      </c>
      <c r="P110" s="2">
        <v>30000</v>
      </c>
      <c r="Q110" s="2">
        <v>0</v>
      </c>
      <c r="R110" s="2">
        <v>0</v>
      </c>
      <c r="S110" s="2">
        <v>0</v>
      </c>
      <c r="T110" s="2">
        <v>30000</v>
      </c>
      <c r="U110" s="2">
        <v>381512</v>
      </c>
      <c r="V110" s="2">
        <v>10000</v>
      </c>
      <c r="W110" s="2">
        <v>0</v>
      </c>
      <c r="X110" s="2">
        <v>0</v>
      </c>
      <c r="Y110" s="2">
        <v>0</v>
      </c>
      <c r="Z110" s="2">
        <v>13843</v>
      </c>
      <c r="AA110" s="2">
        <v>0</v>
      </c>
      <c r="AB110" s="2">
        <v>0</v>
      </c>
      <c r="AC110" s="2">
        <v>0</v>
      </c>
      <c r="AD110" s="2">
        <v>78000</v>
      </c>
      <c r="AE110" s="2">
        <v>0</v>
      </c>
      <c r="AF110" s="2">
        <v>483355</v>
      </c>
      <c r="AG110" s="2">
        <v>60000</v>
      </c>
      <c r="AH110" s="2">
        <v>5000</v>
      </c>
      <c r="AI110" s="2">
        <v>0</v>
      </c>
      <c r="AJ110" s="2">
        <v>0</v>
      </c>
      <c r="AK110" s="2">
        <v>0</v>
      </c>
      <c r="AL110" s="2">
        <v>0</v>
      </c>
      <c r="AM110" s="2">
        <v>0</v>
      </c>
      <c r="AN110" s="2">
        <v>0</v>
      </c>
      <c r="AO110" s="2">
        <v>0</v>
      </c>
      <c r="AP110" s="2">
        <v>0</v>
      </c>
      <c r="AQ110" s="2">
        <v>0</v>
      </c>
      <c r="AR110" s="2">
        <v>108302</v>
      </c>
      <c r="AS110" s="2">
        <v>630</v>
      </c>
      <c r="AT110" s="2">
        <v>173932</v>
      </c>
      <c r="AU110" s="2">
        <v>0</v>
      </c>
      <c r="AV110" s="2">
        <v>0</v>
      </c>
      <c r="AW110" s="2">
        <v>0</v>
      </c>
      <c r="AX110" s="2">
        <v>0</v>
      </c>
      <c r="AZ110" s="29">
        <f t="shared" si="1"/>
        <v>0</v>
      </c>
      <c r="BA110" s="131">
        <v>20000</v>
      </c>
      <c r="BD110" s="2" t="s">
        <v>430</v>
      </c>
      <c r="BF110" s="130"/>
    </row>
    <row r="111" spans="1:58" ht="15.75">
      <c r="A111" s="20" t="s">
        <v>436</v>
      </c>
      <c r="B111" s="20" t="s">
        <v>159</v>
      </c>
      <c r="D111" s="2">
        <v>0</v>
      </c>
      <c r="E111" s="2">
        <v>0</v>
      </c>
      <c r="F111" s="2">
        <v>0</v>
      </c>
      <c r="G111" s="2">
        <v>0</v>
      </c>
      <c r="H111" s="2">
        <v>0</v>
      </c>
      <c r="I111" s="2">
        <v>0</v>
      </c>
      <c r="J111" s="2">
        <v>0</v>
      </c>
      <c r="K111" s="2">
        <v>0</v>
      </c>
      <c r="L111" s="2">
        <v>0</v>
      </c>
      <c r="M111" s="2">
        <v>10000</v>
      </c>
      <c r="N111" s="2">
        <v>0</v>
      </c>
      <c r="O111" s="2">
        <v>0</v>
      </c>
      <c r="P111" s="2">
        <v>54000</v>
      </c>
      <c r="Q111" s="2">
        <v>0</v>
      </c>
      <c r="R111" s="2">
        <v>0</v>
      </c>
      <c r="S111" s="2">
        <v>0</v>
      </c>
      <c r="T111" s="2">
        <v>64000</v>
      </c>
      <c r="U111" s="2">
        <v>287478</v>
      </c>
      <c r="V111" s="2">
        <v>0</v>
      </c>
      <c r="W111" s="2">
        <v>0</v>
      </c>
      <c r="X111" s="2">
        <v>46000</v>
      </c>
      <c r="Y111" s="2">
        <v>0</v>
      </c>
      <c r="Z111" s="2">
        <v>0</v>
      </c>
      <c r="AA111" s="2">
        <v>0</v>
      </c>
      <c r="AB111" s="2">
        <v>18000</v>
      </c>
      <c r="AC111" s="2">
        <v>0</v>
      </c>
      <c r="AD111" s="2">
        <v>0</v>
      </c>
      <c r="AE111" s="2">
        <v>0</v>
      </c>
      <c r="AF111" s="2">
        <v>351478</v>
      </c>
      <c r="AG111" s="2">
        <v>11900</v>
      </c>
      <c r="AH111" s="2">
        <v>0</v>
      </c>
      <c r="AI111" s="2">
        <v>0</v>
      </c>
      <c r="AJ111" s="2">
        <v>0</v>
      </c>
      <c r="AK111" s="2">
        <v>0</v>
      </c>
      <c r="AL111" s="2">
        <v>0</v>
      </c>
      <c r="AM111" s="2">
        <v>0</v>
      </c>
      <c r="AN111" s="2">
        <v>0</v>
      </c>
      <c r="AO111" s="2">
        <v>0</v>
      </c>
      <c r="AP111" s="2">
        <v>0</v>
      </c>
      <c r="AQ111" s="2">
        <v>0</v>
      </c>
      <c r="AR111" s="2">
        <v>0</v>
      </c>
      <c r="AS111" s="2">
        <v>0</v>
      </c>
      <c r="AT111" s="2">
        <v>11900</v>
      </c>
      <c r="AU111" s="2">
        <v>0</v>
      </c>
      <c r="AV111" s="2">
        <v>0</v>
      </c>
      <c r="AW111" s="2">
        <v>0</v>
      </c>
      <c r="AX111" s="2">
        <v>0</v>
      </c>
      <c r="AZ111" s="29">
        <f t="shared" si="1"/>
        <v>0</v>
      </c>
      <c r="BA111" s="131">
        <v>20000</v>
      </c>
      <c r="BD111" s="2" t="s">
        <v>436</v>
      </c>
      <c r="BF111" s="130"/>
    </row>
    <row r="112" spans="1:58" ht="15.75">
      <c r="A112" s="20" t="s">
        <v>456</v>
      </c>
      <c r="B112" s="20" t="s">
        <v>179</v>
      </c>
      <c r="D112" s="2">
        <v>0</v>
      </c>
      <c r="E112" s="2">
        <v>0</v>
      </c>
      <c r="F112" s="2">
        <v>0</v>
      </c>
      <c r="G112" s="2">
        <v>0</v>
      </c>
      <c r="H112" s="2">
        <v>0</v>
      </c>
      <c r="I112" s="2">
        <v>0</v>
      </c>
      <c r="J112" s="2">
        <v>0</v>
      </c>
      <c r="K112" s="2">
        <v>0</v>
      </c>
      <c r="L112" s="2">
        <v>0</v>
      </c>
      <c r="M112" s="2">
        <v>0</v>
      </c>
      <c r="N112" s="2">
        <v>0</v>
      </c>
      <c r="O112" s="2">
        <v>0</v>
      </c>
      <c r="P112" s="2">
        <v>20000</v>
      </c>
      <c r="Q112" s="2">
        <v>0</v>
      </c>
      <c r="R112" s="2">
        <v>0</v>
      </c>
      <c r="S112" s="2">
        <v>0</v>
      </c>
      <c r="T112" s="2">
        <v>20000</v>
      </c>
      <c r="U112" s="2">
        <v>148551</v>
      </c>
      <c r="V112" s="2">
        <v>85000</v>
      </c>
      <c r="W112" s="2">
        <v>0</v>
      </c>
      <c r="X112" s="2">
        <v>0</v>
      </c>
      <c r="Y112" s="2">
        <v>0</v>
      </c>
      <c r="Z112" s="2">
        <v>0</v>
      </c>
      <c r="AA112" s="2">
        <v>0</v>
      </c>
      <c r="AB112" s="2">
        <v>0</v>
      </c>
      <c r="AC112" s="2">
        <v>0</v>
      </c>
      <c r="AD112" s="2">
        <v>40000</v>
      </c>
      <c r="AE112" s="2">
        <v>0</v>
      </c>
      <c r="AF112" s="2">
        <v>273551</v>
      </c>
      <c r="AG112" s="2">
        <v>305</v>
      </c>
      <c r="AH112" s="2">
        <v>0</v>
      </c>
      <c r="AI112" s="2">
        <v>0</v>
      </c>
      <c r="AJ112" s="2">
        <v>1078</v>
      </c>
      <c r="AK112" s="2">
        <v>0</v>
      </c>
      <c r="AL112" s="2">
        <v>0</v>
      </c>
      <c r="AM112" s="2">
        <v>0</v>
      </c>
      <c r="AN112" s="2">
        <v>0</v>
      </c>
      <c r="AO112" s="2">
        <v>0</v>
      </c>
      <c r="AP112" s="2">
        <v>0</v>
      </c>
      <c r="AQ112" s="2">
        <v>0</v>
      </c>
      <c r="AR112" s="2">
        <v>0</v>
      </c>
      <c r="AS112" s="2">
        <v>0</v>
      </c>
      <c r="AT112" s="2">
        <v>1383</v>
      </c>
      <c r="AU112" s="2">
        <v>11200</v>
      </c>
      <c r="AV112" s="2">
        <v>0</v>
      </c>
      <c r="AW112" s="2">
        <v>0</v>
      </c>
      <c r="AX112" s="2">
        <v>0</v>
      </c>
      <c r="AZ112" s="29">
        <f t="shared" si="1"/>
        <v>0</v>
      </c>
      <c r="BA112" s="131">
        <v>20000</v>
      </c>
      <c r="BD112" s="2" t="s">
        <v>456</v>
      </c>
      <c r="BF112" s="130"/>
    </row>
    <row r="113" spans="1:58" ht="15.75">
      <c r="A113" s="20" t="s">
        <v>460</v>
      </c>
      <c r="B113" s="20" t="s">
        <v>183</v>
      </c>
      <c r="D113" s="2">
        <v>0</v>
      </c>
      <c r="E113" s="2">
        <v>0</v>
      </c>
      <c r="F113" s="2">
        <v>0</v>
      </c>
      <c r="G113" s="2">
        <v>0</v>
      </c>
      <c r="H113" s="2">
        <v>0</v>
      </c>
      <c r="I113" s="2">
        <v>0</v>
      </c>
      <c r="J113" s="2">
        <v>0</v>
      </c>
      <c r="K113" s="2">
        <v>0</v>
      </c>
      <c r="L113" s="2">
        <v>0</v>
      </c>
      <c r="M113" s="2">
        <v>0</v>
      </c>
      <c r="N113" s="2">
        <v>0</v>
      </c>
      <c r="O113" s="2">
        <v>0</v>
      </c>
      <c r="P113" s="2">
        <v>0</v>
      </c>
      <c r="Q113" s="2">
        <v>361</v>
      </c>
      <c r="R113" s="2">
        <v>0</v>
      </c>
      <c r="S113" s="2">
        <v>0</v>
      </c>
      <c r="T113" s="2">
        <v>361</v>
      </c>
      <c r="U113" s="2">
        <v>203234</v>
      </c>
      <c r="V113" s="2">
        <v>7000</v>
      </c>
      <c r="W113" s="2">
        <v>0</v>
      </c>
      <c r="X113" s="2">
        <v>0</v>
      </c>
      <c r="Y113" s="2">
        <v>0</v>
      </c>
      <c r="Z113" s="2">
        <v>0</v>
      </c>
      <c r="AA113" s="2">
        <v>0</v>
      </c>
      <c r="AB113" s="2">
        <v>0</v>
      </c>
      <c r="AC113" s="2">
        <v>0</v>
      </c>
      <c r="AD113" s="2">
        <v>0</v>
      </c>
      <c r="AE113" s="2">
        <v>0</v>
      </c>
      <c r="AF113" s="2">
        <v>210234</v>
      </c>
      <c r="AG113" s="2">
        <v>65321</v>
      </c>
      <c r="AH113" s="2">
        <v>30000</v>
      </c>
      <c r="AI113" s="2">
        <v>0</v>
      </c>
      <c r="AJ113" s="2">
        <v>83000</v>
      </c>
      <c r="AK113" s="2">
        <v>0</v>
      </c>
      <c r="AL113" s="2">
        <v>0</v>
      </c>
      <c r="AM113" s="2">
        <v>0</v>
      </c>
      <c r="AN113" s="2">
        <v>0</v>
      </c>
      <c r="AO113" s="2">
        <v>5000</v>
      </c>
      <c r="AP113" s="2">
        <v>0</v>
      </c>
      <c r="AQ113" s="2">
        <v>0</v>
      </c>
      <c r="AR113" s="2">
        <v>45000</v>
      </c>
      <c r="AS113" s="2">
        <v>0</v>
      </c>
      <c r="AT113" s="2">
        <v>228321</v>
      </c>
      <c r="AU113" s="2">
        <v>0</v>
      </c>
      <c r="AV113" s="2">
        <v>0</v>
      </c>
      <c r="AW113" s="2">
        <v>0</v>
      </c>
      <c r="AX113" s="2">
        <v>0</v>
      </c>
      <c r="AZ113" s="29">
        <f t="shared" si="1"/>
        <v>0</v>
      </c>
      <c r="BA113" s="131">
        <v>20000</v>
      </c>
      <c r="BD113" s="2" t="s">
        <v>460</v>
      </c>
      <c r="BF113" s="130"/>
    </row>
    <row r="114" spans="1:58" ht="15.75">
      <c r="A114" s="20" t="s">
        <v>462</v>
      </c>
      <c r="B114" s="20" t="s">
        <v>185</v>
      </c>
      <c r="D114" s="2">
        <v>0</v>
      </c>
      <c r="E114" s="2">
        <v>0</v>
      </c>
      <c r="F114" s="2">
        <v>0</v>
      </c>
      <c r="G114" s="2">
        <v>0</v>
      </c>
      <c r="H114" s="2">
        <v>0</v>
      </c>
      <c r="I114" s="2">
        <v>0</v>
      </c>
      <c r="J114" s="2">
        <v>0</v>
      </c>
      <c r="K114" s="2">
        <v>0</v>
      </c>
      <c r="L114" s="2">
        <v>0</v>
      </c>
      <c r="M114" s="2">
        <v>0</v>
      </c>
      <c r="N114" s="2">
        <v>0</v>
      </c>
      <c r="O114" s="2">
        <v>0</v>
      </c>
      <c r="P114" s="2">
        <v>1300</v>
      </c>
      <c r="Q114" s="2">
        <v>0</v>
      </c>
      <c r="R114" s="2">
        <v>0</v>
      </c>
      <c r="S114" s="2">
        <v>0</v>
      </c>
      <c r="T114" s="2">
        <v>1300</v>
      </c>
      <c r="U114" s="2">
        <v>122333</v>
      </c>
      <c r="V114" s="2">
        <v>72000</v>
      </c>
      <c r="W114" s="2">
        <v>0</v>
      </c>
      <c r="X114" s="2">
        <v>0</v>
      </c>
      <c r="Y114" s="2">
        <v>0</v>
      </c>
      <c r="Z114" s="2">
        <v>0</v>
      </c>
      <c r="AA114" s="2">
        <v>0</v>
      </c>
      <c r="AB114" s="2">
        <v>0</v>
      </c>
      <c r="AC114" s="2">
        <v>0</v>
      </c>
      <c r="AD114" s="2">
        <v>0</v>
      </c>
      <c r="AE114" s="2">
        <v>0</v>
      </c>
      <c r="AF114" s="2">
        <v>194333</v>
      </c>
      <c r="AG114" s="2">
        <v>60587</v>
      </c>
      <c r="AH114" s="2">
        <v>37600</v>
      </c>
      <c r="AI114" s="2">
        <v>0</v>
      </c>
      <c r="AJ114" s="2">
        <v>0</v>
      </c>
      <c r="AK114" s="2">
        <v>0</v>
      </c>
      <c r="AL114" s="2">
        <v>10000</v>
      </c>
      <c r="AM114" s="2">
        <v>0</v>
      </c>
      <c r="AN114" s="2">
        <v>0</v>
      </c>
      <c r="AO114" s="2">
        <v>0</v>
      </c>
      <c r="AP114" s="2">
        <v>0</v>
      </c>
      <c r="AQ114" s="2">
        <v>0</v>
      </c>
      <c r="AR114" s="2">
        <v>105000</v>
      </c>
      <c r="AS114" s="2">
        <v>0</v>
      </c>
      <c r="AT114" s="2">
        <v>213187</v>
      </c>
      <c r="AU114" s="2">
        <v>1300</v>
      </c>
      <c r="AV114" s="2">
        <v>0</v>
      </c>
      <c r="AW114" s="2">
        <v>0</v>
      </c>
      <c r="AX114" s="2">
        <v>0</v>
      </c>
      <c r="AZ114" s="29">
        <f t="shared" si="1"/>
        <v>0</v>
      </c>
      <c r="BA114" s="131">
        <v>30000</v>
      </c>
      <c r="BD114" s="2" t="s">
        <v>462</v>
      </c>
      <c r="BF114" s="130"/>
    </row>
    <row r="115" spans="1:58" ht="15.75">
      <c r="A115" s="20" t="s">
        <v>467</v>
      </c>
      <c r="B115" s="20" t="s">
        <v>190</v>
      </c>
      <c r="D115" s="2">
        <v>0</v>
      </c>
      <c r="E115" s="2">
        <v>0</v>
      </c>
      <c r="F115" s="2">
        <v>0</v>
      </c>
      <c r="G115" s="2">
        <v>0</v>
      </c>
      <c r="H115" s="2">
        <v>0</v>
      </c>
      <c r="I115" s="2">
        <v>0</v>
      </c>
      <c r="J115" s="2">
        <v>0</v>
      </c>
      <c r="K115" s="2">
        <v>0</v>
      </c>
      <c r="L115" s="2">
        <v>0</v>
      </c>
      <c r="M115" s="2">
        <v>0</v>
      </c>
      <c r="N115" s="2">
        <v>0</v>
      </c>
      <c r="O115" s="2">
        <v>0</v>
      </c>
      <c r="P115" s="2">
        <v>2000</v>
      </c>
      <c r="Q115" s="2">
        <v>0</v>
      </c>
      <c r="R115" s="2">
        <v>0</v>
      </c>
      <c r="S115" s="2">
        <v>0</v>
      </c>
      <c r="T115" s="2">
        <v>2000</v>
      </c>
      <c r="U115" s="2">
        <v>172082</v>
      </c>
      <c r="V115" s="2">
        <v>52000</v>
      </c>
      <c r="W115" s="2">
        <v>0</v>
      </c>
      <c r="X115" s="2">
        <v>0</v>
      </c>
      <c r="Y115" s="2">
        <v>0</v>
      </c>
      <c r="Z115" s="2">
        <v>0</v>
      </c>
      <c r="AA115" s="2">
        <v>0</v>
      </c>
      <c r="AB115" s="2">
        <v>0</v>
      </c>
      <c r="AC115" s="2">
        <v>0</v>
      </c>
      <c r="AD115" s="2">
        <v>9000</v>
      </c>
      <c r="AE115" s="2">
        <v>0</v>
      </c>
      <c r="AF115" s="2">
        <v>233082</v>
      </c>
      <c r="AG115" s="2">
        <v>15198</v>
      </c>
      <c r="AH115" s="2">
        <v>5000</v>
      </c>
      <c r="AI115" s="2">
        <v>0</v>
      </c>
      <c r="AJ115" s="2">
        <v>0</v>
      </c>
      <c r="AK115" s="2">
        <v>0</v>
      </c>
      <c r="AL115" s="2">
        <v>0</v>
      </c>
      <c r="AM115" s="2">
        <v>0</v>
      </c>
      <c r="AN115" s="2">
        <v>0</v>
      </c>
      <c r="AO115" s="2">
        <v>0</v>
      </c>
      <c r="AP115" s="2">
        <v>0</v>
      </c>
      <c r="AQ115" s="2">
        <v>0</v>
      </c>
      <c r="AR115" s="2">
        <v>0</v>
      </c>
      <c r="AS115" s="2">
        <v>6938</v>
      </c>
      <c r="AT115" s="2">
        <v>27136</v>
      </c>
      <c r="AU115" s="2">
        <v>1910</v>
      </c>
      <c r="AV115" s="2">
        <v>0</v>
      </c>
      <c r="AW115" s="2">
        <v>0</v>
      </c>
      <c r="AX115" s="2">
        <v>0</v>
      </c>
      <c r="AZ115" s="29">
        <f t="shared" si="1"/>
        <v>0</v>
      </c>
      <c r="BA115" s="131">
        <v>20000</v>
      </c>
      <c r="BD115" s="2" t="s">
        <v>467</v>
      </c>
      <c r="BF115" s="130"/>
    </row>
    <row r="116" spans="1:58" ht="15.75">
      <c r="A116" s="20" t="s">
        <v>501</v>
      </c>
      <c r="B116" s="20" t="s">
        <v>224</v>
      </c>
      <c r="D116" s="2">
        <v>0</v>
      </c>
      <c r="E116" s="2">
        <v>0</v>
      </c>
      <c r="F116" s="2">
        <v>0</v>
      </c>
      <c r="G116" s="2">
        <v>0</v>
      </c>
      <c r="H116" s="2">
        <v>0</v>
      </c>
      <c r="I116" s="2">
        <v>0</v>
      </c>
      <c r="J116" s="2">
        <v>0</v>
      </c>
      <c r="K116" s="2">
        <v>0</v>
      </c>
      <c r="L116" s="2">
        <v>0</v>
      </c>
      <c r="M116" s="2">
        <v>0</v>
      </c>
      <c r="N116" s="2">
        <v>0</v>
      </c>
      <c r="O116" s="2">
        <v>0</v>
      </c>
      <c r="P116" s="2">
        <v>1596</v>
      </c>
      <c r="Q116" s="2">
        <v>0</v>
      </c>
      <c r="R116" s="2">
        <v>0</v>
      </c>
      <c r="S116" s="2">
        <v>0</v>
      </c>
      <c r="T116" s="2">
        <v>1596</v>
      </c>
      <c r="U116" s="2">
        <v>104678</v>
      </c>
      <c r="V116" s="2">
        <v>5000</v>
      </c>
      <c r="W116" s="2">
        <v>0</v>
      </c>
      <c r="X116" s="2">
        <v>0</v>
      </c>
      <c r="Y116" s="2">
        <v>0</v>
      </c>
      <c r="Z116" s="2">
        <v>0</v>
      </c>
      <c r="AA116" s="2">
        <v>0</v>
      </c>
      <c r="AB116" s="2">
        <v>1600</v>
      </c>
      <c r="AC116" s="2">
        <v>0</v>
      </c>
      <c r="AD116" s="2">
        <v>0</v>
      </c>
      <c r="AE116" s="2">
        <v>0</v>
      </c>
      <c r="AF116" s="2">
        <v>111278</v>
      </c>
      <c r="AG116" s="2">
        <v>21900</v>
      </c>
      <c r="AH116" s="2">
        <v>3500</v>
      </c>
      <c r="AI116" s="2">
        <v>0</v>
      </c>
      <c r="AJ116" s="2">
        <v>0</v>
      </c>
      <c r="AK116" s="2">
        <v>0</v>
      </c>
      <c r="AL116" s="2">
        <v>0</v>
      </c>
      <c r="AM116" s="2">
        <v>0</v>
      </c>
      <c r="AN116" s="2">
        <v>0</v>
      </c>
      <c r="AO116" s="2">
        <v>0</v>
      </c>
      <c r="AP116" s="2">
        <v>0</v>
      </c>
      <c r="AQ116" s="2">
        <v>0</v>
      </c>
      <c r="AR116" s="2">
        <v>27750</v>
      </c>
      <c r="AS116" s="2">
        <v>0</v>
      </c>
      <c r="AT116" s="2">
        <v>53150</v>
      </c>
      <c r="AU116" s="2">
        <v>20000</v>
      </c>
      <c r="AV116" s="2">
        <v>0</v>
      </c>
      <c r="AW116" s="2">
        <v>0</v>
      </c>
      <c r="AX116" s="2">
        <v>0</v>
      </c>
      <c r="AZ116" s="29">
        <f t="shared" si="1"/>
        <v>0</v>
      </c>
      <c r="BA116" s="131">
        <v>20000</v>
      </c>
      <c r="BD116" s="2" t="s">
        <v>501</v>
      </c>
      <c r="BF116" s="130"/>
    </row>
    <row r="117" spans="1:58" ht="15.75">
      <c r="A117" s="20" t="s">
        <v>527</v>
      </c>
      <c r="B117" s="20" t="s">
        <v>250</v>
      </c>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188421</v>
      </c>
      <c r="V117" s="2">
        <v>0</v>
      </c>
      <c r="W117" s="2">
        <v>0</v>
      </c>
      <c r="X117" s="2">
        <v>0</v>
      </c>
      <c r="Y117" s="2">
        <v>0</v>
      </c>
      <c r="Z117" s="2">
        <v>10000</v>
      </c>
      <c r="AA117" s="2">
        <v>0</v>
      </c>
      <c r="AB117" s="2">
        <v>0</v>
      </c>
      <c r="AC117" s="2">
        <v>0</v>
      </c>
      <c r="AD117" s="2">
        <v>15300</v>
      </c>
      <c r="AE117" s="2">
        <v>0</v>
      </c>
      <c r="AF117" s="2">
        <v>213721</v>
      </c>
      <c r="AG117" s="2">
        <v>33575</v>
      </c>
      <c r="AH117" s="2">
        <v>0</v>
      </c>
      <c r="AI117" s="2">
        <v>0</v>
      </c>
      <c r="AJ117" s="2">
        <v>0</v>
      </c>
      <c r="AK117" s="2">
        <v>0</v>
      </c>
      <c r="AL117" s="2">
        <v>0</v>
      </c>
      <c r="AM117" s="2">
        <v>0</v>
      </c>
      <c r="AN117" s="2">
        <v>0</v>
      </c>
      <c r="AO117" s="2">
        <v>0</v>
      </c>
      <c r="AP117" s="2">
        <v>0</v>
      </c>
      <c r="AQ117" s="2">
        <v>0</v>
      </c>
      <c r="AR117" s="2">
        <v>0</v>
      </c>
      <c r="AS117" s="2">
        <v>0</v>
      </c>
      <c r="AT117" s="2">
        <v>33575</v>
      </c>
      <c r="AU117" s="2">
        <v>18089</v>
      </c>
      <c r="AV117" s="2">
        <v>0</v>
      </c>
      <c r="AW117" s="2">
        <v>0</v>
      </c>
      <c r="AX117" s="2">
        <v>0</v>
      </c>
      <c r="AZ117" s="29">
        <f t="shared" si="1"/>
        <v>0</v>
      </c>
      <c r="BA117" s="131">
        <v>20000</v>
      </c>
      <c r="BD117" s="2" t="s">
        <v>527</v>
      </c>
      <c r="BF117" s="130"/>
    </row>
    <row r="118" spans="1:58" ht="15.75">
      <c r="A118" s="20" t="s">
        <v>538</v>
      </c>
      <c r="B118" s="20" t="s">
        <v>260</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205023</v>
      </c>
      <c r="V118" s="2">
        <v>45362</v>
      </c>
      <c r="W118" s="2">
        <v>0</v>
      </c>
      <c r="X118" s="2">
        <v>6</v>
      </c>
      <c r="Y118" s="2">
        <v>0</v>
      </c>
      <c r="Z118" s="2">
        <v>0</v>
      </c>
      <c r="AA118" s="2">
        <v>0</v>
      </c>
      <c r="AB118" s="2">
        <v>0</v>
      </c>
      <c r="AC118" s="2">
        <v>0</v>
      </c>
      <c r="AD118" s="2">
        <v>0</v>
      </c>
      <c r="AE118" s="2">
        <v>0</v>
      </c>
      <c r="AF118" s="2">
        <v>250391</v>
      </c>
      <c r="AG118" s="2">
        <v>67222</v>
      </c>
      <c r="AH118" s="2">
        <v>30000</v>
      </c>
      <c r="AI118" s="2">
        <v>0</v>
      </c>
      <c r="AJ118" s="2">
        <v>0</v>
      </c>
      <c r="AK118" s="2">
        <v>0</v>
      </c>
      <c r="AL118" s="2">
        <v>0</v>
      </c>
      <c r="AM118" s="2">
        <v>0</v>
      </c>
      <c r="AN118" s="2">
        <v>0</v>
      </c>
      <c r="AO118" s="2">
        <v>0</v>
      </c>
      <c r="AP118" s="2">
        <v>0</v>
      </c>
      <c r="AQ118" s="2">
        <v>0</v>
      </c>
      <c r="AR118" s="2">
        <v>0</v>
      </c>
      <c r="AS118" s="2">
        <v>0</v>
      </c>
      <c r="AT118" s="2">
        <v>97222</v>
      </c>
      <c r="AU118" s="2">
        <v>10033</v>
      </c>
      <c r="AV118" s="2">
        <v>0</v>
      </c>
      <c r="AW118" s="2">
        <v>0</v>
      </c>
      <c r="AX118" s="2">
        <v>0</v>
      </c>
      <c r="AZ118" s="29">
        <f t="shared" si="1"/>
        <v>0</v>
      </c>
      <c r="BA118" s="131">
        <v>20000</v>
      </c>
      <c r="BD118" s="2" t="s">
        <v>538</v>
      </c>
      <c r="BF118" s="130"/>
    </row>
    <row r="119" spans="1:58" ht="15.75">
      <c r="A119" s="20" t="s">
        <v>448</v>
      </c>
      <c r="B119" s="20" t="s">
        <v>171</v>
      </c>
      <c r="D119" s="2">
        <v>0</v>
      </c>
      <c r="E119" s="2">
        <v>0</v>
      </c>
      <c r="F119" s="2">
        <v>801134</v>
      </c>
      <c r="G119" s="2">
        <v>0</v>
      </c>
      <c r="H119" s="2">
        <v>0</v>
      </c>
      <c r="I119" s="2">
        <v>801134</v>
      </c>
      <c r="J119" s="2">
        <v>0</v>
      </c>
      <c r="K119" s="2">
        <v>0</v>
      </c>
      <c r="L119" s="2">
        <v>0</v>
      </c>
      <c r="M119" s="2">
        <v>0</v>
      </c>
      <c r="N119" s="2">
        <v>0</v>
      </c>
      <c r="O119" s="2">
        <v>0</v>
      </c>
      <c r="P119" s="2">
        <v>113000</v>
      </c>
      <c r="Q119" s="2">
        <v>0</v>
      </c>
      <c r="R119" s="2">
        <v>0</v>
      </c>
      <c r="S119" s="2">
        <v>0</v>
      </c>
      <c r="T119" s="2">
        <v>113000</v>
      </c>
      <c r="U119" s="2">
        <v>2607500</v>
      </c>
      <c r="V119" s="2">
        <v>0</v>
      </c>
      <c r="W119" s="2">
        <v>0</v>
      </c>
      <c r="X119" s="2">
        <v>50000</v>
      </c>
      <c r="Y119" s="2">
        <v>0</v>
      </c>
      <c r="Z119" s="2">
        <v>0</v>
      </c>
      <c r="AA119" s="2">
        <v>0</v>
      </c>
      <c r="AB119" s="2">
        <v>107750</v>
      </c>
      <c r="AC119" s="2">
        <v>0</v>
      </c>
      <c r="AD119" s="2">
        <v>120000</v>
      </c>
      <c r="AE119" s="2">
        <v>0</v>
      </c>
      <c r="AF119" s="2">
        <v>2885250</v>
      </c>
      <c r="AG119" s="2">
        <v>1375375</v>
      </c>
      <c r="AH119" s="2">
        <v>172371</v>
      </c>
      <c r="AI119" s="2">
        <v>0</v>
      </c>
      <c r="AJ119" s="2">
        <v>0</v>
      </c>
      <c r="AK119" s="2">
        <v>0</v>
      </c>
      <c r="AL119" s="2">
        <v>21546</v>
      </c>
      <c r="AM119" s="2">
        <v>0</v>
      </c>
      <c r="AN119" s="2">
        <v>0</v>
      </c>
      <c r="AO119" s="2">
        <v>50158</v>
      </c>
      <c r="AP119" s="2">
        <v>0</v>
      </c>
      <c r="AQ119" s="2">
        <v>304188</v>
      </c>
      <c r="AR119" s="2">
        <v>0</v>
      </c>
      <c r="AS119" s="2">
        <v>0</v>
      </c>
      <c r="AT119" s="2">
        <v>1923638</v>
      </c>
      <c r="AU119" s="2">
        <v>1012</v>
      </c>
      <c r="AV119" s="2">
        <v>106316</v>
      </c>
      <c r="AW119" s="2">
        <v>106317</v>
      </c>
      <c r="AX119" s="2">
        <v>0</v>
      </c>
      <c r="AZ119" s="29">
        <f t="shared" si="1"/>
        <v>2126.32</v>
      </c>
      <c r="BA119" s="131">
        <v>120000</v>
      </c>
      <c r="BD119" s="2" t="s">
        <v>448</v>
      </c>
      <c r="BF119" s="130"/>
    </row>
    <row r="120" spans="1:58" ht="15.75">
      <c r="A120" s="20" t="s">
        <v>536</v>
      </c>
      <c r="B120" s="20" t="s">
        <v>569</v>
      </c>
      <c r="D120" s="2">
        <v>0</v>
      </c>
      <c r="E120" s="2">
        <v>780100</v>
      </c>
      <c r="F120" s="2">
        <v>0</v>
      </c>
      <c r="G120" s="2">
        <v>3620000</v>
      </c>
      <c r="H120" s="2">
        <v>0</v>
      </c>
      <c r="I120" s="2">
        <v>4400100</v>
      </c>
      <c r="J120" s="2">
        <v>0</v>
      </c>
      <c r="K120" s="2">
        <v>0</v>
      </c>
      <c r="L120" s="2">
        <v>0</v>
      </c>
      <c r="M120" s="2">
        <v>0</v>
      </c>
      <c r="N120" s="2">
        <v>0</v>
      </c>
      <c r="O120" s="2">
        <v>0</v>
      </c>
      <c r="P120" s="2">
        <v>0</v>
      </c>
      <c r="Q120" s="2">
        <v>0</v>
      </c>
      <c r="R120" s="2">
        <v>0</v>
      </c>
      <c r="S120" s="2">
        <v>0</v>
      </c>
      <c r="T120" s="2">
        <v>0</v>
      </c>
      <c r="U120" s="2">
        <v>2725466</v>
      </c>
      <c r="V120" s="2">
        <v>0</v>
      </c>
      <c r="W120" s="2">
        <v>0</v>
      </c>
      <c r="X120" s="2">
        <v>0</v>
      </c>
      <c r="Y120" s="2">
        <v>0</v>
      </c>
      <c r="Z120" s="2">
        <v>0</v>
      </c>
      <c r="AA120" s="2">
        <v>0</v>
      </c>
      <c r="AB120" s="2">
        <v>0</v>
      </c>
      <c r="AC120" s="2">
        <v>0</v>
      </c>
      <c r="AD120" s="2">
        <v>2022126</v>
      </c>
      <c r="AE120" s="2">
        <v>0</v>
      </c>
      <c r="AF120" s="2">
        <v>4747592</v>
      </c>
      <c r="AG120" s="2">
        <v>50750</v>
      </c>
      <c r="AH120" s="2">
        <v>0</v>
      </c>
      <c r="AI120" s="2">
        <v>0</v>
      </c>
      <c r="AJ120" s="2">
        <v>0</v>
      </c>
      <c r="AK120" s="2">
        <v>755139</v>
      </c>
      <c r="AL120" s="2">
        <v>0</v>
      </c>
      <c r="AM120" s="2">
        <v>0</v>
      </c>
      <c r="AN120" s="2">
        <v>425000</v>
      </c>
      <c r="AO120" s="2">
        <v>789081</v>
      </c>
      <c r="AP120" s="2">
        <v>0</v>
      </c>
      <c r="AQ120" s="2">
        <v>0</v>
      </c>
      <c r="AR120" s="2">
        <v>0</v>
      </c>
      <c r="AS120" s="2">
        <v>0</v>
      </c>
      <c r="AT120" s="2">
        <v>2019970</v>
      </c>
      <c r="AU120" s="2">
        <v>798549</v>
      </c>
      <c r="AV120" s="2">
        <v>0</v>
      </c>
      <c r="AW120" s="2">
        <v>0</v>
      </c>
      <c r="AX120" s="2">
        <v>0</v>
      </c>
      <c r="AZ120" s="29">
        <f t="shared" si="1"/>
        <v>0</v>
      </c>
      <c r="BA120" s="131">
        <v>290000</v>
      </c>
      <c r="BD120" s="2" t="s">
        <v>536</v>
      </c>
      <c r="BF120" s="130"/>
    </row>
    <row r="121" spans="1:58" ht="15.75">
      <c r="A121" s="20" t="s">
        <v>477</v>
      </c>
      <c r="B121" s="20" t="s">
        <v>200</v>
      </c>
      <c r="D121" s="2">
        <v>0</v>
      </c>
      <c r="E121" s="2">
        <v>0</v>
      </c>
      <c r="F121" s="2">
        <v>0</v>
      </c>
      <c r="G121" s="2">
        <v>0</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c r="AB121" s="2">
        <v>314600</v>
      </c>
      <c r="AC121" s="2">
        <v>0</v>
      </c>
      <c r="AD121" s="2">
        <v>0</v>
      </c>
      <c r="AE121" s="2">
        <v>0</v>
      </c>
      <c r="AF121" s="2">
        <v>314600</v>
      </c>
      <c r="AG121" s="2">
        <v>12402</v>
      </c>
      <c r="AH121" s="2">
        <v>0</v>
      </c>
      <c r="AI121" s="2">
        <v>0</v>
      </c>
      <c r="AJ121" s="2">
        <v>0</v>
      </c>
      <c r="AK121" s="2">
        <v>0</v>
      </c>
      <c r="AL121" s="2">
        <v>0</v>
      </c>
      <c r="AM121" s="2">
        <v>0</v>
      </c>
      <c r="AN121" s="2">
        <v>0</v>
      </c>
      <c r="AO121" s="2">
        <v>0</v>
      </c>
      <c r="AP121" s="2">
        <v>0</v>
      </c>
      <c r="AQ121" s="2">
        <v>0</v>
      </c>
      <c r="AR121" s="2">
        <v>0</v>
      </c>
      <c r="AS121" s="2">
        <v>0</v>
      </c>
      <c r="AT121" s="2">
        <v>12402</v>
      </c>
      <c r="AU121" s="2">
        <v>0</v>
      </c>
      <c r="AV121" s="2">
        <v>15702</v>
      </c>
      <c r="AW121" s="2">
        <v>0</v>
      </c>
      <c r="AX121" s="2">
        <v>0</v>
      </c>
      <c r="AZ121" s="29">
        <f t="shared" si="1"/>
        <v>314.04</v>
      </c>
      <c r="BA121" s="131">
        <v>40000</v>
      </c>
      <c r="BD121" s="2" t="s">
        <v>477</v>
      </c>
      <c r="BF121" s="130"/>
    </row>
    <row r="122" spans="1:58" ht="15.75">
      <c r="A122" s="20" t="s">
        <v>439</v>
      </c>
      <c r="B122" s="20" t="s">
        <v>162</v>
      </c>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29500</v>
      </c>
      <c r="V122" s="2">
        <v>0</v>
      </c>
      <c r="W122" s="2">
        <v>0</v>
      </c>
      <c r="X122" s="2">
        <v>0</v>
      </c>
      <c r="Y122" s="2">
        <v>0</v>
      </c>
      <c r="Z122" s="2">
        <v>0</v>
      </c>
      <c r="AA122" s="2">
        <v>0</v>
      </c>
      <c r="AB122" s="2">
        <v>0</v>
      </c>
      <c r="AC122" s="2">
        <v>0</v>
      </c>
      <c r="AD122" s="2">
        <v>0</v>
      </c>
      <c r="AE122" s="2">
        <v>0</v>
      </c>
      <c r="AF122" s="2">
        <v>29500</v>
      </c>
      <c r="AG122" s="2">
        <v>9205</v>
      </c>
      <c r="AH122" s="2">
        <v>0</v>
      </c>
      <c r="AI122" s="2">
        <v>0</v>
      </c>
      <c r="AJ122" s="2">
        <v>0</v>
      </c>
      <c r="AK122" s="2">
        <v>0</v>
      </c>
      <c r="AL122" s="2">
        <v>0</v>
      </c>
      <c r="AM122" s="2">
        <v>0</v>
      </c>
      <c r="AN122" s="2">
        <v>0</v>
      </c>
      <c r="AO122" s="2">
        <v>0</v>
      </c>
      <c r="AP122" s="2">
        <v>0</v>
      </c>
      <c r="AQ122" s="2">
        <v>0</v>
      </c>
      <c r="AR122" s="2">
        <v>0</v>
      </c>
      <c r="AS122" s="2">
        <v>0</v>
      </c>
      <c r="AT122" s="2">
        <v>9205</v>
      </c>
      <c r="AU122" s="2">
        <v>0</v>
      </c>
      <c r="AV122" s="2">
        <v>13000</v>
      </c>
      <c r="AW122" s="2">
        <v>0</v>
      </c>
      <c r="AX122" s="2">
        <v>0</v>
      </c>
      <c r="AZ122" s="29">
        <f t="shared" si="1"/>
        <v>260</v>
      </c>
      <c r="BA122" s="131">
        <v>20000</v>
      </c>
      <c r="BD122" s="2" t="s">
        <v>700</v>
      </c>
      <c r="BF122" s="130"/>
    </row>
    <row r="123" spans="1:58" ht="15.75">
      <c r="A123" s="20" t="s">
        <v>449</v>
      </c>
      <c r="B123" s="20" t="s">
        <v>172</v>
      </c>
      <c r="D123" s="2">
        <v>0</v>
      </c>
      <c r="E123" s="2">
        <v>0</v>
      </c>
      <c r="F123" s="2">
        <v>0</v>
      </c>
      <c r="G123" s="2">
        <v>0</v>
      </c>
      <c r="H123" s="2">
        <v>0</v>
      </c>
      <c r="I123" s="2">
        <v>0</v>
      </c>
      <c r="J123" s="2">
        <v>0</v>
      </c>
      <c r="K123" s="2">
        <v>0</v>
      </c>
      <c r="L123" s="2">
        <v>0</v>
      </c>
      <c r="M123" s="2">
        <v>0</v>
      </c>
      <c r="N123" s="2">
        <v>0</v>
      </c>
      <c r="O123" s="2">
        <v>0</v>
      </c>
      <c r="P123" s="2">
        <v>0</v>
      </c>
      <c r="Q123" s="2">
        <v>0</v>
      </c>
      <c r="R123" s="2">
        <v>0</v>
      </c>
      <c r="S123" s="2">
        <v>0</v>
      </c>
      <c r="T123" s="2">
        <v>0</v>
      </c>
      <c r="U123" s="2">
        <v>700</v>
      </c>
      <c r="V123" s="2">
        <v>0</v>
      </c>
      <c r="W123" s="2">
        <v>0</v>
      </c>
      <c r="X123" s="2">
        <v>0</v>
      </c>
      <c r="Y123" s="2">
        <v>0</v>
      </c>
      <c r="Z123" s="2">
        <v>0</v>
      </c>
      <c r="AA123" s="2">
        <v>0</v>
      </c>
      <c r="AB123" s="2">
        <v>5000</v>
      </c>
      <c r="AC123" s="2">
        <v>0</v>
      </c>
      <c r="AD123" s="2">
        <v>0</v>
      </c>
      <c r="AE123" s="2">
        <v>0</v>
      </c>
      <c r="AF123" s="2">
        <v>5700</v>
      </c>
      <c r="AG123" s="2">
        <v>11965</v>
      </c>
      <c r="AH123" s="2">
        <v>0</v>
      </c>
      <c r="AI123" s="2">
        <v>0</v>
      </c>
      <c r="AJ123" s="2">
        <v>0</v>
      </c>
      <c r="AK123" s="2">
        <v>0</v>
      </c>
      <c r="AL123" s="2">
        <v>0</v>
      </c>
      <c r="AM123" s="2">
        <v>0</v>
      </c>
      <c r="AN123" s="2">
        <v>0</v>
      </c>
      <c r="AO123" s="2">
        <v>0</v>
      </c>
      <c r="AP123" s="2">
        <v>0</v>
      </c>
      <c r="AQ123" s="2">
        <v>0</v>
      </c>
      <c r="AR123" s="2">
        <v>0</v>
      </c>
      <c r="AS123" s="2">
        <v>0</v>
      </c>
      <c r="AT123" s="2">
        <v>11965</v>
      </c>
      <c r="AU123" s="2">
        <v>0</v>
      </c>
      <c r="AV123" s="2">
        <v>0</v>
      </c>
      <c r="AW123" s="2">
        <v>0</v>
      </c>
      <c r="AX123" s="2">
        <v>0</v>
      </c>
      <c r="AZ123" s="29">
        <f t="shared" si="1"/>
        <v>0</v>
      </c>
      <c r="BA123" s="131">
        <v>20000</v>
      </c>
      <c r="BD123" s="2" t="s">
        <v>701</v>
      </c>
      <c r="BF123" s="130"/>
    </row>
    <row r="124" spans="1:58" ht="15.75">
      <c r="A124" s="20" t="s">
        <v>476</v>
      </c>
      <c r="B124" s="20" t="s">
        <v>199</v>
      </c>
      <c r="D124" s="2">
        <v>0</v>
      </c>
      <c r="E124" s="2">
        <v>0</v>
      </c>
      <c r="F124" s="2">
        <v>0</v>
      </c>
      <c r="G124" s="2">
        <v>0</v>
      </c>
      <c r="H124" s="2">
        <v>0</v>
      </c>
      <c r="I124" s="2">
        <v>0</v>
      </c>
      <c r="J124" s="2">
        <v>0</v>
      </c>
      <c r="K124" s="2">
        <v>0</v>
      </c>
      <c r="L124" s="2">
        <v>0</v>
      </c>
      <c r="M124" s="2">
        <v>0</v>
      </c>
      <c r="N124" s="2">
        <v>0</v>
      </c>
      <c r="O124" s="2">
        <v>0</v>
      </c>
      <c r="P124" s="2">
        <v>0</v>
      </c>
      <c r="Q124" s="2">
        <v>0</v>
      </c>
      <c r="R124" s="2">
        <v>0</v>
      </c>
      <c r="S124" s="2">
        <v>0</v>
      </c>
      <c r="T124" s="2">
        <v>0</v>
      </c>
      <c r="U124" s="2">
        <v>90725</v>
      </c>
      <c r="V124" s="2">
        <v>0</v>
      </c>
      <c r="W124" s="2">
        <v>0</v>
      </c>
      <c r="X124" s="2">
        <v>0</v>
      </c>
      <c r="Y124" s="2">
        <v>0</v>
      </c>
      <c r="Z124" s="2">
        <v>0</v>
      </c>
      <c r="AA124" s="2">
        <v>0</v>
      </c>
      <c r="AB124" s="2">
        <v>5000</v>
      </c>
      <c r="AC124" s="2">
        <v>0</v>
      </c>
      <c r="AD124" s="2">
        <v>0</v>
      </c>
      <c r="AE124" s="2">
        <v>0</v>
      </c>
      <c r="AF124" s="2">
        <v>95725</v>
      </c>
      <c r="AG124" s="2">
        <v>6108</v>
      </c>
      <c r="AH124" s="2">
        <v>2036</v>
      </c>
      <c r="AI124" s="2">
        <v>0</v>
      </c>
      <c r="AJ124" s="2">
        <v>14477</v>
      </c>
      <c r="AK124" s="2">
        <v>0</v>
      </c>
      <c r="AL124" s="2">
        <v>0</v>
      </c>
      <c r="AM124" s="2">
        <v>0</v>
      </c>
      <c r="AN124" s="2">
        <v>0</v>
      </c>
      <c r="AO124" s="2">
        <v>0</v>
      </c>
      <c r="AP124" s="2">
        <v>0</v>
      </c>
      <c r="AQ124" s="2">
        <v>0</v>
      </c>
      <c r="AR124" s="2">
        <v>0</v>
      </c>
      <c r="AS124" s="2">
        <v>0</v>
      </c>
      <c r="AT124" s="2">
        <v>22621</v>
      </c>
      <c r="AU124" s="2">
        <v>0</v>
      </c>
      <c r="AV124" s="2">
        <v>0</v>
      </c>
      <c r="AW124" s="2">
        <v>0</v>
      </c>
      <c r="AX124" s="2">
        <v>0</v>
      </c>
      <c r="AZ124" s="29">
        <f t="shared" si="1"/>
        <v>0</v>
      </c>
      <c r="BA124" s="131">
        <v>20000</v>
      </c>
      <c r="BD124" s="2" t="s">
        <v>702</v>
      </c>
      <c r="BF124" s="130"/>
    </row>
    <row r="125" spans="1:58" ht="15.75">
      <c r="A125" s="20" t="s">
        <v>451</v>
      </c>
      <c r="B125" s="20" t="s">
        <v>570</v>
      </c>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73253</v>
      </c>
      <c r="V125" s="2">
        <v>0</v>
      </c>
      <c r="W125" s="2">
        <v>0</v>
      </c>
      <c r="X125" s="2">
        <v>0</v>
      </c>
      <c r="Y125" s="2">
        <v>0</v>
      </c>
      <c r="Z125" s="2">
        <v>0</v>
      </c>
      <c r="AA125" s="2">
        <v>0</v>
      </c>
      <c r="AB125" s="2">
        <v>10000</v>
      </c>
      <c r="AC125" s="2">
        <v>0</v>
      </c>
      <c r="AD125" s="2">
        <v>0</v>
      </c>
      <c r="AE125" s="2">
        <v>0</v>
      </c>
      <c r="AF125" s="2">
        <v>83253</v>
      </c>
      <c r="AG125" s="2">
        <v>14708</v>
      </c>
      <c r="AH125" s="2">
        <v>0</v>
      </c>
      <c r="AI125" s="2">
        <v>0</v>
      </c>
      <c r="AJ125" s="2">
        <v>0</v>
      </c>
      <c r="AK125" s="2">
        <v>0</v>
      </c>
      <c r="AL125" s="2">
        <v>0</v>
      </c>
      <c r="AM125" s="2">
        <v>0</v>
      </c>
      <c r="AN125" s="2">
        <v>0</v>
      </c>
      <c r="AO125" s="2">
        <v>0</v>
      </c>
      <c r="AP125" s="2">
        <v>0</v>
      </c>
      <c r="AQ125" s="2">
        <v>0</v>
      </c>
      <c r="AR125" s="2">
        <v>0</v>
      </c>
      <c r="AS125" s="2">
        <v>39289</v>
      </c>
      <c r="AT125" s="2">
        <v>53997</v>
      </c>
      <c r="AU125" s="2">
        <v>11000</v>
      </c>
      <c r="AV125" s="2">
        <v>0</v>
      </c>
      <c r="AW125" s="2">
        <v>0</v>
      </c>
      <c r="AX125" s="2">
        <v>0</v>
      </c>
      <c r="AZ125" s="29">
        <f t="shared" si="1"/>
        <v>0</v>
      </c>
      <c r="BA125" s="131">
        <v>30000</v>
      </c>
      <c r="BD125" s="2" t="s">
        <v>703</v>
      </c>
      <c r="BF125" s="130"/>
    </row>
    <row r="126" spans="1:58" ht="15.75">
      <c r="A126" s="20" t="s">
        <v>532</v>
      </c>
      <c r="B126" s="20" t="s">
        <v>571</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152993</v>
      </c>
      <c r="V126" s="2">
        <v>10000</v>
      </c>
      <c r="W126" s="2">
        <v>0</v>
      </c>
      <c r="X126" s="2">
        <v>0</v>
      </c>
      <c r="Y126" s="2">
        <v>0</v>
      </c>
      <c r="Z126" s="2">
        <v>0</v>
      </c>
      <c r="AA126" s="2">
        <v>0</v>
      </c>
      <c r="AB126" s="2">
        <v>9068</v>
      </c>
      <c r="AC126" s="2">
        <v>0</v>
      </c>
      <c r="AD126" s="2">
        <v>0</v>
      </c>
      <c r="AE126" s="2">
        <v>0</v>
      </c>
      <c r="AF126" s="2">
        <v>172061</v>
      </c>
      <c r="AG126" s="2">
        <v>16900</v>
      </c>
      <c r="AH126" s="2">
        <v>0</v>
      </c>
      <c r="AI126" s="2">
        <v>0</v>
      </c>
      <c r="AJ126" s="2">
        <v>0</v>
      </c>
      <c r="AK126" s="2">
        <v>0</v>
      </c>
      <c r="AL126" s="2">
        <v>0</v>
      </c>
      <c r="AM126" s="2">
        <v>0</v>
      </c>
      <c r="AN126" s="2">
        <v>0</v>
      </c>
      <c r="AO126" s="2">
        <v>0</v>
      </c>
      <c r="AP126" s="2">
        <v>0</v>
      </c>
      <c r="AQ126" s="2">
        <v>0</v>
      </c>
      <c r="AR126" s="2">
        <v>0</v>
      </c>
      <c r="AS126" s="2">
        <v>0</v>
      </c>
      <c r="AT126" s="2">
        <v>16900</v>
      </c>
      <c r="AU126" s="2">
        <v>0</v>
      </c>
      <c r="AV126" s="2">
        <v>0</v>
      </c>
      <c r="AW126" s="2">
        <v>0</v>
      </c>
      <c r="AX126" s="2">
        <v>0</v>
      </c>
      <c r="AZ126" s="29">
        <f>AV126*0.02</f>
        <v>0</v>
      </c>
      <c r="BA126" s="131">
        <v>30000</v>
      </c>
      <c r="BD126" s="2" t="s">
        <v>801</v>
      </c>
      <c r="BF126" s="130"/>
    </row>
    <row r="127" spans="1:58" ht="15.75">
      <c r="A127" s="20" t="s">
        <v>542</v>
      </c>
      <c r="B127" s="20" t="s">
        <v>799</v>
      </c>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190642</v>
      </c>
      <c r="V127" s="2">
        <v>0</v>
      </c>
      <c r="W127" s="2">
        <v>0</v>
      </c>
      <c r="X127" s="2">
        <v>0</v>
      </c>
      <c r="Y127" s="2">
        <v>0</v>
      </c>
      <c r="Z127" s="2">
        <v>0</v>
      </c>
      <c r="AA127" s="2">
        <v>0</v>
      </c>
      <c r="AB127" s="2">
        <v>25173</v>
      </c>
      <c r="AC127" s="2">
        <v>0</v>
      </c>
      <c r="AD127" s="2">
        <v>0</v>
      </c>
      <c r="AE127" s="2">
        <v>0</v>
      </c>
      <c r="AF127" s="2">
        <v>215815</v>
      </c>
      <c r="AG127" s="2">
        <v>189714</v>
      </c>
      <c r="AH127" s="2">
        <v>0</v>
      </c>
      <c r="AI127" s="2">
        <v>0</v>
      </c>
      <c r="AJ127" s="2">
        <v>0</v>
      </c>
      <c r="AK127" s="2">
        <v>48658</v>
      </c>
      <c r="AL127" s="2">
        <v>40893</v>
      </c>
      <c r="AM127" s="2">
        <v>0</v>
      </c>
      <c r="AN127" s="2">
        <v>0</v>
      </c>
      <c r="AO127" s="2">
        <v>0</v>
      </c>
      <c r="AP127" s="2">
        <v>0</v>
      </c>
      <c r="AQ127" s="2">
        <v>0</v>
      </c>
      <c r="AR127" s="2">
        <v>0</v>
      </c>
      <c r="AS127" s="2">
        <v>0</v>
      </c>
      <c r="AT127" s="2">
        <v>279265</v>
      </c>
      <c r="AU127" s="2">
        <v>0</v>
      </c>
      <c r="AV127" s="2">
        <v>0</v>
      </c>
      <c r="AW127" s="2">
        <v>0</v>
      </c>
      <c r="AX127" s="2">
        <v>0</v>
      </c>
      <c r="AZ127" s="29">
        <f>AV127*0.02</f>
        <v>0</v>
      </c>
      <c r="BA127" s="131">
        <v>20000</v>
      </c>
      <c r="BD127" s="20" t="s">
        <v>542</v>
      </c>
      <c r="BF127" s="130"/>
    </row>
    <row r="128" spans="1:58" ht="15.75">
      <c r="A128" s="20" t="s">
        <v>533</v>
      </c>
      <c r="B128" s="20" t="s">
        <v>255</v>
      </c>
      <c r="D128" s="2">
        <v>0</v>
      </c>
      <c r="E128" s="2">
        <v>0</v>
      </c>
      <c r="F128" s="2">
        <v>0</v>
      </c>
      <c r="G128" s="2">
        <v>0</v>
      </c>
      <c r="H128" s="2">
        <v>0</v>
      </c>
      <c r="I128" s="2">
        <v>0</v>
      </c>
      <c r="J128" s="2">
        <v>0</v>
      </c>
      <c r="K128" s="2">
        <v>0</v>
      </c>
      <c r="L128" s="2">
        <v>0</v>
      </c>
      <c r="M128" s="2">
        <v>0</v>
      </c>
      <c r="N128" s="2">
        <v>0</v>
      </c>
      <c r="O128" s="2">
        <v>0</v>
      </c>
      <c r="P128" s="2">
        <v>0</v>
      </c>
      <c r="Q128" s="2">
        <v>0</v>
      </c>
      <c r="R128" s="2">
        <v>0</v>
      </c>
      <c r="S128" s="2">
        <v>0</v>
      </c>
      <c r="T128" s="2">
        <v>0</v>
      </c>
      <c r="U128" s="2">
        <v>51000</v>
      </c>
      <c r="V128" s="2">
        <v>25000</v>
      </c>
      <c r="W128" s="2">
        <v>0</v>
      </c>
      <c r="X128" s="2">
        <v>0</v>
      </c>
      <c r="Y128" s="2">
        <v>0</v>
      </c>
      <c r="Z128" s="2">
        <v>0</v>
      </c>
      <c r="AA128" s="2">
        <v>0</v>
      </c>
      <c r="AB128" s="2">
        <v>0</v>
      </c>
      <c r="AC128" s="2">
        <v>0</v>
      </c>
      <c r="AD128" s="2">
        <v>0</v>
      </c>
      <c r="AE128" s="2">
        <v>0</v>
      </c>
      <c r="AF128" s="2">
        <v>76000</v>
      </c>
      <c r="AG128" s="2">
        <v>75209</v>
      </c>
      <c r="AH128" s="2">
        <v>5000</v>
      </c>
      <c r="AI128" s="2">
        <v>0</v>
      </c>
      <c r="AJ128" s="2">
        <v>0</v>
      </c>
      <c r="AK128" s="2">
        <v>0</v>
      </c>
      <c r="AL128" s="2">
        <v>0</v>
      </c>
      <c r="AM128" s="2">
        <v>0</v>
      </c>
      <c r="AN128" s="2">
        <v>0</v>
      </c>
      <c r="AO128" s="2">
        <v>0</v>
      </c>
      <c r="AP128" s="2">
        <v>0</v>
      </c>
      <c r="AQ128" s="2">
        <v>0</v>
      </c>
      <c r="AR128" s="2">
        <v>133000</v>
      </c>
      <c r="AS128" s="2">
        <v>0</v>
      </c>
      <c r="AT128" s="2">
        <v>213209</v>
      </c>
      <c r="AU128" s="2">
        <v>0</v>
      </c>
      <c r="AV128" s="2">
        <v>0</v>
      </c>
      <c r="AW128" s="2">
        <v>0</v>
      </c>
      <c r="AX128" s="2">
        <v>0</v>
      </c>
      <c r="AZ128" s="29">
        <f t="shared" si="1"/>
        <v>0</v>
      </c>
      <c r="BA128" s="131">
        <v>30000</v>
      </c>
      <c r="BD128" s="2" t="s">
        <v>704</v>
      </c>
      <c r="BF128" s="130"/>
    </row>
    <row r="129" spans="1:58" ht="15.75">
      <c r="A129" s="20" t="s">
        <v>440</v>
      </c>
      <c r="B129" s="20" t="s">
        <v>572</v>
      </c>
      <c r="D129" s="2">
        <v>0</v>
      </c>
      <c r="E129" s="2">
        <v>0</v>
      </c>
      <c r="F129" s="2">
        <v>0</v>
      </c>
      <c r="G129" s="2">
        <v>0</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0</v>
      </c>
      <c r="AP129" s="2">
        <v>0</v>
      </c>
      <c r="AQ129" s="2">
        <v>0</v>
      </c>
      <c r="AR129" s="2">
        <v>0</v>
      </c>
      <c r="AS129" s="2">
        <v>0</v>
      </c>
      <c r="AT129" s="2">
        <v>0</v>
      </c>
      <c r="AU129" s="2">
        <v>0</v>
      </c>
      <c r="AV129" s="2">
        <v>0</v>
      </c>
      <c r="AW129" s="2">
        <v>0</v>
      </c>
      <c r="AX129" s="2">
        <v>0</v>
      </c>
      <c r="AZ129" s="29">
        <f t="shared" si="1"/>
        <v>0</v>
      </c>
      <c r="BA129" s="131">
        <v>20000</v>
      </c>
      <c r="BD129" s="2" t="s">
        <v>439</v>
      </c>
      <c r="BF129" s="130"/>
    </row>
    <row r="130" spans="1:58" ht="15.75">
      <c r="A130" s="20" t="s">
        <v>465</v>
      </c>
      <c r="B130" s="20" t="s">
        <v>573</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5726.54</v>
      </c>
      <c r="AH130" s="2">
        <v>2000</v>
      </c>
      <c r="AI130" s="2">
        <v>0</v>
      </c>
      <c r="AJ130" s="2">
        <v>0</v>
      </c>
      <c r="AK130" s="2">
        <v>3990.89585</v>
      </c>
      <c r="AL130" s="2">
        <v>0</v>
      </c>
      <c r="AM130" s="2">
        <v>0</v>
      </c>
      <c r="AN130" s="2">
        <v>0</v>
      </c>
      <c r="AO130" s="2">
        <v>3269.91426</v>
      </c>
      <c r="AP130" s="2">
        <v>0</v>
      </c>
      <c r="AQ130" s="2">
        <v>0</v>
      </c>
      <c r="AR130" s="2">
        <v>43000</v>
      </c>
      <c r="AS130" s="2">
        <v>0</v>
      </c>
      <c r="AT130" s="2">
        <v>57987.35011</v>
      </c>
      <c r="AU130" s="2">
        <v>8721.021990000001</v>
      </c>
      <c r="AV130" s="2">
        <v>0</v>
      </c>
      <c r="AW130" s="2">
        <v>0</v>
      </c>
      <c r="AX130" s="2">
        <v>0</v>
      </c>
      <c r="AZ130" s="29">
        <f t="shared" si="1"/>
        <v>0</v>
      </c>
      <c r="BA130" s="131">
        <v>20000</v>
      </c>
      <c r="BD130" s="2" t="s">
        <v>449</v>
      </c>
      <c r="BF130" s="130"/>
    </row>
    <row r="131" spans="1:58" ht="15.75">
      <c r="A131" s="20" t="s">
        <v>472</v>
      </c>
      <c r="B131" s="20" t="s">
        <v>574</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12399</v>
      </c>
      <c r="V131" s="2">
        <v>0</v>
      </c>
      <c r="W131" s="2">
        <v>0</v>
      </c>
      <c r="X131" s="2">
        <v>0</v>
      </c>
      <c r="Y131" s="2">
        <v>0</v>
      </c>
      <c r="Z131" s="2">
        <v>0</v>
      </c>
      <c r="AA131" s="2">
        <v>0</v>
      </c>
      <c r="AB131" s="2">
        <v>1356</v>
      </c>
      <c r="AC131" s="2">
        <v>0</v>
      </c>
      <c r="AD131" s="2">
        <v>0</v>
      </c>
      <c r="AE131" s="2">
        <v>0</v>
      </c>
      <c r="AF131" s="2">
        <v>13755</v>
      </c>
      <c r="AG131" s="2">
        <v>7550</v>
      </c>
      <c r="AH131" s="2">
        <v>0</v>
      </c>
      <c r="AI131" s="2">
        <v>0</v>
      </c>
      <c r="AJ131" s="2">
        <v>0</v>
      </c>
      <c r="AK131" s="2">
        <v>0</v>
      </c>
      <c r="AL131" s="2">
        <v>0</v>
      </c>
      <c r="AM131" s="2">
        <v>0</v>
      </c>
      <c r="AN131" s="2">
        <v>0</v>
      </c>
      <c r="AO131" s="2">
        <v>0</v>
      </c>
      <c r="AP131" s="2">
        <v>0</v>
      </c>
      <c r="AQ131" s="2">
        <v>0</v>
      </c>
      <c r="AR131" s="2">
        <v>0</v>
      </c>
      <c r="AS131" s="2">
        <v>0</v>
      </c>
      <c r="AT131" s="2">
        <v>7550</v>
      </c>
      <c r="AU131" s="2">
        <v>0</v>
      </c>
      <c r="AV131" s="2">
        <v>0</v>
      </c>
      <c r="AW131" s="2">
        <v>0</v>
      </c>
      <c r="AX131" s="2">
        <v>0</v>
      </c>
      <c r="AZ131" s="29">
        <f t="shared" si="1"/>
        <v>0</v>
      </c>
      <c r="BA131" s="131">
        <v>30000</v>
      </c>
      <c r="BD131" s="2" t="s">
        <v>476</v>
      </c>
      <c r="BF131" s="130"/>
    </row>
    <row r="132" spans="1:58" ht="15.75">
      <c r="A132" s="20" t="s">
        <v>450</v>
      </c>
      <c r="B132" s="20" t="s">
        <v>575</v>
      </c>
      <c r="D132" s="2">
        <v>0</v>
      </c>
      <c r="E132" s="2">
        <v>0</v>
      </c>
      <c r="F132" s="2">
        <v>0</v>
      </c>
      <c r="G132" s="2">
        <v>0</v>
      </c>
      <c r="H132" s="2">
        <v>0</v>
      </c>
      <c r="I132" s="2">
        <v>0</v>
      </c>
      <c r="J132" s="2">
        <v>0</v>
      </c>
      <c r="K132" s="2">
        <v>0</v>
      </c>
      <c r="L132" s="2">
        <v>0</v>
      </c>
      <c r="M132" s="2">
        <v>0</v>
      </c>
      <c r="N132" s="2">
        <v>0</v>
      </c>
      <c r="O132" s="2">
        <v>0</v>
      </c>
      <c r="P132" s="2">
        <v>33000</v>
      </c>
      <c r="Q132" s="2">
        <v>0</v>
      </c>
      <c r="R132" s="2">
        <v>0</v>
      </c>
      <c r="S132" s="2">
        <v>0</v>
      </c>
      <c r="T132" s="2">
        <v>33000</v>
      </c>
      <c r="U132" s="2">
        <v>74301</v>
      </c>
      <c r="V132" s="2">
        <v>0</v>
      </c>
      <c r="W132" s="2">
        <v>0</v>
      </c>
      <c r="X132" s="2">
        <v>0</v>
      </c>
      <c r="Y132" s="2">
        <v>0</v>
      </c>
      <c r="Z132" s="2">
        <v>0</v>
      </c>
      <c r="AA132" s="2">
        <v>0</v>
      </c>
      <c r="AB132" s="2">
        <v>5000</v>
      </c>
      <c r="AC132" s="2">
        <v>0</v>
      </c>
      <c r="AD132" s="2">
        <v>0</v>
      </c>
      <c r="AE132" s="2">
        <v>0</v>
      </c>
      <c r="AF132" s="2">
        <v>79301</v>
      </c>
      <c r="AG132" s="2">
        <v>5000</v>
      </c>
      <c r="AH132" s="2">
        <v>2000</v>
      </c>
      <c r="AI132" s="2">
        <v>0</v>
      </c>
      <c r="AJ132" s="2">
        <v>0</v>
      </c>
      <c r="AK132" s="2">
        <v>0</v>
      </c>
      <c r="AL132" s="2">
        <v>0</v>
      </c>
      <c r="AM132" s="2">
        <v>0</v>
      </c>
      <c r="AN132" s="2">
        <v>0</v>
      </c>
      <c r="AO132" s="2">
        <v>13000</v>
      </c>
      <c r="AP132" s="2">
        <v>0</v>
      </c>
      <c r="AQ132" s="2">
        <v>0</v>
      </c>
      <c r="AR132" s="2">
        <v>0</v>
      </c>
      <c r="AS132" s="2">
        <v>0</v>
      </c>
      <c r="AT132" s="2">
        <v>20000</v>
      </c>
      <c r="AU132" s="2">
        <v>5800</v>
      </c>
      <c r="AV132" s="2">
        <v>0</v>
      </c>
      <c r="AW132" s="2">
        <v>0</v>
      </c>
      <c r="AX132" s="2">
        <v>0</v>
      </c>
      <c r="AZ132" s="29">
        <f t="shared" si="1"/>
        <v>0</v>
      </c>
      <c r="BA132" s="131">
        <v>20000</v>
      </c>
      <c r="BD132" s="2" t="s">
        <v>451</v>
      </c>
      <c r="BF132" s="130"/>
    </row>
    <row r="133" spans="1:58" ht="15.75">
      <c r="A133" s="20" t="s">
        <v>493</v>
      </c>
      <c r="B133" s="20" t="s">
        <v>576</v>
      </c>
      <c r="D133" s="2">
        <v>0</v>
      </c>
      <c r="E133" s="2">
        <v>0</v>
      </c>
      <c r="F133" s="2">
        <v>0</v>
      </c>
      <c r="G133" s="2">
        <v>0</v>
      </c>
      <c r="H133" s="2">
        <v>0</v>
      </c>
      <c r="I133" s="2">
        <v>0</v>
      </c>
      <c r="J133" s="2">
        <v>0</v>
      </c>
      <c r="K133" s="2">
        <v>0</v>
      </c>
      <c r="L133" s="2">
        <v>0</v>
      </c>
      <c r="M133" s="2">
        <v>0</v>
      </c>
      <c r="N133" s="2">
        <v>0</v>
      </c>
      <c r="O133" s="2">
        <v>0</v>
      </c>
      <c r="P133" s="2">
        <v>45000</v>
      </c>
      <c r="Q133" s="2">
        <v>0</v>
      </c>
      <c r="R133" s="2">
        <v>0</v>
      </c>
      <c r="S133" s="2">
        <v>0</v>
      </c>
      <c r="T133" s="2">
        <v>45000</v>
      </c>
      <c r="U133" s="2">
        <v>66465</v>
      </c>
      <c r="V133" s="2">
        <v>5000</v>
      </c>
      <c r="W133" s="2">
        <v>0</v>
      </c>
      <c r="X133" s="2">
        <v>0</v>
      </c>
      <c r="Y133" s="2">
        <v>0</v>
      </c>
      <c r="Z133" s="2">
        <v>0</v>
      </c>
      <c r="AA133" s="2">
        <v>0</v>
      </c>
      <c r="AB133" s="2">
        <v>10000</v>
      </c>
      <c r="AC133" s="2">
        <v>0</v>
      </c>
      <c r="AD133" s="2">
        <v>0</v>
      </c>
      <c r="AE133" s="2">
        <v>0</v>
      </c>
      <c r="AF133" s="2">
        <v>81465</v>
      </c>
      <c r="AG133" s="2">
        <v>14735</v>
      </c>
      <c r="AH133" s="2">
        <v>0</v>
      </c>
      <c r="AI133" s="2">
        <v>0</v>
      </c>
      <c r="AJ133" s="2">
        <v>0</v>
      </c>
      <c r="AK133" s="2">
        <v>0</v>
      </c>
      <c r="AL133" s="2">
        <v>0</v>
      </c>
      <c r="AM133" s="2">
        <v>0</v>
      </c>
      <c r="AN133" s="2">
        <v>0</v>
      </c>
      <c r="AO133" s="2">
        <v>0</v>
      </c>
      <c r="AP133" s="2">
        <v>0</v>
      </c>
      <c r="AQ133" s="2">
        <v>0</v>
      </c>
      <c r="AR133" s="2">
        <v>0</v>
      </c>
      <c r="AS133" s="2">
        <v>0</v>
      </c>
      <c r="AT133" s="2">
        <v>14735</v>
      </c>
      <c r="AU133" s="2">
        <v>0</v>
      </c>
      <c r="AV133" s="2">
        <v>0</v>
      </c>
      <c r="AW133" s="2">
        <v>0</v>
      </c>
      <c r="AX133" s="2">
        <v>0</v>
      </c>
      <c r="AZ133" s="29">
        <f aca="true" t="shared" si="2" ref="AZ133:AZ163">AV133*0.02</f>
        <v>0</v>
      </c>
      <c r="BA133" s="131">
        <v>20000</v>
      </c>
      <c r="BD133" s="2" t="s">
        <v>705</v>
      </c>
      <c r="BF133" s="130"/>
    </row>
    <row r="134" spans="1:58" ht="15.75">
      <c r="A134" s="20" t="s">
        <v>543</v>
      </c>
      <c r="B134" s="20" t="s">
        <v>577</v>
      </c>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0</v>
      </c>
      <c r="U134" s="2">
        <v>47167</v>
      </c>
      <c r="V134" s="2">
        <v>0</v>
      </c>
      <c r="W134" s="2">
        <v>0</v>
      </c>
      <c r="X134" s="2">
        <v>0</v>
      </c>
      <c r="Y134" s="2">
        <v>0</v>
      </c>
      <c r="Z134" s="2">
        <v>0</v>
      </c>
      <c r="AA134" s="2">
        <v>0</v>
      </c>
      <c r="AB134" s="2">
        <v>0</v>
      </c>
      <c r="AC134" s="2">
        <v>0</v>
      </c>
      <c r="AD134" s="2">
        <v>0</v>
      </c>
      <c r="AE134" s="2">
        <v>0</v>
      </c>
      <c r="AF134" s="2">
        <v>47167</v>
      </c>
      <c r="AG134" s="2">
        <v>15000</v>
      </c>
      <c r="AH134" s="2">
        <v>10000</v>
      </c>
      <c r="AI134" s="2">
        <v>0</v>
      </c>
      <c r="AJ134" s="2">
        <v>0</v>
      </c>
      <c r="AK134" s="2">
        <v>0</v>
      </c>
      <c r="AL134" s="2">
        <v>0</v>
      </c>
      <c r="AM134" s="2">
        <v>0</v>
      </c>
      <c r="AN134" s="2">
        <v>0</v>
      </c>
      <c r="AO134" s="2">
        <v>0</v>
      </c>
      <c r="AP134" s="2">
        <v>0</v>
      </c>
      <c r="AQ134" s="2">
        <v>0</v>
      </c>
      <c r="AR134" s="2">
        <v>89000</v>
      </c>
      <c r="AS134" s="2">
        <v>0</v>
      </c>
      <c r="AT134" s="2">
        <v>114000</v>
      </c>
      <c r="AU134" s="2">
        <v>0</v>
      </c>
      <c r="AV134" s="2">
        <v>0</v>
      </c>
      <c r="AW134" s="2">
        <v>0</v>
      </c>
      <c r="AX134" s="2">
        <v>0</v>
      </c>
      <c r="AZ134" s="29">
        <f t="shared" si="2"/>
        <v>0</v>
      </c>
      <c r="BA134" s="131">
        <v>20000</v>
      </c>
      <c r="BD134" s="2" t="s">
        <v>542</v>
      </c>
      <c r="BF134" s="130"/>
    </row>
    <row r="135" spans="1:58" ht="15.75">
      <c r="A135" s="20" t="s">
        <v>546</v>
      </c>
      <c r="B135" s="20" t="s">
        <v>578</v>
      </c>
      <c r="D135" s="2">
        <v>0</v>
      </c>
      <c r="E135" s="2">
        <v>0</v>
      </c>
      <c r="F135" s="2">
        <v>0</v>
      </c>
      <c r="G135" s="2">
        <v>0</v>
      </c>
      <c r="H135" s="2">
        <v>0</v>
      </c>
      <c r="I135" s="2">
        <v>0</v>
      </c>
      <c r="J135" s="2">
        <v>0</v>
      </c>
      <c r="K135" s="2">
        <v>0</v>
      </c>
      <c r="L135" s="2">
        <v>0</v>
      </c>
      <c r="M135" s="2">
        <v>0</v>
      </c>
      <c r="N135" s="2">
        <v>0</v>
      </c>
      <c r="O135" s="2">
        <v>0</v>
      </c>
      <c r="P135" s="2">
        <v>8300</v>
      </c>
      <c r="Q135" s="2">
        <v>0</v>
      </c>
      <c r="R135" s="2">
        <v>0</v>
      </c>
      <c r="S135" s="2">
        <v>0</v>
      </c>
      <c r="T135" s="2">
        <v>8300</v>
      </c>
      <c r="U135" s="2">
        <v>78242</v>
      </c>
      <c r="V135" s="2">
        <v>0</v>
      </c>
      <c r="W135" s="2">
        <v>0</v>
      </c>
      <c r="X135" s="2">
        <v>0</v>
      </c>
      <c r="Y135" s="2">
        <v>0</v>
      </c>
      <c r="Z135" s="2">
        <v>0</v>
      </c>
      <c r="AA135" s="2">
        <v>0</v>
      </c>
      <c r="AB135" s="2">
        <v>0</v>
      </c>
      <c r="AC135" s="2">
        <v>0</v>
      </c>
      <c r="AD135" s="2">
        <v>9000</v>
      </c>
      <c r="AE135" s="2">
        <v>0</v>
      </c>
      <c r="AF135" s="2">
        <v>87242</v>
      </c>
      <c r="AG135" s="2">
        <v>2190</v>
      </c>
      <c r="AH135" s="2">
        <v>5000</v>
      </c>
      <c r="AI135" s="2">
        <v>0</v>
      </c>
      <c r="AJ135" s="2">
        <v>0</v>
      </c>
      <c r="AK135" s="2">
        <v>0</v>
      </c>
      <c r="AL135" s="2">
        <v>0</v>
      </c>
      <c r="AM135" s="2">
        <v>0</v>
      </c>
      <c r="AN135" s="2">
        <v>0</v>
      </c>
      <c r="AO135" s="2">
        <v>0</v>
      </c>
      <c r="AP135" s="2">
        <v>0</v>
      </c>
      <c r="AQ135" s="2">
        <v>0</v>
      </c>
      <c r="AR135" s="2">
        <v>72980</v>
      </c>
      <c r="AS135" s="2">
        <v>0</v>
      </c>
      <c r="AT135" s="2">
        <v>80170</v>
      </c>
      <c r="AU135" s="2">
        <v>0</v>
      </c>
      <c r="AV135" s="2">
        <v>0</v>
      </c>
      <c r="AW135" s="2">
        <v>0</v>
      </c>
      <c r="AX135" s="2">
        <v>0</v>
      </c>
      <c r="AZ135" s="29">
        <f t="shared" si="2"/>
        <v>0</v>
      </c>
      <c r="BA135" s="131">
        <v>20000</v>
      </c>
      <c r="BD135" s="2" t="s">
        <v>706</v>
      </c>
      <c r="BF135" s="130"/>
    </row>
    <row r="136" spans="1:58" ht="15.75">
      <c r="A136" s="20" t="s">
        <v>480</v>
      </c>
      <c r="B136" s="20" t="s">
        <v>579</v>
      </c>
      <c r="D136" s="2">
        <v>0</v>
      </c>
      <c r="E136" s="2">
        <v>0</v>
      </c>
      <c r="F136" s="2">
        <v>0</v>
      </c>
      <c r="G136" s="2">
        <v>0</v>
      </c>
      <c r="H136" s="2">
        <v>0</v>
      </c>
      <c r="I136" s="2">
        <v>0</v>
      </c>
      <c r="J136" s="2">
        <v>0</v>
      </c>
      <c r="K136" s="2">
        <v>0</v>
      </c>
      <c r="L136" s="2">
        <v>0</v>
      </c>
      <c r="M136" s="2">
        <v>0</v>
      </c>
      <c r="N136" s="2">
        <v>0</v>
      </c>
      <c r="O136" s="2">
        <v>0</v>
      </c>
      <c r="P136" s="2">
        <v>55000</v>
      </c>
      <c r="Q136" s="2">
        <v>0</v>
      </c>
      <c r="R136" s="2">
        <v>0</v>
      </c>
      <c r="S136" s="2">
        <v>0</v>
      </c>
      <c r="T136" s="2">
        <v>55000</v>
      </c>
      <c r="U136" s="2">
        <v>173371</v>
      </c>
      <c r="V136" s="2">
        <v>0</v>
      </c>
      <c r="W136" s="2">
        <v>0</v>
      </c>
      <c r="X136" s="2">
        <v>0</v>
      </c>
      <c r="Y136" s="2">
        <v>0</v>
      </c>
      <c r="Z136" s="2">
        <v>0</v>
      </c>
      <c r="AA136" s="2">
        <v>0</v>
      </c>
      <c r="AB136" s="2">
        <v>0</v>
      </c>
      <c r="AC136" s="2">
        <v>0</v>
      </c>
      <c r="AD136" s="2">
        <v>0</v>
      </c>
      <c r="AE136" s="2">
        <v>0</v>
      </c>
      <c r="AF136" s="2">
        <v>173371</v>
      </c>
      <c r="AG136" s="2">
        <v>10795</v>
      </c>
      <c r="AH136" s="2">
        <v>1332</v>
      </c>
      <c r="AI136" s="2">
        <v>0</v>
      </c>
      <c r="AJ136" s="2">
        <v>0</v>
      </c>
      <c r="AK136" s="2">
        <v>0</v>
      </c>
      <c r="AL136" s="2">
        <v>0</v>
      </c>
      <c r="AM136" s="2">
        <v>0</v>
      </c>
      <c r="AN136" s="2">
        <v>0</v>
      </c>
      <c r="AO136" s="2">
        <v>388</v>
      </c>
      <c r="AP136" s="2">
        <v>0</v>
      </c>
      <c r="AQ136" s="2">
        <v>0</v>
      </c>
      <c r="AR136" s="2">
        <v>0</v>
      </c>
      <c r="AS136" s="2">
        <v>0</v>
      </c>
      <c r="AT136" s="2">
        <v>12515</v>
      </c>
      <c r="AU136" s="2">
        <v>0</v>
      </c>
      <c r="AV136" s="2">
        <v>0</v>
      </c>
      <c r="AW136" s="2">
        <v>0</v>
      </c>
      <c r="AX136" s="2">
        <v>0</v>
      </c>
      <c r="AZ136" s="29">
        <f>AV136*0.02</f>
        <v>0</v>
      </c>
      <c r="BA136" s="131">
        <v>80000</v>
      </c>
      <c r="BD136" s="2" t="s">
        <v>480</v>
      </c>
      <c r="BF136" s="130"/>
    </row>
    <row r="137" spans="1:58" ht="15.75">
      <c r="A137" s="20" t="s">
        <v>707</v>
      </c>
      <c r="B137" s="20" t="s">
        <v>391</v>
      </c>
      <c r="D137" s="2">
        <v>0</v>
      </c>
      <c r="E137" s="2">
        <v>0</v>
      </c>
      <c r="F137" s="2">
        <v>0</v>
      </c>
      <c r="G137" s="2">
        <v>0</v>
      </c>
      <c r="H137" s="2">
        <v>0</v>
      </c>
      <c r="I137" s="2">
        <v>0</v>
      </c>
      <c r="J137" s="2">
        <v>0</v>
      </c>
      <c r="K137" s="2">
        <v>0</v>
      </c>
      <c r="L137" s="2">
        <v>0</v>
      </c>
      <c r="M137" s="2">
        <v>0</v>
      </c>
      <c r="N137" s="2">
        <v>0</v>
      </c>
      <c r="O137" s="2">
        <v>0</v>
      </c>
      <c r="P137" s="2">
        <v>0</v>
      </c>
      <c r="Q137" s="2">
        <v>0</v>
      </c>
      <c r="R137" s="2">
        <v>0</v>
      </c>
      <c r="S137" s="2">
        <v>0</v>
      </c>
      <c r="T137" s="2">
        <v>0</v>
      </c>
      <c r="U137" s="2">
        <v>47963</v>
      </c>
      <c r="V137" s="2">
        <v>7775</v>
      </c>
      <c r="W137" s="2">
        <v>0</v>
      </c>
      <c r="X137" s="2">
        <v>0</v>
      </c>
      <c r="Y137" s="2">
        <v>0</v>
      </c>
      <c r="Z137" s="2">
        <v>0</v>
      </c>
      <c r="AA137" s="2">
        <v>0</v>
      </c>
      <c r="AB137" s="2">
        <v>0</v>
      </c>
      <c r="AC137" s="2">
        <v>0</v>
      </c>
      <c r="AD137" s="2">
        <v>0</v>
      </c>
      <c r="AE137" s="2">
        <v>0</v>
      </c>
      <c r="AF137" s="2">
        <v>55738</v>
      </c>
      <c r="AG137" s="2">
        <v>5821</v>
      </c>
      <c r="AH137" s="2">
        <v>0</v>
      </c>
      <c r="AI137" s="2">
        <v>0</v>
      </c>
      <c r="AJ137" s="2">
        <v>0</v>
      </c>
      <c r="AK137" s="2">
        <v>0</v>
      </c>
      <c r="AL137" s="2">
        <v>0</v>
      </c>
      <c r="AM137" s="2">
        <v>0</v>
      </c>
      <c r="AN137" s="2">
        <v>0</v>
      </c>
      <c r="AO137" s="2">
        <v>0</v>
      </c>
      <c r="AP137" s="2">
        <v>0</v>
      </c>
      <c r="AQ137" s="2">
        <v>0</v>
      </c>
      <c r="AR137" s="2">
        <v>0</v>
      </c>
      <c r="AS137" s="2">
        <v>0</v>
      </c>
      <c r="AT137" s="2">
        <v>5821</v>
      </c>
      <c r="AU137" s="2">
        <v>0</v>
      </c>
      <c r="AV137" s="2">
        <v>0</v>
      </c>
      <c r="AW137" s="2">
        <v>0</v>
      </c>
      <c r="AX137" s="2">
        <v>0</v>
      </c>
      <c r="AZ137" s="29">
        <f t="shared" si="2"/>
        <v>0</v>
      </c>
      <c r="BA137" s="131">
        <v>20000</v>
      </c>
      <c r="BD137" s="2" t="s">
        <v>397</v>
      </c>
      <c r="BF137" s="130"/>
    </row>
    <row r="138" spans="1:58" ht="15.75">
      <c r="A138" s="20" t="s">
        <v>708</v>
      </c>
      <c r="B138" s="20" t="s">
        <v>716</v>
      </c>
      <c r="D138" s="2">
        <v>0</v>
      </c>
      <c r="E138" s="2">
        <v>0</v>
      </c>
      <c r="F138" s="2">
        <v>0</v>
      </c>
      <c r="G138" s="2">
        <v>0</v>
      </c>
      <c r="H138" s="2">
        <v>0</v>
      </c>
      <c r="I138" s="2">
        <v>0</v>
      </c>
      <c r="J138" s="2">
        <v>0</v>
      </c>
      <c r="K138" s="2">
        <v>0</v>
      </c>
      <c r="L138" s="2">
        <v>0</v>
      </c>
      <c r="M138" s="2">
        <v>0</v>
      </c>
      <c r="N138" s="2">
        <v>0</v>
      </c>
      <c r="O138" s="2">
        <v>0</v>
      </c>
      <c r="P138" s="2">
        <v>0</v>
      </c>
      <c r="Q138" s="2">
        <v>0</v>
      </c>
      <c r="R138" s="2">
        <v>0</v>
      </c>
      <c r="S138" s="2">
        <v>0</v>
      </c>
      <c r="T138" s="2">
        <v>0</v>
      </c>
      <c r="U138" s="2">
        <v>43405</v>
      </c>
      <c r="V138" s="2">
        <v>1000</v>
      </c>
      <c r="W138" s="2">
        <v>2000</v>
      </c>
      <c r="X138" s="2">
        <v>0</v>
      </c>
      <c r="Y138" s="2">
        <v>0</v>
      </c>
      <c r="Z138" s="2">
        <v>0</v>
      </c>
      <c r="AA138" s="2">
        <v>0</v>
      </c>
      <c r="AB138" s="2">
        <v>2000</v>
      </c>
      <c r="AC138" s="2">
        <v>0</v>
      </c>
      <c r="AD138" s="2">
        <v>0</v>
      </c>
      <c r="AE138" s="2">
        <v>0</v>
      </c>
      <c r="AF138" s="2">
        <v>48405</v>
      </c>
      <c r="AG138" s="2">
        <v>0</v>
      </c>
      <c r="AH138" s="2">
        <v>0</v>
      </c>
      <c r="AI138" s="2">
        <v>0</v>
      </c>
      <c r="AJ138" s="2">
        <v>0</v>
      </c>
      <c r="AK138" s="2">
        <v>0</v>
      </c>
      <c r="AL138" s="2">
        <v>0</v>
      </c>
      <c r="AM138" s="2">
        <v>0</v>
      </c>
      <c r="AN138" s="2">
        <v>0</v>
      </c>
      <c r="AO138" s="2">
        <v>0</v>
      </c>
      <c r="AP138" s="2">
        <v>0</v>
      </c>
      <c r="AQ138" s="2">
        <v>0</v>
      </c>
      <c r="AR138" s="2">
        <v>0</v>
      </c>
      <c r="AS138" s="2">
        <v>0</v>
      </c>
      <c r="AT138" s="2">
        <v>0</v>
      </c>
      <c r="AU138" s="2">
        <v>0</v>
      </c>
      <c r="AV138" s="2">
        <v>0</v>
      </c>
      <c r="AW138" s="2">
        <v>0</v>
      </c>
      <c r="AX138" s="2">
        <v>0</v>
      </c>
      <c r="AZ138" s="29">
        <f t="shared" si="2"/>
        <v>0</v>
      </c>
      <c r="BA138" s="131">
        <v>20000</v>
      </c>
      <c r="BD138" s="2" t="s">
        <v>423</v>
      </c>
      <c r="BF138" s="130"/>
    </row>
    <row r="139" spans="1:58" ht="15.75">
      <c r="A139" s="20" t="s">
        <v>709</v>
      </c>
      <c r="B139" s="20" t="s">
        <v>710</v>
      </c>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0</v>
      </c>
      <c r="U139" s="2">
        <v>34762</v>
      </c>
      <c r="V139" s="2">
        <v>0</v>
      </c>
      <c r="W139" s="2">
        <v>0</v>
      </c>
      <c r="X139" s="2">
        <v>0</v>
      </c>
      <c r="Y139" s="2">
        <v>0</v>
      </c>
      <c r="Z139" s="2">
        <v>0</v>
      </c>
      <c r="AA139" s="2">
        <v>0</v>
      </c>
      <c r="AB139" s="2">
        <v>0</v>
      </c>
      <c r="AC139" s="2">
        <v>0</v>
      </c>
      <c r="AD139" s="2">
        <v>0</v>
      </c>
      <c r="AE139" s="2">
        <v>0</v>
      </c>
      <c r="AF139" s="2">
        <v>34762</v>
      </c>
      <c r="AG139" s="2">
        <v>18229</v>
      </c>
      <c r="AH139" s="2">
        <v>0</v>
      </c>
      <c r="AI139" s="2">
        <v>0</v>
      </c>
      <c r="AJ139" s="2">
        <v>0</v>
      </c>
      <c r="AK139" s="2">
        <v>0</v>
      </c>
      <c r="AL139" s="2">
        <v>0</v>
      </c>
      <c r="AM139" s="2">
        <v>0</v>
      </c>
      <c r="AN139" s="2">
        <v>0</v>
      </c>
      <c r="AO139" s="2">
        <v>0</v>
      </c>
      <c r="AP139" s="2">
        <v>0</v>
      </c>
      <c r="AQ139" s="2">
        <v>0</v>
      </c>
      <c r="AR139" s="2">
        <v>0</v>
      </c>
      <c r="AS139" s="2">
        <v>0</v>
      </c>
      <c r="AT139" s="2">
        <v>18229</v>
      </c>
      <c r="AU139" s="2">
        <v>0</v>
      </c>
      <c r="AV139" s="2">
        <v>0</v>
      </c>
      <c r="AW139" s="2">
        <v>0</v>
      </c>
      <c r="AX139" s="2">
        <v>0</v>
      </c>
      <c r="AZ139" s="29">
        <f t="shared" si="2"/>
        <v>0</v>
      </c>
      <c r="BA139" s="131">
        <v>20000</v>
      </c>
      <c r="BD139" s="2" t="s">
        <v>553</v>
      </c>
      <c r="BF139" s="130"/>
    </row>
    <row r="140" spans="1:58" ht="15.75">
      <c r="A140" s="20" t="s">
        <v>505</v>
      </c>
      <c r="B140" s="20" t="s">
        <v>580</v>
      </c>
      <c r="D140" s="2">
        <v>0</v>
      </c>
      <c r="E140" s="2">
        <v>0</v>
      </c>
      <c r="F140" s="2">
        <v>0</v>
      </c>
      <c r="G140" s="2">
        <v>0</v>
      </c>
      <c r="H140" s="2">
        <v>0</v>
      </c>
      <c r="I140" s="2">
        <v>0</v>
      </c>
      <c r="J140" s="2">
        <v>0</v>
      </c>
      <c r="K140" s="2">
        <v>0</v>
      </c>
      <c r="L140" s="2">
        <v>156</v>
      </c>
      <c r="M140" s="2">
        <v>0</v>
      </c>
      <c r="N140" s="2">
        <v>0</v>
      </c>
      <c r="O140" s="2">
        <v>0</v>
      </c>
      <c r="P140" s="2">
        <v>0</v>
      </c>
      <c r="Q140" s="2">
        <v>0</v>
      </c>
      <c r="R140" s="2">
        <v>0</v>
      </c>
      <c r="S140" s="2">
        <v>0</v>
      </c>
      <c r="T140" s="2">
        <v>156</v>
      </c>
      <c r="U140" s="2">
        <v>127631</v>
      </c>
      <c r="V140" s="2">
        <v>43000</v>
      </c>
      <c r="W140" s="2">
        <v>0</v>
      </c>
      <c r="X140" s="2">
        <v>0</v>
      </c>
      <c r="Y140" s="2">
        <v>0</v>
      </c>
      <c r="Z140" s="2">
        <v>0</v>
      </c>
      <c r="AA140" s="2">
        <v>0</v>
      </c>
      <c r="AB140" s="2">
        <v>0</v>
      </c>
      <c r="AC140" s="2">
        <v>0</v>
      </c>
      <c r="AD140" s="2">
        <v>0</v>
      </c>
      <c r="AE140" s="2">
        <v>0</v>
      </c>
      <c r="AF140" s="2">
        <v>170631</v>
      </c>
      <c r="AG140" s="2">
        <v>8501</v>
      </c>
      <c r="AH140" s="2">
        <v>0</v>
      </c>
      <c r="AI140" s="2">
        <v>0</v>
      </c>
      <c r="AJ140" s="2">
        <v>0</v>
      </c>
      <c r="AK140" s="2">
        <v>0</v>
      </c>
      <c r="AL140" s="2">
        <v>0</v>
      </c>
      <c r="AM140" s="2">
        <v>0</v>
      </c>
      <c r="AN140" s="2">
        <v>0</v>
      </c>
      <c r="AO140" s="2">
        <v>0</v>
      </c>
      <c r="AP140" s="2">
        <v>0</v>
      </c>
      <c r="AQ140" s="2">
        <v>0</v>
      </c>
      <c r="AR140" s="2">
        <v>0</v>
      </c>
      <c r="AS140" s="2">
        <v>0</v>
      </c>
      <c r="AT140" s="2">
        <v>8501</v>
      </c>
      <c r="AU140" s="2">
        <v>7780</v>
      </c>
      <c r="AV140" s="2">
        <v>0</v>
      </c>
      <c r="AW140" s="2">
        <v>0</v>
      </c>
      <c r="AX140" s="2">
        <v>0</v>
      </c>
      <c r="AZ140" s="29">
        <f t="shared" si="2"/>
        <v>0</v>
      </c>
      <c r="BA140" s="131">
        <v>20000</v>
      </c>
      <c r="BD140" s="2" t="s">
        <v>505</v>
      </c>
      <c r="BF140" s="130"/>
    </row>
    <row r="141" spans="1:58" ht="15.75">
      <c r="A141" s="20" t="s">
        <v>420</v>
      </c>
      <c r="B141" s="20" t="s">
        <v>581</v>
      </c>
      <c r="D141" s="2">
        <v>0</v>
      </c>
      <c r="E141" s="2">
        <v>0</v>
      </c>
      <c r="F141" s="2">
        <v>0</v>
      </c>
      <c r="G141" s="2">
        <v>0</v>
      </c>
      <c r="H141" s="2">
        <v>0</v>
      </c>
      <c r="I141" s="2">
        <v>0</v>
      </c>
      <c r="J141" s="2">
        <v>8000</v>
      </c>
      <c r="K141" s="2">
        <v>0</v>
      </c>
      <c r="L141" s="2">
        <v>0</v>
      </c>
      <c r="M141" s="2">
        <v>0</v>
      </c>
      <c r="N141" s="2">
        <v>0</v>
      </c>
      <c r="O141" s="2">
        <v>0</v>
      </c>
      <c r="P141" s="2">
        <v>0</v>
      </c>
      <c r="Q141" s="2">
        <v>0</v>
      </c>
      <c r="R141" s="2">
        <v>0</v>
      </c>
      <c r="S141" s="2">
        <v>0</v>
      </c>
      <c r="T141" s="2">
        <v>8000</v>
      </c>
      <c r="U141" s="2">
        <v>76444</v>
      </c>
      <c r="V141" s="2">
        <v>23500</v>
      </c>
      <c r="W141" s="2">
        <v>0</v>
      </c>
      <c r="X141" s="2">
        <v>0</v>
      </c>
      <c r="Y141" s="2">
        <v>0</v>
      </c>
      <c r="Z141" s="2">
        <v>0</v>
      </c>
      <c r="AA141" s="2">
        <v>0</v>
      </c>
      <c r="AB141" s="2">
        <v>0</v>
      </c>
      <c r="AC141" s="2">
        <v>0</v>
      </c>
      <c r="AD141" s="2">
        <v>0</v>
      </c>
      <c r="AE141" s="2">
        <v>0</v>
      </c>
      <c r="AF141" s="2">
        <v>99944</v>
      </c>
      <c r="AG141" s="2">
        <v>15961</v>
      </c>
      <c r="AH141" s="2">
        <v>0</v>
      </c>
      <c r="AI141" s="2">
        <v>0</v>
      </c>
      <c r="AJ141" s="2">
        <v>0</v>
      </c>
      <c r="AK141" s="2">
        <v>0</v>
      </c>
      <c r="AL141" s="2">
        <v>0</v>
      </c>
      <c r="AM141" s="2">
        <v>0</v>
      </c>
      <c r="AN141" s="2">
        <v>0</v>
      </c>
      <c r="AO141" s="2">
        <v>0</v>
      </c>
      <c r="AP141" s="2">
        <v>0</v>
      </c>
      <c r="AQ141" s="2">
        <v>0</v>
      </c>
      <c r="AR141" s="2">
        <v>0</v>
      </c>
      <c r="AS141" s="2">
        <v>7883</v>
      </c>
      <c r="AT141" s="2">
        <v>23844</v>
      </c>
      <c r="AU141" s="2">
        <v>0</v>
      </c>
      <c r="AV141" s="2">
        <v>0</v>
      </c>
      <c r="AW141" s="2">
        <v>0</v>
      </c>
      <c r="AX141" s="2">
        <v>0</v>
      </c>
      <c r="AZ141" s="29">
        <f t="shared" si="2"/>
        <v>0</v>
      </c>
      <c r="BA141" s="131">
        <v>20000</v>
      </c>
      <c r="BD141" s="2" t="s">
        <v>420</v>
      </c>
      <c r="BF141" s="130"/>
    </row>
    <row r="142" spans="1:58" ht="15.75">
      <c r="A142" s="20" t="s">
        <v>442</v>
      </c>
      <c r="B142" s="20" t="s">
        <v>582</v>
      </c>
      <c r="D142" s="2">
        <v>0</v>
      </c>
      <c r="E142" s="2">
        <v>0</v>
      </c>
      <c r="F142" s="2">
        <v>0</v>
      </c>
      <c r="G142" s="2">
        <v>0</v>
      </c>
      <c r="H142" s="2">
        <v>0</v>
      </c>
      <c r="I142" s="2">
        <v>0</v>
      </c>
      <c r="J142" s="2">
        <v>0</v>
      </c>
      <c r="K142" s="2">
        <v>0</v>
      </c>
      <c r="L142" s="2">
        <v>0</v>
      </c>
      <c r="M142" s="2">
        <v>0</v>
      </c>
      <c r="N142" s="2">
        <v>0</v>
      </c>
      <c r="O142" s="2">
        <v>0</v>
      </c>
      <c r="P142" s="2">
        <v>90750</v>
      </c>
      <c r="Q142" s="2">
        <v>0</v>
      </c>
      <c r="R142" s="2">
        <v>0</v>
      </c>
      <c r="S142" s="2">
        <v>0</v>
      </c>
      <c r="T142" s="2">
        <v>90750</v>
      </c>
      <c r="U142" s="2">
        <v>344882</v>
      </c>
      <c r="V142" s="2">
        <v>266800</v>
      </c>
      <c r="W142" s="2">
        <v>0</v>
      </c>
      <c r="X142" s="2">
        <v>0</v>
      </c>
      <c r="Y142" s="2">
        <v>0</v>
      </c>
      <c r="Z142" s="2">
        <v>0</v>
      </c>
      <c r="AA142" s="2">
        <v>0</v>
      </c>
      <c r="AB142" s="2">
        <v>97750</v>
      </c>
      <c r="AC142" s="2">
        <v>0</v>
      </c>
      <c r="AD142" s="2">
        <v>90550</v>
      </c>
      <c r="AE142" s="2">
        <v>0</v>
      </c>
      <c r="AF142" s="2">
        <v>799982</v>
      </c>
      <c r="AG142" s="2">
        <v>0</v>
      </c>
      <c r="AH142" s="2">
        <v>0</v>
      </c>
      <c r="AI142" s="2">
        <v>0</v>
      </c>
      <c r="AJ142" s="2">
        <v>0</v>
      </c>
      <c r="AK142" s="2">
        <v>0</v>
      </c>
      <c r="AL142" s="2">
        <v>0</v>
      </c>
      <c r="AM142" s="2">
        <v>0</v>
      </c>
      <c r="AN142" s="2">
        <v>0</v>
      </c>
      <c r="AO142" s="2">
        <v>0</v>
      </c>
      <c r="AP142" s="2">
        <v>0</v>
      </c>
      <c r="AQ142" s="2">
        <v>0</v>
      </c>
      <c r="AR142" s="2">
        <v>0</v>
      </c>
      <c r="AS142" s="2">
        <v>12275</v>
      </c>
      <c r="AT142" s="2">
        <v>12275</v>
      </c>
      <c r="AU142" s="2">
        <v>35700</v>
      </c>
      <c r="AV142" s="2">
        <v>0</v>
      </c>
      <c r="AW142" s="2">
        <v>0</v>
      </c>
      <c r="AX142" s="2">
        <v>0</v>
      </c>
      <c r="AZ142" s="29">
        <f t="shared" si="2"/>
        <v>0</v>
      </c>
      <c r="BA142" s="131">
        <v>30000</v>
      </c>
      <c r="BD142" s="2" t="s">
        <v>442</v>
      </c>
      <c r="BF142" s="130"/>
    </row>
    <row r="143" spans="1:58" ht="15.75">
      <c r="A143" s="20" t="s">
        <v>393</v>
      </c>
      <c r="B143" s="20" t="s">
        <v>583</v>
      </c>
      <c r="D143" s="2">
        <v>0</v>
      </c>
      <c r="E143" s="2">
        <v>0</v>
      </c>
      <c r="F143" s="2">
        <v>0</v>
      </c>
      <c r="G143" s="2">
        <v>0</v>
      </c>
      <c r="H143" s="2">
        <v>2</v>
      </c>
      <c r="I143" s="2">
        <v>2</v>
      </c>
      <c r="J143" s="2">
        <v>0</v>
      </c>
      <c r="K143" s="2">
        <v>0</v>
      </c>
      <c r="L143" s="2">
        <v>18694</v>
      </c>
      <c r="M143" s="2">
        <v>0</v>
      </c>
      <c r="N143" s="2">
        <v>2423</v>
      </c>
      <c r="O143" s="2">
        <v>0</v>
      </c>
      <c r="P143" s="2">
        <v>17000</v>
      </c>
      <c r="Q143" s="2">
        <v>4007</v>
      </c>
      <c r="R143" s="2">
        <v>0</v>
      </c>
      <c r="S143" s="2">
        <v>0</v>
      </c>
      <c r="T143" s="2">
        <v>42124</v>
      </c>
      <c r="U143" s="2">
        <v>412810</v>
      </c>
      <c r="V143" s="2">
        <v>55000</v>
      </c>
      <c r="W143" s="2">
        <v>0</v>
      </c>
      <c r="X143" s="2">
        <v>0</v>
      </c>
      <c r="Y143" s="2">
        <v>0</v>
      </c>
      <c r="Z143" s="2">
        <v>0</v>
      </c>
      <c r="AA143" s="2">
        <v>0</v>
      </c>
      <c r="AB143" s="2">
        <v>0</v>
      </c>
      <c r="AC143" s="2">
        <v>0</v>
      </c>
      <c r="AD143" s="2">
        <v>38893</v>
      </c>
      <c r="AE143" s="2">
        <v>0</v>
      </c>
      <c r="AF143" s="2">
        <v>506703</v>
      </c>
      <c r="AG143" s="2">
        <v>29897</v>
      </c>
      <c r="AH143" s="2">
        <v>4000</v>
      </c>
      <c r="AI143" s="2">
        <v>0</v>
      </c>
      <c r="AJ143" s="2">
        <v>0</v>
      </c>
      <c r="AK143" s="2">
        <v>0</v>
      </c>
      <c r="AL143" s="2">
        <v>0</v>
      </c>
      <c r="AM143" s="2">
        <v>0</v>
      </c>
      <c r="AN143" s="2">
        <v>0</v>
      </c>
      <c r="AO143" s="2">
        <v>0</v>
      </c>
      <c r="AP143" s="2">
        <v>0</v>
      </c>
      <c r="AQ143" s="2">
        <v>0</v>
      </c>
      <c r="AR143" s="2">
        <v>5000</v>
      </c>
      <c r="AS143" s="2">
        <v>0</v>
      </c>
      <c r="AT143" s="2">
        <v>38897</v>
      </c>
      <c r="AU143" s="2">
        <v>10000</v>
      </c>
      <c r="AV143" s="2">
        <v>0</v>
      </c>
      <c r="AW143" s="2">
        <v>0</v>
      </c>
      <c r="AX143" s="2">
        <v>0</v>
      </c>
      <c r="AZ143" s="29">
        <f t="shared" si="2"/>
        <v>0</v>
      </c>
      <c r="BA143" s="131">
        <v>20000</v>
      </c>
      <c r="BD143" s="2" t="s">
        <v>393</v>
      </c>
      <c r="BF143" s="130"/>
    </row>
    <row r="144" spans="1:58" ht="15.75">
      <c r="A144" s="20" t="s">
        <v>461</v>
      </c>
      <c r="B144" s="20" t="s">
        <v>584</v>
      </c>
      <c r="D144" s="2">
        <v>0</v>
      </c>
      <c r="E144" s="2">
        <v>0</v>
      </c>
      <c r="F144" s="2">
        <v>0</v>
      </c>
      <c r="G144" s="2">
        <v>0</v>
      </c>
      <c r="H144" s="2">
        <v>0</v>
      </c>
      <c r="I144" s="2">
        <v>0</v>
      </c>
      <c r="J144" s="2">
        <v>0</v>
      </c>
      <c r="K144" s="2">
        <v>0</v>
      </c>
      <c r="L144" s="2">
        <v>0</v>
      </c>
      <c r="M144" s="2">
        <v>0</v>
      </c>
      <c r="N144" s="2">
        <v>0</v>
      </c>
      <c r="O144" s="2">
        <v>0</v>
      </c>
      <c r="P144" s="2">
        <v>79500</v>
      </c>
      <c r="Q144" s="2">
        <v>0</v>
      </c>
      <c r="R144" s="2">
        <v>0</v>
      </c>
      <c r="S144" s="2">
        <v>0</v>
      </c>
      <c r="T144" s="2">
        <v>79500</v>
      </c>
      <c r="U144" s="2">
        <v>637459</v>
      </c>
      <c r="V144" s="2">
        <v>113806</v>
      </c>
      <c r="W144" s="2">
        <v>1000</v>
      </c>
      <c r="X144" s="2">
        <v>1500</v>
      </c>
      <c r="Y144" s="2">
        <v>0</v>
      </c>
      <c r="Z144" s="2">
        <v>0</v>
      </c>
      <c r="AA144" s="2">
        <v>0</v>
      </c>
      <c r="AB144" s="2">
        <v>28000</v>
      </c>
      <c r="AC144" s="2">
        <v>0</v>
      </c>
      <c r="AD144" s="2">
        <v>0</v>
      </c>
      <c r="AE144" s="2">
        <v>0</v>
      </c>
      <c r="AF144" s="2">
        <v>781765</v>
      </c>
      <c r="AG144" s="2">
        <v>52900</v>
      </c>
      <c r="AH144" s="2">
        <v>15000</v>
      </c>
      <c r="AI144" s="2">
        <v>0</v>
      </c>
      <c r="AJ144" s="2">
        <v>0</v>
      </c>
      <c r="AK144" s="2">
        <v>0</v>
      </c>
      <c r="AL144" s="2">
        <v>5000</v>
      </c>
      <c r="AM144" s="2">
        <v>0</v>
      </c>
      <c r="AN144" s="2">
        <v>0</v>
      </c>
      <c r="AO144" s="2">
        <v>0</v>
      </c>
      <c r="AP144" s="2">
        <v>0</v>
      </c>
      <c r="AQ144" s="2">
        <v>0</v>
      </c>
      <c r="AR144" s="2">
        <v>0</v>
      </c>
      <c r="AS144" s="2">
        <v>0</v>
      </c>
      <c r="AT144" s="2">
        <v>72900</v>
      </c>
      <c r="AU144" s="2">
        <v>30000</v>
      </c>
      <c r="AV144" s="2">
        <v>0</v>
      </c>
      <c r="AW144" s="2">
        <v>0</v>
      </c>
      <c r="AX144" s="2">
        <v>0</v>
      </c>
      <c r="AZ144" s="29">
        <f t="shared" si="2"/>
        <v>0</v>
      </c>
      <c r="BA144" s="131">
        <v>30000</v>
      </c>
      <c r="BD144" s="2" t="s">
        <v>461</v>
      </c>
      <c r="BF144" s="130"/>
    </row>
    <row r="145" spans="1:58" ht="15.75">
      <c r="A145" s="20" t="s">
        <v>434</v>
      </c>
      <c r="B145" s="20" t="s">
        <v>585</v>
      </c>
      <c r="D145" s="2">
        <v>0</v>
      </c>
      <c r="E145" s="2">
        <v>0</v>
      </c>
      <c r="F145" s="2">
        <v>0</v>
      </c>
      <c r="G145" s="2">
        <v>0</v>
      </c>
      <c r="H145" s="2">
        <v>0</v>
      </c>
      <c r="I145" s="2">
        <v>0</v>
      </c>
      <c r="J145" s="2">
        <v>0</v>
      </c>
      <c r="K145" s="2">
        <v>0</v>
      </c>
      <c r="L145" s="2">
        <v>104941</v>
      </c>
      <c r="M145" s="2">
        <v>0</v>
      </c>
      <c r="N145" s="2">
        <v>1040</v>
      </c>
      <c r="O145" s="2">
        <v>0</v>
      </c>
      <c r="P145" s="2">
        <v>16510</v>
      </c>
      <c r="Q145" s="2">
        <v>0</v>
      </c>
      <c r="R145" s="2">
        <v>0</v>
      </c>
      <c r="S145" s="2">
        <v>0</v>
      </c>
      <c r="T145" s="2">
        <v>122491</v>
      </c>
      <c r="U145" s="2">
        <v>1041388</v>
      </c>
      <c r="V145" s="2">
        <v>239000</v>
      </c>
      <c r="W145" s="2">
        <v>0</v>
      </c>
      <c r="X145" s="2">
        <v>0</v>
      </c>
      <c r="Y145" s="2">
        <v>0</v>
      </c>
      <c r="Z145" s="2">
        <v>0</v>
      </c>
      <c r="AA145" s="2">
        <v>2026</v>
      </c>
      <c r="AB145" s="2">
        <v>0</v>
      </c>
      <c r="AC145" s="2">
        <v>0</v>
      </c>
      <c r="AD145" s="2">
        <v>37900</v>
      </c>
      <c r="AE145" s="2">
        <v>0</v>
      </c>
      <c r="AF145" s="2">
        <v>1320314</v>
      </c>
      <c r="AG145" s="2">
        <v>123017</v>
      </c>
      <c r="AH145" s="2">
        <v>15000</v>
      </c>
      <c r="AI145" s="2">
        <v>0</v>
      </c>
      <c r="AJ145" s="2">
        <v>0</v>
      </c>
      <c r="AK145" s="2">
        <v>29923</v>
      </c>
      <c r="AL145" s="2">
        <v>0</v>
      </c>
      <c r="AM145" s="2">
        <v>0</v>
      </c>
      <c r="AN145" s="2">
        <v>0</v>
      </c>
      <c r="AO145" s="2">
        <v>0</v>
      </c>
      <c r="AP145" s="2">
        <v>0</v>
      </c>
      <c r="AQ145" s="2">
        <v>0</v>
      </c>
      <c r="AR145" s="2">
        <v>72960</v>
      </c>
      <c r="AS145" s="2">
        <v>0</v>
      </c>
      <c r="AT145" s="2">
        <v>240900</v>
      </c>
      <c r="AU145" s="2">
        <v>78797</v>
      </c>
      <c r="AV145" s="2">
        <v>0</v>
      </c>
      <c r="AW145" s="2">
        <v>0</v>
      </c>
      <c r="AX145" s="2">
        <v>0</v>
      </c>
      <c r="AZ145" s="29">
        <f t="shared" si="2"/>
        <v>0</v>
      </c>
      <c r="BA145" s="131">
        <v>40000</v>
      </c>
      <c r="BD145" s="2" t="s">
        <v>434</v>
      </c>
      <c r="BF145" s="130"/>
    </row>
    <row r="146" spans="1:58" ht="15.75">
      <c r="A146" s="20" t="s">
        <v>446</v>
      </c>
      <c r="B146" s="20" t="s">
        <v>586</v>
      </c>
      <c r="D146" s="2">
        <v>0</v>
      </c>
      <c r="E146" s="2">
        <v>0</v>
      </c>
      <c r="F146" s="2">
        <v>0</v>
      </c>
      <c r="G146" s="2">
        <v>0</v>
      </c>
      <c r="H146" s="2">
        <v>0</v>
      </c>
      <c r="I146" s="2">
        <v>0</v>
      </c>
      <c r="J146" s="2">
        <v>19</v>
      </c>
      <c r="K146" s="2">
        <v>0</v>
      </c>
      <c r="L146" s="2">
        <v>146</v>
      </c>
      <c r="M146" s="2">
        <v>65931</v>
      </c>
      <c r="N146" s="2">
        <v>28</v>
      </c>
      <c r="O146" s="2">
        <v>0</v>
      </c>
      <c r="P146" s="2">
        <v>174345</v>
      </c>
      <c r="Q146" s="2">
        <v>72</v>
      </c>
      <c r="R146" s="2">
        <v>0</v>
      </c>
      <c r="S146" s="2">
        <v>0</v>
      </c>
      <c r="T146" s="2">
        <v>240541</v>
      </c>
      <c r="U146" s="2">
        <v>852020</v>
      </c>
      <c r="V146" s="2">
        <v>219000</v>
      </c>
      <c r="W146" s="2">
        <v>0</v>
      </c>
      <c r="X146" s="2">
        <v>0</v>
      </c>
      <c r="Y146" s="2">
        <v>0</v>
      </c>
      <c r="Z146" s="2">
        <v>0</v>
      </c>
      <c r="AA146" s="2">
        <v>0</v>
      </c>
      <c r="AB146" s="2">
        <v>0</v>
      </c>
      <c r="AC146" s="2">
        <v>0</v>
      </c>
      <c r="AD146" s="2">
        <v>230000</v>
      </c>
      <c r="AE146" s="2">
        <v>0</v>
      </c>
      <c r="AF146" s="2">
        <v>1301020</v>
      </c>
      <c r="AG146" s="2">
        <v>72115</v>
      </c>
      <c r="AH146" s="2">
        <v>0</v>
      </c>
      <c r="AI146" s="2">
        <v>0</v>
      </c>
      <c r="AJ146" s="2">
        <v>0</v>
      </c>
      <c r="AK146" s="2">
        <v>0</v>
      </c>
      <c r="AL146" s="2">
        <v>0</v>
      </c>
      <c r="AM146" s="2">
        <v>0</v>
      </c>
      <c r="AN146" s="2">
        <v>0</v>
      </c>
      <c r="AO146" s="2">
        <v>0</v>
      </c>
      <c r="AP146" s="2">
        <v>0</v>
      </c>
      <c r="AQ146" s="2">
        <v>0</v>
      </c>
      <c r="AR146" s="2">
        <v>0</v>
      </c>
      <c r="AS146" s="2">
        <v>0</v>
      </c>
      <c r="AT146" s="2">
        <v>72115</v>
      </c>
      <c r="AU146" s="2">
        <v>55242</v>
      </c>
      <c r="AV146" s="2">
        <v>0</v>
      </c>
      <c r="AW146" s="2">
        <v>0</v>
      </c>
      <c r="AX146" s="2">
        <v>0</v>
      </c>
      <c r="AZ146" s="29">
        <f t="shared" si="2"/>
        <v>0</v>
      </c>
      <c r="BA146" s="131">
        <v>50000</v>
      </c>
      <c r="BD146" s="2" t="s">
        <v>446</v>
      </c>
      <c r="BF146" s="130"/>
    </row>
    <row r="147" spans="1:58" ht="15.75">
      <c r="A147" s="20" t="s">
        <v>490</v>
      </c>
      <c r="B147" s="20" t="s">
        <v>587</v>
      </c>
      <c r="D147" s="2">
        <v>0</v>
      </c>
      <c r="E147" s="2">
        <v>0</v>
      </c>
      <c r="F147" s="2">
        <v>0</v>
      </c>
      <c r="G147" s="2">
        <v>0</v>
      </c>
      <c r="H147" s="2">
        <v>0</v>
      </c>
      <c r="I147" s="2">
        <v>0</v>
      </c>
      <c r="J147" s="2">
        <v>0</v>
      </c>
      <c r="K147" s="2">
        <v>0</v>
      </c>
      <c r="L147" s="2">
        <v>0</v>
      </c>
      <c r="M147" s="2">
        <v>0</v>
      </c>
      <c r="N147" s="2">
        <v>10663</v>
      </c>
      <c r="O147" s="2">
        <v>0</v>
      </c>
      <c r="P147" s="2">
        <v>0</v>
      </c>
      <c r="Q147" s="2">
        <v>0</v>
      </c>
      <c r="R147" s="2">
        <v>0</v>
      </c>
      <c r="S147" s="2">
        <v>0</v>
      </c>
      <c r="T147" s="2">
        <v>10663</v>
      </c>
      <c r="U147" s="2">
        <v>166879</v>
      </c>
      <c r="V147" s="2">
        <v>47750</v>
      </c>
      <c r="W147" s="2">
        <v>350</v>
      </c>
      <c r="X147" s="2">
        <v>5220</v>
      </c>
      <c r="Y147" s="2">
        <v>0</v>
      </c>
      <c r="Z147" s="2">
        <v>0</v>
      </c>
      <c r="AA147" s="2">
        <v>200</v>
      </c>
      <c r="AB147" s="2">
        <v>0</v>
      </c>
      <c r="AC147" s="2">
        <v>0</v>
      </c>
      <c r="AD147" s="2">
        <v>0</v>
      </c>
      <c r="AE147" s="2">
        <v>0</v>
      </c>
      <c r="AF147" s="2">
        <v>220399</v>
      </c>
      <c r="AG147" s="2">
        <v>10050</v>
      </c>
      <c r="AH147" s="2">
        <v>0</v>
      </c>
      <c r="AI147" s="2">
        <v>0</v>
      </c>
      <c r="AJ147" s="2">
        <v>0</v>
      </c>
      <c r="AK147" s="2">
        <v>0</v>
      </c>
      <c r="AL147" s="2">
        <v>0</v>
      </c>
      <c r="AM147" s="2">
        <v>0</v>
      </c>
      <c r="AN147" s="2">
        <v>0</v>
      </c>
      <c r="AO147" s="2">
        <v>0</v>
      </c>
      <c r="AP147" s="2">
        <v>0</v>
      </c>
      <c r="AQ147" s="2">
        <v>0</v>
      </c>
      <c r="AR147" s="2">
        <v>0</v>
      </c>
      <c r="AS147" s="2">
        <v>1464</v>
      </c>
      <c r="AT147" s="2">
        <v>11514</v>
      </c>
      <c r="AU147" s="2">
        <v>0</v>
      </c>
      <c r="AV147" s="2">
        <v>0</v>
      </c>
      <c r="AW147" s="2">
        <v>0</v>
      </c>
      <c r="AX147" s="2">
        <v>0</v>
      </c>
      <c r="AZ147" s="29">
        <f t="shared" si="2"/>
        <v>0</v>
      </c>
      <c r="BA147" s="131">
        <v>20000</v>
      </c>
      <c r="BD147" s="2" t="s">
        <v>490</v>
      </c>
      <c r="BF147" s="130"/>
    </row>
    <row r="148" spans="1:58" ht="15.75">
      <c r="A148" s="20" t="s">
        <v>514</v>
      </c>
      <c r="B148" s="20" t="s">
        <v>588</v>
      </c>
      <c r="D148" s="2">
        <v>0</v>
      </c>
      <c r="E148" s="2">
        <v>0</v>
      </c>
      <c r="F148" s="2">
        <v>0</v>
      </c>
      <c r="G148" s="2">
        <v>0</v>
      </c>
      <c r="H148" s="2">
        <v>0</v>
      </c>
      <c r="I148" s="2">
        <v>0</v>
      </c>
      <c r="J148" s="2">
        <v>0</v>
      </c>
      <c r="K148" s="2">
        <v>0</v>
      </c>
      <c r="L148" s="2">
        <v>0</v>
      </c>
      <c r="M148" s="2">
        <v>0</v>
      </c>
      <c r="N148" s="2">
        <v>0</v>
      </c>
      <c r="O148" s="2">
        <v>0</v>
      </c>
      <c r="P148" s="2">
        <v>10000</v>
      </c>
      <c r="Q148" s="2">
        <v>0</v>
      </c>
      <c r="R148" s="2">
        <v>0</v>
      </c>
      <c r="S148" s="2">
        <v>0</v>
      </c>
      <c r="T148" s="2">
        <v>10000</v>
      </c>
      <c r="U148" s="2">
        <v>116778</v>
      </c>
      <c r="V148" s="2">
        <v>23700</v>
      </c>
      <c r="W148" s="2">
        <v>0</v>
      </c>
      <c r="X148" s="2">
        <v>0</v>
      </c>
      <c r="Y148" s="2">
        <v>0</v>
      </c>
      <c r="Z148" s="2">
        <v>0</v>
      </c>
      <c r="AA148" s="2">
        <v>0</v>
      </c>
      <c r="AB148" s="2">
        <v>3000</v>
      </c>
      <c r="AC148" s="2">
        <v>5</v>
      </c>
      <c r="AD148" s="2">
        <v>16500</v>
      </c>
      <c r="AE148" s="2">
        <v>0</v>
      </c>
      <c r="AF148" s="2">
        <v>159983</v>
      </c>
      <c r="AG148" s="2">
        <v>30000</v>
      </c>
      <c r="AH148" s="2">
        <v>5000</v>
      </c>
      <c r="AI148" s="2">
        <v>0</v>
      </c>
      <c r="AJ148" s="2">
        <v>0</v>
      </c>
      <c r="AK148" s="2">
        <v>0</v>
      </c>
      <c r="AL148" s="2">
        <v>0</v>
      </c>
      <c r="AM148" s="2">
        <v>0</v>
      </c>
      <c r="AN148" s="2">
        <v>0</v>
      </c>
      <c r="AO148" s="2">
        <v>0</v>
      </c>
      <c r="AP148" s="2">
        <v>0</v>
      </c>
      <c r="AQ148" s="2">
        <v>0</v>
      </c>
      <c r="AR148" s="2">
        <v>20000</v>
      </c>
      <c r="AS148" s="2">
        <v>236</v>
      </c>
      <c r="AT148" s="2">
        <v>55236</v>
      </c>
      <c r="AU148" s="2">
        <v>3200</v>
      </c>
      <c r="AV148" s="2">
        <v>0</v>
      </c>
      <c r="AW148" s="2">
        <v>0</v>
      </c>
      <c r="AX148" s="2">
        <v>0</v>
      </c>
      <c r="AZ148" s="29">
        <f t="shared" si="2"/>
        <v>0</v>
      </c>
      <c r="BA148" s="131">
        <v>20000</v>
      </c>
      <c r="BD148" s="2" t="s">
        <v>514</v>
      </c>
      <c r="BF148" s="130"/>
    </row>
    <row r="149" spans="1:58" ht="15.75">
      <c r="A149" s="20" t="s">
        <v>516</v>
      </c>
      <c r="B149" s="20" t="s">
        <v>589</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970369</v>
      </c>
      <c r="V149" s="2">
        <v>8500</v>
      </c>
      <c r="W149" s="2">
        <v>0</v>
      </c>
      <c r="X149" s="2">
        <v>893</v>
      </c>
      <c r="Y149" s="2">
        <v>0</v>
      </c>
      <c r="Z149" s="2">
        <v>0</v>
      </c>
      <c r="AA149" s="2">
        <v>0</v>
      </c>
      <c r="AB149" s="2">
        <v>500</v>
      </c>
      <c r="AC149" s="2">
        <v>0</v>
      </c>
      <c r="AD149" s="2">
        <v>0</v>
      </c>
      <c r="AE149" s="2">
        <v>0</v>
      </c>
      <c r="AF149" s="2">
        <v>980262</v>
      </c>
      <c r="AG149" s="2">
        <v>10004</v>
      </c>
      <c r="AH149" s="2">
        <v>0</v>
      </c>
      <c r="AI149" s="2">
        <v>38600</v>
      </c>
      <c r="AJ149" s="2">
        <v>0</v>
      </c>
      <c r="AK149" s="2">
        <v>0</v>
      </c>
      <c r="AL149" s="2">
        <v>0</v>
      </c>
      <c r="AM149" s="2">
        <v>0</v>
      </c>
      <c r="AN149" s="2">
        <v>0</v>
      </c>
      <c r="AO149" s="2">
        <v>0</v>
      </c>
      <c r="AP149" s="2">
        <v>0</v>
      </c>
      <c r="AQ149" s="2">
        <v>0</v>
      </c>
      <c r="AR149" s="2">
        <v>31900</v>
      </c>
      <c r="AS149" s="2">
        <v>0</v>
      </c>
      <c r="AT149" s="2">
        <v>80504</v>
      </c>
      <c r="AU149" s="2">
        <v>0</v>
      </c>
      <c r="AV149" s="2">
        <v>0</v>
      </c>
      <c r="AW149" s="2">
        <v>0</v>
      </c>
      <c r="AX149" s="2">
        <v>0</v>
      </c>
      <c r="AZ149" s="29">
        <f t="shared" si="2"/>
        <v>0</v>
      </c>
      <c r="BA149" s="131">
        <v>30000</v>
      </c>
      <c r="BD149" s="2" t="s">
        <v>516</v>
      </c>
      <c r="BF149" s="130"/>
    </row>
    <row r="150" spans="1:58" ht="15.75">
      <c r="A150" s="20" t="s">
        <v>429</v>
      </c>
      <c r="B150" s="20" t="s">
        <v>590</v>
      </c>
      <c r="D150" s="2">
        <v>0</v>
      </c>
      <c r="E150" s="2">
        <v>0</v>
      </c>
      <c r="F150" s="2">
        <v>0</v>
      </c>
      <c r="G150" s="2">
        <v>0</v>
      </c>
      <c r="H150" s="2">
        <v>0</v>
      </c>
      <c r="I150" s="2">
        <v>0</v>
      </c>
      <c r="J150" s="2">
        <v>0</v>
      </c>
      <c r="K150" s="2">
        <v>0</v>
      </c>
      <c r="L150" s="2">
        <v>10943</v>
      </c>
      <c r="M150" s="2">
        <v>0</v>
      </c>
      <c r="N150" s="2">
        <v>0</v>
      </c>
      <c r="O150" s="2">
        <v>0</v>
      </c>
      <c r="P150" s="2">
        <v>49000</v>
      </c>
      <c r="Q150" s="2">
        <v>751</v>
      </c>
      <c r="R150" s="2">
        <v>0</v>
      </c>
      <c r="S150" s="2">
        <v>0</v>
      </c>
      <c r="T150" s="2">
        <v>60694</v>
      </c>
      <c r="U150" s="2">
        <v>370938</v>
      </c>
      <c r="V150" s="2">
        <v>35000</v>
      </c>
      <c r="W150" s="2">
        <v>0</v>
      </c>
      <c r="X150" s="2">
        <v>0</v>
      </c>
      <c r="Y150" s="2">
        <v>0</v>
      </c>
      <c r="Z150" s="2">
        <v>0</v>
      </c>
      <c r="AA150" s="2">
        <v>0</v>
      </c>
      <c r="AB150" s="2">
        <v>0</v>
      </c>
      <c r="AC150" s="2">
        <v>0</v>
      </c>
      <c r="AD150" s="2">
        <v>5000</v>
      </c>
      <c r="AE150" s="2">
        <v>0</v>
      </c>
      <c r="AF150" s="2">
        <v>410938</v>
      </c>
      <c r="AG150" s="2">
        <v>8511</v>
      </c>
      <c r="AH150" s="2">
        <v>0</v>
      </c>
      <c r="AI150" s="2">
        <v>0</v>
      </c>
      <c r="AJ150" s="2">
        <v>0</v>
      </c>
      <c r="AK150" s="2">
        <v>0</v>
      </c>
      <c r="AL150" s="2">
        <v>0</v>
      </c>
      <c r="AM150" s="2">
        <v>0</v>
      </c>
      <c r="AN150" s="2">
        <v>0</v>
      </c>
      <c r="AO150" s="2">
        <v>0</v>
      </c>
      <c r="AP150" s="2">
        <v>0</v>
      </c>
      <c r="AQ150" s="2">
        <v>0</v>
      </c>
      <c r="AR150" s="2">
        <v>0</v>
      </c>
      <c r="AS150" s="2">
        <v>0</v>
      </c>
      <c r="AT150" s="2">
        <v>8511</v>
      </c>
      <c r="AU150" s="2">
        <v>0</v>
      </c>
      <c r="AV150" s="2">
        <v>8936</v>
      </c>
      <c r="AW150" s="2">
        <v>0</v>
      </c>
      <c r="AX150" s="2">
        <v>0</v>
      </c>
      <c r="AZ150" s="29">
        <f t="shared" si="2"/>
        <v>178.72</v>
      </c>
      <c r="BA150" s="131">
        <v>20000</v>
      </c>
      <c r="BD150" s="2" t="s">
        <v>429</v>
      </c>
      <c r="BF150" s="130"/>
    </row>
    <row r="151" spans="1:58" ht="15.75">
      <c r="A151" s="20" t="s">
        <v>498</v>
      </c>
      <c r="B151" s="20" t="s">
        <v>591</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0</v>
      </c>
      <c r="U151" s="2">
        <v>35000</v>
      </c>
      <c r="V151" s="2">
        <v>0</v>
      </c>
      <c r="W151" s="2">
        <v>0</v>
      </c>
      <c r="X151" s="2">
        <v>0</v>
      </c>
      <c r="Y151" s="2">
        <v>0</v>
      </c>
      <c r="Z151" s="2">
        <v>0</v>
      </c>
      <c r="AA151" s="2">
        <v>0</v>
      </c>
      <c r="AB151" s="2">
        <v>0</v>
      </c>
      <c r="AC151" s="2">
        <v>0</v>
      </c>
      <c r="AD151" s="2">
        <v>0</v>
      </c>
      <c r="AE151" s="2">
        <v>0</v>
      </c>
      <c r="AF151" s="2">
        <v>35000</v>
      </c>
      <c r="AG151" s="2">
        <v>17090</v>
      </c>
      <c r="AH151" s="2">
        <v>0</v>
      </c>
      <c r="AI151" s="2">
        <v>0</v>
      </c>
      <c r="AJ151" s="2">
        <v>10000</v>
      </c>
      <c r="AK151" s="2">
        <v>0</v>
      </c>
      <c r="AL151" s="2">
        <v>0</v>
      </c>
      <c r="AM151" s="2">
        <v>0</v>
      </c>
      <c r="AN151" s="2">
        <v>0</v>
      </c>
      <c r="AO151" s="2">
        <v>1000</v>
      </c>
      <c r="AP151" s="2">
        <v>0</v>
      </c>
      <c r="AQ151" s="2">
        <v>0</v>
      </c>
      <c r="AR151" s="2">
        <v>2000</v>
      </c>
      <c r="AS151" s="2">
        <v>0</v>
      </c>
      <c r="AT151" s="2">
        <v>30090</v>
      </c>
      <c r="AU151" s="2">
        <v>5900</v>
      </c>
      <c r="AV151" s="2">
        <v>191311</v>
      </c>
      <c r="AW151" s="2">
        <v>0</v>
      </c>
      <c r="AX151" s="2">
        <v>0</v>
      </c>
      <c r="AZ151" s="29">
        <f t="shared" si="2"/>
        <v>3826.2200000000003</v>
      </c>
      <c r="BA151" s="131">
        <v>20000</v>
      </c>
      <c r="BD151" s="2" t="s">
        <v>498</v>
      </c>
      <c r="BF151" s="130"/>
    </row>
    <row r="152" spans="1:58" ht="15.75">
      <c r="A152" s="20" t="s">
        <v>511</v>
      </c>
      <c r="B152" s="20" t="s">
        <v>592</v>
      </c>
      <c r="D152" s="2">
        <v>0</v>
      </c>
      <c r="E152" s="2">
        <v>0</v>
      </c>
      <c r="F152" s="2">
        <v>0</v>
      </c>
      <c r="G152" s="2">
        <v>0</v>
      </c>
      <c r="H152" s="2">
        <v>0</v>
      </c>
      <c r="I152" s="2">
        <v>0</v>
      </c>
      <c r="J152" s="2">
        <v>0</v>
      </c>
      <c r="K152" s="2">
        <v>0</v>
      </c>
      <c r="L152" s="2">
        <v>0</v>
      </c>
      <c r="M152" s="2">
        <v>0</v>
      </c>
      <c r="N152" s="2">
        <v>0</v>
      </c>
      <c r="O152" s="2">
        <v>0</v>
      </c>
      <c r="P152" s="2">
        <v>0</v>
      </c>
      <c r="Q152" s="2">
        <v>0</v>
      </c>
      <c r="R152" s="2">
        <v>0</v>
      </c>
      <c r="S152" s="2">
        <v>0</v>
      </c>
      <c r="T152" s="2">
        <v>0</v>
      </c>
      <c r="U152" s="2">
        <v>31000</v>
      </c>
      <c r="V152" s="2">
        <v>0</v>
      </c>
      <c r="W152" s="2">
        <v>0</v>
      </c>
      <c r="X152" s="2">
        <v>0</v>
      </c>
      <c r="Y152" s="2">
        <v>0</v>
      </c>
      <c r="Z152" s="2">
        <v>0</v>
      </c>
      <c r="AA152" s="2">
        <v>0</v>
      </c>
      <c r="AB152" s="2">
        <v>0</v>
      </c>
      <c r="AC152" s="2">
        <v>0</v>
      </c>
      <c r="AD152" s="2">
        <v>0</v>
      </c>
      <c r="AE152" s="2">
        <v>0</v>
      </c>
      <c r="AF152" s="2">
        <v>31000</v>
      </c>
      <c r="AG152" s="2">
        <v>3385</v>
      </c>
      <c r="AH152" s="2">
        <v>0</v>
      </c>
      <c r="AI152" s="2">
        <v>0</v>
      </c>
      <c r="AJ152" s="2">
        <v>0</v>
      </c>
      <c r="AK152" s="2">
        <v>0</v>
      </c>
      <c r="AL152" s="2">
        <v>0</v>
      </c>
      <c r="AM152" s="2">
        <v>0</v>
      </c>
      <c r="AN152" s="2">
        <v>0</v>
      </c>
      <c r="AO152" s="2">
        <v>0</v>
      </c>
      <c r="AP152" s="2">
        <v>0</v>
      </c>
      <c r="AQ152" s="2">
        <v>0</v>
      </c>
      <c r="AR152" s="2">
        <v>0</v>
      </c>
      <c r="AS152" s="2">
        <v>0</v>
      </c>
      <c r="AT152" s="2">
        <v>3385</v>
      </c>
      <c r="AU152" s="2">
        <v>0</v>
      </c>
      <c r="AV152" s="2">
        <v>298483</v>
      </c>
      <c r="AW152" s="2">
        <v>0</v>
      </c>
      <c r="AX152" s="2">
        <v>0</v>
      </c>
      <c r="AZ152" s="29">
        <f t="shared" si="2"/>
        <v>5969.66</v>
      </c>
      <c r="BA152" s="131">
        <v>20000</v>
      </c>
      <c r="BD152" s="2" t="s">
        <v>511</v>
      </c>
      <c r="BF152" s="130"/>
    </row>
    <row r="153" spans="1:58" ht="15.75">
      <c r="A153" s="20" t="s">
        <v>435</v>
      </c>
      <c r="B153" s="20" t="s">
        <v>593</v>
      </c>
      <c r="D153" s="2">
        <v>0</v>
      </c>
      <c r="E153" s="2">
        <v>0</v>
      </c>
      <c r="F153" s="2">
        <v>0</v>
      </c>
      <c r="G153" s="2">
        <v>0</v>
      </c>
      <c r="H153" s="2">
        <v>0</v>
      </c>
      <c r="I153" s="2">
        <v>0</v>
      </c>
      <c r="J153" s="2">
        <v>0</v>
      </c>
      <c r="K153" s="2">
        <v>0</v>
      </c>
      <c r="L153" s="2">
        <v>0</v>
      </c>
      <c r="M153" s="2">
        <v>0</v>
      </c>
      <c r="N153" s="2">
        <v>0</v>
      </c>
      <c r="O153" s="2">
        <v>0</v>
      </c>
      <c r="P153" s="2">
        <v>0</v>
      </c>
      <c r="Q153" s="2">
        <v>0</v>
      </c>
      <c r="R153" s="2">
        <v>0</v>
      </c>
      <c r="S153" s="2">
        <v>0</v>
      </c>
      <c r="T153" s="2">
        <v>0</v>
      </c>
      <c r="U153" s="2">
        <v>144509</v>
      </c>
      <c r="V153" s="2">
        <v>0</v>
      </c>
      <c r="W153" s="2">
        <v>0</v>
      </c>
      <c r="X153" s="2">
        <v>0</v>
      </c>
      <c r="Y153" s="2">
        <v>0</v>
      </c>
      <c r="Z153" s="2">
        <v>0</v>
      </c>
      <c r="AA153" s="2">
        <v>0</v>
      </c>
      <c r="AB153" s="2">
        <v>0</v>
      </c>
      <c r="AC153" s="2">
        <v>0</v>
      </c>
      <c r="AD153" s="2">
        <v>0</v>
      </c>
      <c r="AE153" s="2">
        <v>0</v>
      </c>
      <c r="AF153" s="2">
        <v>144509</v>
      </c>
      <c r="AG153" s="2">
        <v>5811</v>
      </c>
      <c r="AH153" s="2">
        <v>1500</v>
      </c>
      <c r="AI153" s="2">
        <v>0</v>
      </c>
      <c r="AJ153" s="2">
        <v>0</v>
      </c>
      <c r="AK153" s="2">
        <v>0</v>
      </c>
      <c r="AL153" s="2">
        <v>0</v>
      </c>
      <c r="AM153" s="2">
        <v>0</v>
      </c>
      <c r="AN153" s="2">
        <v>0</v>
      </c>
      <c r="AO153" s="2">
        <v>0</v>
      </c>
      <c r="AP153" s="2">
        <v>0</v>
      </c>
      <c r="AQ153" s="2">
        <v>0</v>
      </c>
      <c r="AR153" s="2">
        <v>25200</v>
      </c>
      <c r="AS153" s="2">
        <v>0</v>
      </c>
      <c r="AT153" s="2">
        <v>32511</v>
      </c>
      <c r="AU153" s="2">
        <v>0</v>
      </c>
      <c r="AV153" s="2">
        <v>0</v>
      </c>
      <c r="AW153" s="2">
        <v>0</v>
      </c>
      <c r="AX153" s="2">
        <v>0</v>
      </c>
      <c r="AZ153" s="29">
        <f t="shared" si="2"/>
        <v>0</v>
      </c>
      <c r="BA153" s="131">
        <v>20000</v>
      </c>
      <c r="BD153" s="2" t="s">
        <v>435</v>
      </c>
      <c r="BF153" s="130"/>
    </row>
    <row r="154" spans="1:58" ht="15.75">
      <c r="A154" s="20" t="s">
        <v>506</v>
      </c>
      <c r="B154" s="20" t="s">
        <v>594</v>
      </c>
      <c r="D154" s="2">
        <v>0</v>
      </c>
      <c r="E154" s="2">
        <v>0</v>
      </c>
      <c r="F154" s="2">
        <v>0</v>
      </c>
      <c r="G154" s="2">
        <v>0</v>
      </c>
      <c r="H154" s="2">
        <v>0</v>
      </c>
      <c r="I154" s="2">
        <v>0</v>
      </c>
      <c r="J154" s="2">
        <v>0</v>
      </c>
      <c r="K154" s="2">
        <v>0</v>
      </c>
      <c r="L154" s="2">
        <v>0</v>
      </c>
      <c r="M154" s="2">
        <v>0</v>
      </c>
      <c r="N154" s="2">
        <v>0</v>
      </c>
      <c r="O154" s="2">
        <v>0</v>
      </c>
      <c r="P154" s="2">
        <v>0</v>
      </c>
      <c r="Q154" s="2">
        <v>0</v>
      </c>
      <c r="R154" s="2">
        <v>0</v>
      </c>
      <c r="S154" s="2">
        <v>0</v>
      </c>
      <c r="T154" s="2">
        <v>0</v>
      </c>
      <c r="U154" s="2">
        <v>39592</v>
      </c>
      <c r="V154" s="2">
        <v>1500</v>
      </c>
      <c r="W154" s="2">
        <v>0</v>
      </c>
      <c r="X154" s="2">
        <v>0</v>
      </c>
      <c r="Y154" s="2">
        <v>0</v>
      </c>
      <c r="Z154" s="2">
        <v>0</v>
      </c>
      <c r="AA154" s="2">
        <v>0</v>
      </c>
      <c r="AB154" s="2">
        <v>0</v>
      </c>
      <c r="AC154" s="2">
        <v>0</v>
      </c>
      <c r="AD154" s="2">
        <v>0</v>
      </c>
      <c r="AE154" s="2">
        <v>0</v>
      </c>
      <c r="AF154" s="2">
        <v>41092</v>
      </c>
      <c r="AG154" s="2">
        <v>0</v>
      </c>
      <c r="AH154" s="2">
        <v>0</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0</v>
      </c>
      <c r="AZ154" s="29">
        <f t="shared" si="2"/>
        <v>0</v>
      </c>
      <c r="BA154" s="131">
        <v>20000</v>
      </c>
      <c r="BD154" s="20" t="s">
        <v>506</v>
      </c>
      <c r="BF154" s="130"/>
    </row>
    <row r="155" spans="1:58" ht="15.75">
      <c r="A155" s="20" t="s">
        <v>443</v>
      </c>
      <c r="B155" s="20" t="s">
        <v>595</v>
      </c>
      <c r="D155" s="2">
        <v>0</v>
      </c>
      <c r="E155" s="2">
        <v>0</v>
      </c>
      <c r="F155" s="2">
        <v>0</v>
      </c>
      <c r="G155" s="2">
        <v>0</v>
      </c>
      <c r="H155" s="2">
        <v>0</v>
      </c>
      <c r="I155" s="2">
        <v>0</v>
      </c>
      <c r="J155" s="2">
        <v>0</v>
      </c>
      <c r="K155" s="2">
        <v>0</v>
      </c>
      <c r="L155" s="2">
        <v>0</v>
      </c>
      <c r="M155" s="2">
        <v>0</v>
      </c>
      <c r="N155" s="2">
        <v>0</v>
      </c>
      <c r="O155" s="2">
        <v>460</v>
      </c>
      <c r="P155" s="2">
        <v>0</v>
      </c>
      <c r="Q155" s="2">
        <v>0</v>
      </c>
      <c r="R155" s="2">
        <v>0</v>
      </c>
      <c r="S155" s="2">
        <v>0</v>
      </c>
      <c r="T155" s="2">
        <v>460</v>
      </c>
      <c r="U155" s="2">
        <v>232411</v>
      </c>
      <c r="V155" s="2">
        <v>0</v>
      </c>
      <c r="W155" s="2">
        <v>0</v>
      </c>
      <c r="X155" s="2">
        <v>0</v>
      </c>
      <c r="Y155" s="2">
        <v>0</v>
      </c>
      <c r="Z155" s="2">
        <v>0</v>
      </c>
      <c r="AA155" s="2">
        <v>135</v>
      </c>
      <c r="AB155" s="2">
        <v>0</v>
      </c>
      <c r="AC155" s="2">
        <v>0</v>
      </c>
      <c r="AD155" s="2">
        <v>18950</v>
      </c>
      <c r="AE155" s="2">
        <v>0</v>
      </c>
      <c r="AF155" s="2">
        <v>251496</v>
      </c>
      <c r="AG155" s="2">
        <v>2181</v>
      </c>
      <c r="AH155" s="2">
        <v>4300</v>
      </c>
      <c r="AI155" s="2">
        <v>0</v>
      </c>
      <c r="AJ155" s="2">
        <v>2800</v>
      </c>
      <c r="AK155" s="2">
        <v>0</v>
      </c>
      <c r="AL155" s="2">
        <v>0</v>
      </c>
      <c r="AM155" s="2">
        <v>0</v>
      </c>
      <c r="AN155" s="2">
        <v>0</v>
      </c>
      <c r="AO155" s="2">
        <v>0</v>
      </c>
      <c r="AP155" s="2">
        <v>0</v>
      </c>
      <c r="AQ155" s="2">
        <v>0</v>
      </c>
      <c r="AR155" s="2">
        <v>3000</v>
      </c>
      <c r="AS155" s="2">
        <v>0</v>
      </c>
      <c r="AT155" s="2">
        <v>12281</v>
      </c>
      <c r="AU155" s="2">
        <v>10800</v>
      </c>
      <c r="AV155" s="2">
        <v>0</v>
      </c>
      <c r="AW155" s="2">
        <v>0</v>
      </c>
      <c r="AX155" s="2">
        <v>0</v>
      </c>
      <c r="AZ155" s="29">
        <f t="shared" si="2"/>
        <v>0</v>
      </c>
      <c r="BA155" s="131">
        <v>20000</v>
      </c>
      <c r="BD155" s="2" t="s">
        <v>443</v>
      </c>
      <c r="BF155" s="130"/>
    </row>
    <row r="156" spans="1:58" ht="15.75">
      <c r="A156" s="20" t="s">
        <v>416</v>
      </c>
      <c r="B156" s="20" t="s">
        <v>596</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108538</v>
      </c>
      <c r="V156" s="2">
        <v>5750</v>
      </c>
      <c r="W156" s="2">
        <v>0</v>
      </c>
      <c r="X156" s="2">
        <v>0</v>
      </c>
      <c r="Y156" s="2">
        <v>0</v>
      </c>
      <c r="Z156" s="2">
        <v>0</v>
      </c>
      <c r="AA156" s="2">
        <v>0</v>
      </c>
      <c r="AB156" s="2">
        <v>0</v>
      </c>
      <c r="AC156" s="2">
        <v>0</v>
      </c>
      <c r="AD156" s="2">
        <v>0</v>
      </c>
      <c r="AE156" s="2">
        <v>0</v>
      </c>
      <c r="AF156" s="2">
        <v>114288</v>
      </c>
      <c r="AG156" s="2">
        <v>11838</v>
      </c>
      <c r="AH156" s="2">
        <v>8000</v>
      </c>
      <c r="AI156" s="2">
        <v>0</v>
      </c>
      <c r="AJ156" s="2">
        <v>0</v>
      </c>
      <c r="AK156" s="2">
        <v>0</v>
      </c>
      <c r="AL156" s="2">
        <v>0</v>
      </c>
      <c r="AM156" s="2">
        <v>0</v>
      </c>
      <c r="AN156" s="2">
        <v>0</v>
      </c>
      <c r="AO156" s="2">
        <v>0</v>
      </c>
      <c r="AP156" s="2">
        <v>0</v>
      </c>
      <c r="AQ156" s="2">
        <v>0</v>
      </c>
      <c r="AR156" s="2">
        <v>0</v>
      </c>
      <c r="AS156" s="2">
        <v>0</v>
      </c>
      <c r="AT156" s="2">
        <v>19838</v>
      </c>
      <c r="AU156" s="2">
        <v>0</v>
      </c>
      <c r="AV156" s="2">
        <v>0</v>
      </c>
      <c r="AW156" s="2">
        <v>0</v>
      </c>
      <c r="AX156" s="2">
        <v>0</v>
      </c>
      <c r="AZ156" s="29">
        <f t="shared" si="2"/>
        <v>0</v>
      </c>
      <c r="BA156" s="131">
        <v>20000</v>
      </c>
      <c r="BD156" s="2" t="s">
        <v>416</v>
      </c>
      <c r="BF156" s="130"/>
    </row>
    <row r="157" spans="1:58" ht="15.75">
      <c r="A157" s="20" t="s">
        <v>488</v>
      </c>
      <c r="B157" s="20" t="s">
        <v>597</v>
      </c>
      <c r="D157" s="2">
        <v>0</v>
      </c>
      <c r="E157" s="2">
        <v>0</v>
      </c>
      <c r="F157" s="2">
        <v>0</v>
      </c>
      <c r="G157" s="2">
        <v>0</v>
      </c>
      <c r="H157" s="2">
        <v>40000</v>
      </c>
      <c r="I157" s="2">
        <v>40000</v>
      </c>
      <c r="J157" s="2">
        <v>0</v>
      </c>
      <c r="K157" s="2">
        <v>0</v>
      </c>
      <c r="L157" s="2">
        <v>0</v>
      </c>
      <c r="M157" s="2">
        <v>0</v>
      </c>
      <c r="N157" s="2">
        <v>0</v>
      </c>
      <c r="O157" s="2">
        <v>0</v>
      </c>
      <c r="P157" s="2">
        <v>0</v>
      </c>
      <c r="Q157" s="2">
        <v>0</v>
      </c>
      <c r="R157" s="2">
        <v>0</v>
      </c>
      <c r="S157" s="2">
        <v>0</v>
      </c>
      <c r="T157" s="2">
        <v>0</v>
      </c>
      <c r="U157" s="2">
        <v>72437</v>
      </c>
      <c r="V157" s="2">
        <v>30000</v>
      </c>
      <c r="W157" s="2">
        <v>0</v>
      </c>
      <c r="X157" s="2">
        <v>0</v>
      </c>
      <c r="Y157" s="2">
        <v>0</v>
      </c>
      <c r="Z157" s="2">
        <v>0</v>
      </c>
      <c r="AA157" s="2">
        <v>0</v>
      </c>
      <c r="AB157" s="2">
        <v>62975</v>
      </c>
      <c r="AC157" s="2">
        <v>0</v>
      </c>
      <c r="AD157" s="2">
        <v>5000</v>
      </c>
      <c r="AE157" s="2">
        <v>0</v>
      </c>
      <c r="AF157" s="2">
        <v>170412</v>
      </c>
      <c r="AG157" s="2">
        <v>0</v>
      </c>
      <c r="AH157" s="2">
        <v>0</v>
      </c>
      <c r="AI157" s="2">
        <v>0</v>
      </c>
      <c r="AJ157" s="2">
        <v>0</v>
      </c>
      <c r="AK157" s="2">
        <v>0</v>
      </c>
      <c r="AL157" s="2">
        <v>0</v>
      </c>
      <c r="AM157" s="2">
        <v>0</v>
      </c>
      <c r="AN157" s="2">
        <v>0</v>
      </c>
      <c r="AO157" s="2">
        <v>0</v>
      </c>
      <c r="AP157" s="2">
        <v>0</v>
      </c>
      <c r="AQ157" s="2">
        <v>0</v>
      </c>
      <c r="AR157" s="2">
        <v>0</v>
      </c>
      <c r="AS157" s="2">
        <v>0</v>
      </c>
      <c r="AT157" s="2">
        <v>0</v>
      </c>
      <c r="AU157" s="2">
        <v>0</v>
      </c>
      <c r="AV157" s="2">
        <v>0</v>
      </c>
      <c r="AW157" s="2">
        <v>0</v>
      </c>
      <c r="AX157" s="2">
        <v>0</v>
      </c>
      <c r="AZ157" s="29">
        <f t="shared" si="2"/>
        <v>0</v>
      </c>
      <c r="BA157" s="131">
        <v>20000</v>
      </c>
      <c r="BD157" s="2" t="s">
        <v>488</v>
      </c>
      <c r="BF157" s="130"/>
    </row>
    <row r="158" spans="1:58" ht="15.75">
      <c r="A158" s="20" t="s">
        <v>406</v>
      </c>
      <c r="B158" s="20" t="s">
        <v>598</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77617</v>
      </c>
      <c r="V158" s="2">
        <v>0</v>
      </c>
      <c r="W158" s="2">
        <v>0</v>
      </c>
      <c r="X158" s="2">
        <v>0</v>
      </c>
      <c r="Y158" s="2">
        <v>0</v>
      </c>
      <c r="Z158" s="2">
        <v>0</v>
      </c>
      <c r="AA158" s="2">
        <v>0</v>
      </c>
      <c r="AB158" s="2">
        <v>0</v>
      </c>
      <c r="AC158" s="2">
        <v>0</v>
      </c>
      <c r="AD158" s="2">
        <v>19250</v>
      </c>
      <c r="AE158" s="2">
        <v>0</v>
      </c>
      <c r="AF158" s="2">
        <v>96867</v>
      </c>
      <c r="AG158" s="2">
        <v>6835</v>
      </c>
      <c r="AH158" s="2">
        <v>5000</v>
      </c>
      <c r="AI158" s="2">
        <v>0</v>
      </c>
      <c r="AJ158" s="2">
        <v>0</v>
      </c>
      <c r="AK158" s="2">
        <v>0</v>
      </c>
      <c r="AL158" s="2">
        <v>0</v>
      </c>
      <c r="AM158" s="2">
        <v>0</v>
      </c>
      <c r="AN158" s="2">
        <v>0</v>
      </c>
      <c r="AO158" s="2">
        <v>0</v>
      </c>
      <c r="AP158" s="2">
        <v>0</v>
      </c>
      <c r="AQ158" s="2">
        <v>0</v>
      </c>
      <c r="AR158" s="2">
        <v>29000</v>
      </c>
      <c r="AS158" s="2">
        <v>0</v>
      </c>
      <c r="AT158" s="2">
        <v>40835</v>
      </c>
      <c r="AU158" s="2">
        <v>0</v>
      </c>
      <c r="AV158" s="2">
        <v>0</v>
      </c>
      <c r="AW158" s="2">
        <v>0</v>
      </c>
      <c r="AX158" s="2">
        <v>0</v>
      </c>
      <c r="AZ158" s="29">
        <f t="shared" si="2"/>
        <v>0</v>
      </c>
      <c r="BA158" s="131">
        <v>20000</v>
      </c>
      <c r="BD158" s="2" t="s">
        <v>406</v>
      </c>
      <c r="BF158" s="130"/>
    </row>
    <row r="159" spans="1:58" ht="15.75">
      <c r="A159" s="20" t="s">
        <v>409</v>
      </c>
      <c r="B159" s="20" t="s">
        <v>599</v>
      </c>
      <c r="D159" s="2">
        <v>0</v>
      </c>
      <c r="E159" s="2">
        <v>0</v>
      </c>
      <c r="F159" s="2">
        <v>0</v>
      </c>
      <c r="G159" s="2">
        <v>0</v>
      </c>
      <c r="H159" s="2">
        <v>0</v>
      </c>
      <c r="I159" s="2">
        <v>0</v>
      </c>
      <c r="J159" s="2">
        <v>0</v>
      </c>
      <c r="K159" s="2">
        <v>0</v>
      </c>
      <c r="L159" s="2">
        <v>0</v>
      </c>
      <c r="M159" s="2">
        <v>0</v>
      </c>
      <c r="N159" s="2">
        <v>0</v>
      </c>
      <c r="O159" s="2">
        <v>0</v>
      </c>
      <c r="P159" s="2">
        <v>0</v>
      </c>
      <c r="Q159" s="2">
        <v>0</v>
      </c>
      <c r="R159" s="2">
        <v>0</v>
      </c>
      <c r="S159" s="2">
        <v>0</v>
      </c>
      <c r="T159" s="2">
        <v>0</v>
      </c>
      <c r="U159" s="2">
        <v>246666</v>
      </c>
      <c r="V159" s="2">
        <v>40000</v>
      </c>
      <c r="W159" s="2">
        <v>0</v>
      </c>
      <c r="X159" s="2">
        <v>0</v>
      </c>
      <c r="Y159" s="2">
        <v>0</v>
      </c>
      <c r="Z159" s="2">
        <v>210</v>
      </c>
      <c r="AA159" s="2">
        <v>0</v>
      </c>
      <c r="AB159" s="2">
        <v>0</v>
      </c>
      <c r="AC159" s="2">
        <v>0</v>
      </c>
      <c r="AD159" s="2">
        <v>0</v>
      </c>
      <c r="AE159" s="2">
        <v>0</v>
      </c>
      <c r="AF159" s="2">
        <v>286876</v>
      </c>
      <c r="AG159" s="2">
        <v>12800</v>
      </c>
      <c r="AH159" s="2">
        <v>8000</v>
      </c>
      <c r="AI159" s="2">
        <v>11390</v>
      </c>
      <c r="AJ159" s="2">
        <v>9920</v>
      </c>
      <c r="AK159" s="2">
        <v>19221</v>
      </c>
      <c r="AL159" s="2">
        <v>16000</v>
      </c>
      <c r="AM159" s="2">
        <v>0</v>
      </c>
      <c r="AN159" s="2">
        <v>0</v>
      </c>
      <c r="AO159" s="2">
        <v>57074</v>
      </c>
      <c r="AP159" s="2">
        <v>0</v>
      </c>
      <c r="AQ159" s="2">
        <v>0</v>
      </c>
      <c r="AR159" s="2">
        <v>4200</v>
      </c>
      <c r="AS159" s="2">
        <v>0</v>
      </c>
      <c r="AT159" s="2">
        <v>138605</v>
      </c>
      <c r="AU159" s="2">
        <v>0</v>
      </c>
      <c r="AV159" s="2">
        <v>0</v>
      </c>
      <c r="AW159" s="2">
        <v>0</v>
      </c>
      <c r="AX159" s="2">
        <v>0</v>
      </c>
      <c r="AZ159" s="29">
        <f t="shared" si="2"/>
        <v>0</v>
      </c>
      <c r="BA159" s="131">
        <v>20000</v>
      </c>
      <c r="BD159" s="2" t="s">
        <v>409</v>
      </c>
      <c r="BF159" s="130"/>
    </row>
    <row r="160" spans="1:58" ht="15.75">
      <c r="A160" s="20" t="s">
        <v>482</v>
      </c>
      <c r="B160" s="20" t="s">
        <v>600</v>
      </c>
      <c r="D160" s="2">
        <v>0</v>
      </c>
      <c r="E160" s="2">
        <v>0</v>
      </c>
      <c r="F160" s="2">
        <v>0</v>
      </c>
      <c r="G160" s="2">
        <v>0</v>
      </c>
      <c r="H160" s="2">
        <v>0</v>
      </c>
      <c r="I160" s="2">
        <v>0</v>
      </c>
      <c r="J160" s="2">
        <v>0</v>
      </c>
      <c r="K160" s="2">
        <v>0</v>
      </c>
      <c r="L160" s="2">
        <v>0</v>
      </c>
      <c r="M160" s="2">
        <v>0</v>
      </c>
      <c r="N160" s="2">
        <v>0</v>
      </c>
      <c r="O160" s="2">
        <v>0</v>
      </c>
      <c r="P160" s="2">
        <v>4000</v>
      </c>
      <c r="Q160" s="2">
        <v>0</v>
      </c>
      <c r="R160" s="2">
        <v>0</v>
      </c>
      <c r="S160" s="2">
        <v>0</v>
      </c>
      <c r="T160" s="2">
        <v>4000</v>
      </c>
      <c r="U160" s="2">
        <v>57234</v>
      </c>
      <c r="V160" s="2">
        <v>12000</v>
      </c>
      <c r="W160" s="2">
        <v>0</v>
      </c>
      <c r="X160" s="2">
        <v>0</v>
      </c>
      <c r="Y160" s="2">
        <v>0</v>
      </c>
      <c r="Z160" s="2">
        <v>0</v>
      </c>
      <c r="AA160" s="2">
        <v>0</v>
      </c>
      <c r="AB160" s="2">
        <v>0</v>
      </c>
      <c r="AC160" s="2">
        <v>0</v>
      </c>
      <c r="AD160" s="2">
        <v>0</v>
      </c>
      <c r="AE160" s="2">
        <v>0</v>
      </c>
      <c r="AF160" s="2">
        <v>69234</v>
      </c>
      <c r="AG160" s="2">
        <v>265</v>
      </c>
      <c r="AH160" s="2">
        <v>1000</v>
      </c>
      <c r="AI160" s="2">
        <v>0</v>
      </c>
      <c r="AJ160" s="2">
        <v>0</v>
      </c>
      <c r="AK160" s="2">
        <v>0</v>
      </c>
      <c r="AL160" s="2">
        <v>0</v>
      </c>
      <c r="AM160" s="2">
        <v>0</v>
      </c>
      <c r="AN160" s="2">
        <v>0</v>
      </c>
      <c r="AO160" s="2">
        <v>0</v>
      </c>
      <c r="AP160" s="2">
        <v>0</v>
      </c>
      <c r="AQ160" s="2">
        <v>0</v>
      </c>
      <c r="AR160" s="2">
        <v>0</v>
      </c>
      <c r="AS160" s="2">
        <v>0</v>
      </c>
      <c r="AT160" s="2">
        <v>1265</v>
      </c>
      <c r="AU160" s="2">
        <v>0</v>
      </c>
      <c r="AV160" s="2">
        <v>0</v>
      </c>
      <c r="AW160" s="2">
        <v>0</v>
      </c>
      <c r="AX160" s="2">
        <v>0</v>
      </c>
      <c r="AZ160" s="29">
        <f t="shared" si="2"/>
        <v>0</v>
      </c>
      <c r="BA160" s="131">
        <v>20000</v>
      </c>
      <c r="BD160" s="2" t="s">
        <v>482</v>
      </c>
      <c r="BF160" s="130"/>
    </row>
    <row r="161" spans="1:58" ht="15.75">
      <c r="A161" s="20" t="s">
        <v>414</v>
      </c>
      <c r="B161" s="20" t="s">
        <v>601</v>
      </c>
      <c r="D161" s="2">
        <v>0</v>
      </c>
      <c r="E161" s="2">
        <v>0</v>
      </c>
      <c r="F161" s="2">
        <v>0</v>
      </c>
      <c r="G161" s="2">
        <v>0</v>
      </c>
      <c r="H161" s="2">
        <v>0</v>
      </c>
      <c r="I161" s="2">
        <v>0</v>
      </c>
      <c r="J161" s="2">
        <v>0</v>
      </c>
      <c r="K161" s="2">
        <v>0</v>
      </c>
      <c r="L161" s="2">
        <v>7415</v>
      </c>
      <c r="M161" s="2">
        <v>0</v>
      </c>
      <c r="N161" s="2">
        <v>1736</v>
      </c>
      <c r="O161" s="2">
        <v>0</v>
      </c>
      <c r="P161" s="2">
        <v>412</v>
      </c>
      <c r="Q161" s="2">
        <v>1224</v>
      </c>
      <c r="R161" s="2">
        <v>0</v>
      </c>
      <c r="S161" s="2">
        <v>0</v>
      </c>
      <c r="T161" s="2">
        <v>10787</v>
      </c>
      <c r="U161" s="2">
        <v>622826</v>
      </c>
      <c r="V161" s="2">
        <v>0</v>
      </c>
      <c r="W161" s="2">
        <v>0</v>
      </c>
      <c r="X161" s="2">
        <v>1000</v>
      </c>
      <c r="Y161" s="2">
        <v>0</v>
      </c>
      <c r="Z161" s="2">
        <v>774</v>
      </c>
      <c r="AA161" s="2">
        <v>500</v>
      </c>
      <c r="AB161" s="2">
        <v>0</v>
      </c>
      <c r="AC161" s="2">
        <v>0</v>
      </c>
      <c r="AD161" s="2">
        <v>51000</v>
      </c>
      <c r="AE161" s="2">
        <v>0</v>
      </c>
      <c r="AF161" s="2">
        <v>676100</v>
      </c>
      <c r="AG161" s="2">
        <v>60000</v>
      </c>
      <c r="AH161" s="2">
        <v>15000</v>
      </c>
      <c r="AI161" s="2">
        <v>0</v>
      </c>
      <c r="AJ161" s="2">
        <v>0</v>
      </c>
      <c r="AK161" s="2">
        <v>0</v>
      </c>
      <c r="AL161" s="2">
        <v>0</v>
      </c>
      <c r="AM161" s="2">
        <v>0</v>
      </c>
      <c r="AN161" s="2">
        <v>0</v>
      </c>
      <c r="AO161" s="2">
        <v>16773</v>
      </c>
      <c r="AP161" s="2">
        <v>0</v>
      </c>
      <c r="AQ161" s="2">
        <v>0</v>
      </c>
      <c r="AR161" s="2">
        <v>0</v>
      </c>
      <c r="AS161" s="2">
        <v>1339</v>
      </c>
      <c r="AT161" s="2">
        <v>93112</v>
      </c>
      <c r="AU161" s="2">
        <v>16300</v>
      </c>
      <c r="AV161" s="2">
        <v>0</v>
      </c>
      <c r="AW161" s="2">
        <v>0</v>
      </c>
      <c r="AX161" s="2">
        <v>0</v>
      </c>
      <c r="AZ161" s="29">
        <f t="shared" si="2"/>
        <v>0</v>
      </c>
      <c r="BA161" s="131">
        <v>30000</v>
      </c>
      <c r="BD161" s="2" t="s">
        <v>414</v>
      </c>
      <c r="BF161" s="130"/>
    </row>
    <row r="162" spans="1:58" ht="15.75">
      <c r="A162" s="20" t="s">
        <v>485</v>
      </c>
      <c r="B162" s="20" t="s">
        <v>602</v>
      </c>
      <c r="D162" s="2">
        <v>0</v>
      </c>
      <c r="E162" s="2">
        <v>0</v>
      </c>
      <c r="F162" s="2">
        <v>0</v>
      </c>
      <c r="G162" s="2">
        <v>0</v>
      </c>
      <c r="H162" s="2">
        <v>0</v>
      </c>
      <c r="I162" s="2">
        <v>0</v>
      </c>
      <c r="J162" s="2">
        <v>0</v>
      </c>
      <c r="K162" s="2">
        <v>0</v>
      </c>
      <c r="L162" s="2">
        <v>0</v>
      </c>
      <c r="M162" s="2">
        <v>0</v>
      </c>
      <c r="N162" s="2">
        <v>0</v>
      </c>
      <c r="O162" s="2">
        <v>0</v>
      </c>
      <c r="P162" s="2">
        <v>0</v>
      </c>
      <c r="Q162" s="2">
        <v>1130</v>
      </c>
      <c r="R162" s="2">
        <v>0</v>
      </c>
      <c r="S162" s="2">
        <v>0</v>
      </c>
      <c r="T162" s="2">
        <v>1130</v>
      </c>
      <c r="U162" s="2">
        <v>156052</v>
      </c>
      <c r="V162" s="2">
        <v>62500</v>
      </c>
      <c r="W162" s="2">
        <v>0</v>
      </c>
      <c r="X162" s="2">
        <v>12928</v>
      </c>
      <c r="Y162" s="2">
        <v>0</v>
      </c>
      <c r="Z162" s="2">
        <v>0</v>
      </c>
      <c r="AA162" s="2">
        <v>0</v>
      </c>
      <c r="AB162" s="2">
        <v>0</v>
      </c>
      <c r="AC162" s="2">
        <v>0</v>
      </c>
      <c r="AD162" s="2">
        <v>0</v>
      </c>
      <c r="AE162" s="2">
        <v>0</v>
      </c>
      <c r="AF162" s="2">
        <v>231480</v>
      </c>
      <c r="AG162" s="2">
        <v>34403</v>
      </c>
      <c r="AH162" s="2">
        <v>11000</v>
      </c>
      <c r="AI162" s="2">
        <v>0</v>
      </c>
      <c r="AJ162" s="2">
        <v>0</v>
      </c>
      <c r="AK162" s="2">
        <v>0</v>
      </c>
      <c r="AL162" s="2">
        <v>0</v>
      </c>
      <c r="AM162" s="2">
        <v>0</v>
      </c>
      <c r="AN162" s="2">
        <v>0</v>
      </c>
      <c r="AO162" s="2">
        <v>0</v>
      </c>
      <c r="AP162" s="2">
        <v>0</v>
      </c>
      <c r="AQ162" s="2">
        <v>0</v>
      </c>
      <c r="AR162" s="2">
        <v>33000</v>
      </c>
      <c r="AS162" s="2">
        <v>0</v>
      </c>
      <c r="AT162" s="2">
        <v>78403</v>
      </c>
      <c r="AU162" s="2">
        <v>0</v>
      </c>
      <c r="AV162" s="2">
        <v>0</v>
      </c>
      <c r="AW162" s="2">
        <v>0</v>
      </c>
      <c r="AX162" s="2">
        <v>0</v>
      </c>
      <c r="AZ162" s="29">
        <f t="shared" si="2"/>
        <v>0</v>
      </c>
      <c r="BA162" s="131">
        <v>30000</v>
      </c>
      <c r="BD162" s="2" t="s">
        <v>485</v>
      </c>
      <c r="BF162" s="130"/>
    </row>
    <row r="163" spans="1:58" ht="15.75">
      <c r="A163" s="20" t="s">
        <v>529</v>
      </c>
      <c r="B163" s="20" t="s">
        <v>603</v>
      </c>
      <c r="D163" s="2">
        <v>0</v>
      </c>
      <c r="E163" s="2">
        <v>0</v>
      </c>
      <c r="F163" s="2">
        <v>0</v>
      </c>
      <c r="G163" s="2">
        <v>0</v>
      </c>
      <c r="H163" s="2">
        <v>1</v>
      </c>
      <c r="I163" s="2">
        <v>1</v>
      </c>
      <c r="J163" s="2">
        <v>0</v>
      </c>
      <c r="K163" s="2">
        <v>0</v>
      </c>
      <c r="L163" s="2">
        <v>0</v>
      </c>
      <c r="M163" s="2">
        <v>20</v>
      </c>
      <c r="N163" s="2">
        <v>0</v>
      </c>
      <c r="O163" s="2">
        <v>0</v>
      </c>
      <c r="P163" s="2">
        <v>0</v>
      </c>
      <c r="Q163" s="2">
        <v>0</v>
      </c>
      <c r="R163" s="2">
        <v>0</v>
      </c>
      <c r="S163" s="2">
        <v>0</v>
      </c>
      <c r="T163" s="2">
        <v>20</v>
      </c>
      <c r="U163" s="2">
        <v>323171</v>
      </c>
      <c r="V163" s="2">
        <v>98000</v>
      </c>
      <c r="W163" s="2">
        <v>0</v>
      </c>
      <c r="X163" s="2">
        <v>0</v>
      </c>
      <c r="Y163" s="2">
        <v>0</v>
      </c>
      <c r="Z163" s="2">
        <v>1040</v>
      </c>
      <c r="AA163" s="2">
        <v>0</v>
      </c>
      <c r="AB163" s="2">
        <v>0</v>
      </c>
      <c r="AC163" s="2">
        <v>0</v>
      </c>
      <c r="AD163" s="2">
        <v>0</v>
      </c>
      <c r="AE163" s="2">
        <v>0</v>
      </c>
      <c r="AF163" s="2">
        <v>422211</v>
      </c>
      <c r="AG163" s="2">
        <v>39927</v>
      </c>
      <c r="AH163" s="2">
        <v>28000</v>
      </c>
      <c r="AI163" s="2">
        <v>0</v>
      </c>
      <c r="AJ163" s="2">
        <v>0</v>
      </c>
      <c r="AK163" s="2">
        <v>0</v>
      </c>
      <c r="AL163" s="2">
        <v>0</v>
      </c>
      <c r="AM163" s="2">
        <v>0</v>
      </c>
      <c r="AN163" s="2">
        <v>0</v>
      </c>
      <c r="AO163" s="2">
        <v>0</v>
      </c>
      <c r="AP163" s="2">
        <v>0</v>
      </c>
      <c r="AQ163" s="2">
        <v>0</v>
      </c>
      <c r="AR163" s="2">
        <v>21000</v>
      </c>
      <c r="AS163" s="2">
        <v>0</v>
      </c>
      <c r="AT163" s="2">
        <v>88927</v>
      </c>
      <c r="AU163" s="2">
        <v>0</v>
      </c>
      <c r="AV163" s="2">
        <v>0</v>
      </c>
      <c r="AW163" s="2">
        <v>0</v>
      </c>
      <c r="AX163" s="2">
        <v>0</v>
      </c>
      <c r="AZ163" s="29">
        <f t="shared" si="2"/>
        <v>0</v>
      </c>
      <c r="BA163" s="131">
        <v>20000</v>
      </c>
      <c r="BD163" s="2" t="s">
        <v>529</v>
      </c>
      <c r="BF163" s="13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8.88671875" defaultRowHeight="15"/>
  <cols>
    <col min="3" max="3" width="10.99609375" style="0" bestFit="1" customWidth="1"/>
  </cols>
  <sheetData>
    <row r="1" spans="1:12" ht="15">
      <c r="A1" t="s">
        <v>712</v>
      </c>
      <c r="B1" t="s">
        <v>742</v>
      </c>
      <c r="C1" t="s">
        <v>747</v>
      </c>
      <c r="D1" t="s">
        <v>713</v>
      </c>
      <c r="E1" t="s">
        <v>714</v>
      </c>
      <c r="F1" t="s">
        <v>740</v>
      </c>
      <c r="G1" t="s">
        <v>715</v>
      </c>
      <c r="H1" t="s">
        <v>741</v>
      </c>
      <c r="I1" s="139" t="s">
        <v>718</v>
      </c>
      <c r="J1" s="139" t="s">
        <v>743</v>
      </c>
      <c r="K1" s="139" t="s">
        <v>744</v>
      </c>
      <c r="L1" s="139" t="s">
        <v>745</v>
      </c>
    </row>
    <row r="2" spans="1:12" ht="15">
      <c r="A2" t="e">
        <f>LA_info!$E$2</f>
        <v>#N/A</v>
      </c>
      <c r="B2">
        <v>2017</v>
      </c>
      <c r="C2" s="15">
        <f aca="true" t="shared" si="0" ref="C2:C33">IF(D2=3,4,IF(D2=6,1,IF(D2=9,3,IF(D2=12,3,0))))</f>
        <v>0</v>
      </c>
      <c r="D2">
        <f>((VLOOKUP(Form!$O$2,Form!$L$141:$M$152,2,FALSE))-1)</f>
        <v>7</v>
      </c>
      <c r="E2">
        <v>1</v>
      </c>
      <c r="F2">
        <v>1</v>
      </c>
      <c r="G2" s="15">
        <f>Form!E25</f>
        <v>0</v>
      </c>
      <c r="H2" s="15" t="s">
        <v>748</v>
      </c>
      <c r="I2" s="139" t="str">
        <f>Validation!G53&amp;"_"&amp;Form!G83</f>
        <v>_</v>
      </c>
      <c r="J2" s="139">
        <f>Form!G14</f>
        <v>0</v>
      </c>
      <c r="K2" s="139">
        <f>Form!G16</f>
        <v>0</v>
      </c>
      <c r="L2" s="139">
        <f>Form!G15</f>
        <v>0</v>
      </c>
    </row>
    <row r="3" spans="1:8" ht="15">
      <c r="A3" t="e">
        <f>LA_info!$E$2</f>
        <v>#N/A</v>
      </c>
      <c r="B3">
        <v>2017</v>
      </c>
      <c r="C3" s="15">
        <f t="shared" si="0"/>
        <v>0</v>
      </c>
      <c r="D3">
        <f>((VLOOKUP(Form!$O$2,Form!$L$141:$M$152,2,FALSE))-1)</f>
        <v>7</v>
      </c>
      <c r="E3">
        <v>2</v>
      </c>
      <c r="F3">
        <v>1</v>
      </c>
      <c r="G3" s="15">
        <f>Form!E26</f>
        <v>0</v>
      </c>
      <c r="H3" s="15" t="s">
        <v>748</v>
      </c>
    </row>
    <row r="4" spans="1:8" ht="15">
      <c r="A4" t="e">
        <f>LA_info!$E$2</f>
        <v>#N/A</v>
      </c>
      <c r="B4">
        <v>2017</v>
      </c>
      <c r="C4" s="15">
        <f t="shared" si="0"/>
        <v>0</v>
      </c>
      <c r="D4">
        <f>((VLOOKUP(Form!$O$2,Form!$L$141:$M$152,2,FALSE))-1)</f>
        <v>7</v>
      </c>
      <c r="E4">
        <v>3</v>
      </c>
      <c r="F4">
        <v>1</v>
      </c>
      <c r="G4" s="15">
        <f>Form!E27</f>
        <v>0</v>
      </c>
      <c r="H4" s="15" t="s">
        <v>748</v>
      </c>
    </row>
    <row r="5" spans="1:8" ht="15">
      <c r="A5" t="e">
        <f>LA_info!$E$2</f>
        <v>#N/A</v>
      </c>
      <c r="B5">
        <v>2017</v>
      </c>
      <c r="C5" s="15">
        <f t="shared" si="0"/>
        <v>0</v>
      </c>
      <c r="D5">
        <f>((VLOOKUP(Form!$O$2,Form!$L$141:$M$152,2,FALSE))-1)</f>
        <v>7</v>
      </c>
      <c r="E5">
        <v>4</v>
      </c>
      <c r="F5">
        <v>1</v>
      </c>
      <c r="G5" s="15">
        <f>Form!E28</f>
        <v>0</v>
      </c>
      <c r="H5" s="15" t="s">
        <v>748</v>
      </c>
    </row>
    <row r="6" spans="1:8" ht="15">
      <c r="A6" t="e">
        <f>LA_info!$E$2</f>
        <v>#N/A</v>
      </c>
      <c r="B6">
        <v>2017</v>
      </c>
      <c r="C6" s="15">
        <f t="shared" si="0"/>
        <v>0</v>
      </c>
      <c r="D6">
        <f>((VLOOKUP(Form!$O$2,Form!$L$141:$M$152,2,FALSE))-1)</f>
        <v>7</v>
      </c>
      <c r="E6">
        <v>5</v>
      </c>
      <c r="F6">
        <v>1</v>
      </c>
      <c r="G6" s="15">
        <f>Form!E29</f>
        <v>0</v>
      </c>
      <c r="H6" s="15" t="s">
        <v>748</v>
      </c>
    </row>
    <row r="7" spans="1:8" ht="15">
      <c r="A7" t="e">
        <f>LA_info!$E$2</f>
        <v>#N/A</v>
      </c>
      <c r="B7">
        <v>2017</v>
      </c>
      <c r="C7" s="15">
        <f t="shared" si="0"/>
        <v>0</v>
      </c>
      <c r="D7">
        <f>((VLOOKUP(Form!$O$2,Form!$L$141:$M$152,2,FALSE))-1)</f>
        <v>7</v>
      </c>
      <c r="E7">
        <v>6</v>
      </c>
      <c r="F7">
        <v>1</v>
      </c>
      <c r="G7" s="15">
        <f>Form!E30</f>
        <v>0</v>
      </c>
      <c r="H7" s="15" t="s">
        <v>748</v>
      </c>
    </row>
    <row r="8" spans="1:8" ht="15">
      <c r="A8" t="e">
        <f>LA_info!$E$2</f>
        <v>#N/A</v>
      </c>
      <c r="B8">
        <v>2017</v>
      </c>
      <c r="C8" s="15">
        <f t="shared" si="0"/>
        <v>0</v>
      </c>
      <c r="D8">
        <f>((VLOOKUP(Form!$O$2,Form!$L$141:$M$152,2,FALSE))-1)</f>
        <v>7</v>
      </c>
      <c r="E8">
        <v>7</v>
      </c>
      <c r="F8">
        <v>1</v>
      </c>
      <c r="G8" s="15">
        <f>Form!E38</f>
        <v>0</v>
      </c>
      <c r="H8" s="15" t="s">
        <v>748</v>
      </c>
    </row>
    <row r="9" spans="1:8" ht="15">
      <c r="A9" t="e">
        <f>LA_info!$E$2</f>
        <v>#N/A</v>
      </c>
      <c r="B9">
        <v>2017</v>
      </c>
      <c r="C9" s="15">
        <f t="shared" si="0"/>
        <v>0</v>
      </c>
      <c r="D9">
        <f>((VLOOKUP(Form!$O$2,Form!$L$141:$M$152,2,FALSE))-1)</f>
        <v>7</v>
      </c>
      <c r="E9">
        <v>8</v>
      </c>
      <c r="F9">
        <v>1</v>
      </c>
      <c r="G9" s="15">
        <f>Form!E39</f>
        <v>0</v>
      </c>
      <c r="H9" s="15" t="s">
        <v>748</v>
      </c>
    </row>
    <row r="10" spans="1:8" ht="15">
      <c r="A10" t="e">
        <f>LA_info!$E$2</f>
        <v>#N/A</v>
      </c>
      <c r="B10">
        <v>2017</v>
      </c>
      <c r="C10" s="15">
        <f t="shared" si="0"/>
        <v>0</v>
      </c>
      <c r="D10">
        <f>((VLOOKUP(Form!$O$2,Form!$L$141:$M$152,2,FALSE))-1)</f>
        <v>7</v>
      </c>
      <c r="E10">
        <v>9</v>
      </c>
      <c r="F10">
        <v>1</v>
      </c>
      <c r="G10" s="15">
        <f>Form!E40</f>
        <v>0</v>
      </c>
      <c r="H10" s="15" t="s">
        <v>748</v>
      </c>
    </row>
    <row r="11" spans="1:8" ht="15">
      <c r="A11" t="e">
        <f>LA_info!$E$2</f>
        <v>#N/A</v>
      </c>
      <c r="B11">
        <v>2017</v>
      </c>
      <c r="C11" s="15">
        <f t="shared" si="0"/>
        <v>0</v>
      </c>
      <c r="D11">
        <f>((VLOOKUP(Form!$O$2,Form!$L$141:$M$152,2,FALSE))-1)</f>
        <v>7</v>
      </c>
      <c r="E11">
        <v>10</v>
      </c>
      <c r="F11">
        <v>1</v>
      </c>
      <c r="G11" s="15">
        <f>Form!E41</f>
        <v>0</v>
      </c>
      <c r="H11" s="15" t="s">
        <v>748</v>
      </c>
    </row>
    <row r="12" spans="1:8" ht="15">
      <c r="A12" t="e">
        <f>LA_info!$E$2</f>
        <v>#N/A</v>
      </c>
      <c r="B12">
        <v>2017</v>
      </c>
      <c r="C12" s="15">
        <f t="shared" si="0"/>
        <v>0</v>
      </c>
      <c r="D12">
        <f>((VLOOKUP(Form!$O$2,Form!$L$141:$M$152,2,FALSE))-1)</f>
        <v>7</v>
      </c>
      <c r="E12">
        <v>11</v>
      </c>
      <c r="F12">
        <v>1</v>
      </c>
      <c r="G12" s="15">
        <f>Form!E42</f>
        <v>0</v>
      </c>
      <c r="H12" s="15" t="s">
        <v>748</v>
      </c>
    </row>
    <row r="13" spans="1:8" ht="15">
      <c r="A13" t="e">
        <f>LA_info!$E$2</f>
        <v>#N/A</v>
      </c>
      <c r="B13">
        <v>2017</v>
      </c>
      <c r="C13" s="15">
        <f t="shared" si="0"/>
        <v>0</v>
      </c>
      <c r="D13">
        <f>((VLOOKUP(Form!$O$2,Form!$L$141:$M$152,2,FALSE))-1)</f>
        <v>7</v>
      </c>
      <c r="E13">
        <v>12</v>
      </c>
      <c r="F13">
        <v>1</v>
      </c>
      <c r="G13" s="15">
        <f>Form!E43</f>
        <v>0</v>
      </c>
      <c r="H13" s="15" t="s">
        <v>748</v>
      </c>
    </row>
    <row r="14" spans="1:8" ht="15">
      <c r="A14" t="e">
        <f>LA_info!$E$2</f>
        <v>#N/A</v>
      </c>
      <c r="B14">
        <v>2017</v>
      </c>
      <c r="C14" s="15">
        <f t="shared" si="0"/>
        <v>0</v>
      </c>
      <c r="D14">
        <f>((VLOOKUP(Form!$O$2,Form!$L$141:$M$152,2,FALSE))-1)</f>
        <v>7</v>
      </c>
      <c r="E14">
        <v>13</v>
      </c>
      <c r="F14">
        <v>1</v>
      </c>
      <c r="G14" s="15">
        <f>Form!E44</f>
        <v>0</v>
      </c>
      <c r="H14" s="15" t="s">
        <v>748</v>
      </c>
    </row>
    <row r="15" spans="1:8" ht="15">
      <c r="A15" t="e">
        <f>LA_info!$E$2</f>
        <v>#N/A</v>
      </c>
      <c r="B15">
        <v>2017</v>
      </c>
      <c r="C15" s="15">
        <f t="shared" si="0"/>
        <v>0</v>
      </c>
      <c r="D15">
        <f>((VLOOKUP(Form!$O$2,Form!$L$141:$M$152,2,FALSE))-1)</f>
        <v>7</v>
      </c>
      <c r="E15">
        <v>14</v>
      </c>
      <c r="F15">
        <v>1</v>
      </c>
      <c r="G15" s="15">
        <f>Form!E45</f>
        <v>0</v>
      </c>
      <c r="H15" s="15" t="s">
        <v>748</v>
      </c>
    </row>
    <row r="16" spans="1:8" ht="15">
      <c r="A16" t="e">
        <f>LA_info!$E$2</f>
        <v>#N/A</v>
      </c>
      <c r="B16">
        <v>2017</v>
      </c>
      <c r="C16" s="15">
        <f t="shared" si="0"/>
        <v>0</v>
      </c>
      <c r="D16">
        <f>((VLOOKUP(Form!$O$2,Form!$L$141:$M$152,2,FALSE))-1)</f>
        <v>7</v>
      </c>
      <c r="E16">
        <v>15</v>
      </c>
      <c r="F16">
        <v>1</v>
      </c>
      <c r="G16" s="15">
        <f>Form!E46</f>
        <v>0</v>
      </c>
      <c r="H16" s="15" t="s">
        <v>748</v>
      </c>
    </row>
    <row r="17" spans="1:8" ht="15">
      <c r="A17" t="e">
        <f>LA_info!$E$2</f>
        <v>#N/A</v>
      </c>
      <c r="B17">
        <v>2017</v>
      </c>
      <c r="C17" s="15">
        <f t="shared" si="0"/>
        <v>0</v>
      </c>
      <c r="D17">
        <f>((VLOOKUP(Form!$O$2,Form!$L$141:$M$152,2,FALSE))-1)</f>
        <v>7</v>
      </c>
      <c r="E17">
        <v>16</v>
      </c>
      <c r="F17">
        <v>1</v>
      </c>
      <c r="G17" s="15">
        <f>Form!E47</f>
        <v>0</v>
      </c>
      <c r="H17" s="15" t="s">
        <v>748</v>
      </c>
    </row>
    <row r="18" spans="1:8" ht="15">
      <c r="A18" t="e">
        <f>LA_info!$E$2</f>
        <v>#N/A</v>
      </c>
      <c r="B18">
        <v>2017</v>
      </c>
      <c r="C18" s="15">
        <f t="shared" si="0"/>
        <v>0</v>
      </c>
      <c r="D18">
        <f>((VLOOKUP(Form!$O$2,Form!$L$141:$M$152,2,FALSE))-1)</f>
        <v>7</v>
      </c>
      <c r="E18">
        <v>17</v>
      </c>
      <c r="F18">
        <v>1</v>
      </c>
      <c r="G18" s="15">
        <f>Form!E48</f>
        <v>0</v>
      </c>
      <c r="H18" s="15" t="s">
        <v>748</v>
      </c>
    </row>
    <row r="19" spans="1:8" ht="15">
      <c r="A19" t="e">
        <f>LA_info!$E$2</f>
        <v>#N/A</v>
      </c>
      <c r="B19">
        <v>2017</v>
      </c>
      <c r="C19" s="15">
        <f t="shared" si="0"/>
        <v>0</v>
      </c>
      <c r="D19">
        <f>((VLOOKUP(Form!$O$2,Form!$L$141:$M$152,2,FALSE))-1)</f>
        <v>7</v>
      </c>
      <c r="E19">
        <v>18</v>
      </c>
      <c r="F19">
        <v>1</v>
      </c>
      <c r="G19" s="15">
        <f>Form!I37</f>
        <v>0</v>
      </c>
      <c r="H19" s="15" t="s">
        <v>748</v>
      </c>
    </row>
    <row r="20" spans="1:8" ht="15">
      <c r="A20" t="e">
        <f>LA_info!$E$2</f>
        <v>#N/A</v>
      </c>
      <c r="B20">
        <v>2017</v>
      </c>
      <c r="C20" s="15">
        <f t="shared" si="0"/>
        <v>0</v>
      </c>
      <c r="D20">
        <f>((VLOOKUP(Form!$O$2,Form!$L$141:$M$152,2,FALSE))-1)</f>
        <v>7</v>
      </c>
      <c r="E20">
        <v>19</v>
      </c>
      <c r="F20">
        <v>1</v>
      </c>
      <c r="G20" s="15">
        <f>Form!I38</f>
        <v>0</v>
      </c>
      <c r="H20" s="15" t="s">
        <v>748</v>
      </c>
    </row>
    <row r="21" spans="1:8" ht="15">
      <c r="A21" t="e">
        <f>LA_info!$E$2</f>
        <v>#N/A</v>
      </c>
      <c r="B21">
        <v>2017</v>
      </c>
      <c r="C21" s="15">
        <f t="shared" si="0"/>
        <v>0</v>
      </c>
      <c r="D21">
        <f>((VLOOKUP(Form!$O$2,Form!$L$141:$M$152,2,FALSE))-1)</f>
        <v>7</v>
      </c>
      <c r="E21">
        <v>20</v>
      </c>
      <c r="F21">
        <v>1</v>
      </c>
      <c r="G21" s="15">
        <f>Form!I39</f>
        <v>0</v>
      </c>
      <c r="H21" s="15" t="s">
        <v>748</v>
      </c>
    </row>
    <row r="22" spans="1:8" ht="15">
      <c r="A22" t="e">
        <f>LA_info!$E$2</f>
        <v>#N/A</v>
      </c>
      <c r="B22">
        <v>2017</v>
      </c>
      <c r="C22" s="15">
        <f t="shared" si="0"/>
        <v>0</v>
      </c>
      <c r="D22">
        <f>((VLOOKUP(Form!$O$2,Form!$L$141:$M$152,2,FALSE))-1)</f>
        <v>7</v>
      </c>
      <c r="E22">
        <v>21</v>
      </c>
      <c r="F22">
        <v>1</v>
      </c>
      <c r="G22" s="15">
        <f>Form!I40</f>
        <v>0</v>
      </c>
      <c r="H22" s="15" t="s">
        <v>748</v>
      </c>
    </row>
    <row r="23" spans="1:8" ht="15">
      <c r="A23" t="e">
        <f>LA_info!$E$2</f>
        <v>#N/A</v>
      </c>
      <c r="B23">
        <v>2017</v>
      </c>
      <c r="C23" s="15">
        <f t="shared" si="0"/>
        <v>0</v>
      </c>
      <c r="D23">
        <f>((VLOOKUP(Form!$O$2,Form!$L$141:$M$152,2,FALSE))-1)</f>
        <v>7</v>
      </c>
      <c r="E23">
        <v>22</v>
      </c>
      <c r="F23">
        <v>1</v>
      </c>
      <c r="G23" s="15">
        <f>Form!I41</f>
        <v>0</v>
      </c>
      <c r="H23" s="15" t="s">
        <v>748</v>
      </c>
    </row>
    <row r="24" spans="1:8" ht="15">
      <c r="A24" t="e">
        <f>LA_info!$E$2</f>
        <v>#N/A</v>
      </c>
      <c r="B24">
        <v>2017</v>
      </c>
      <c r="C24" s="15">
        <f t="shared" si="0"/>
        <v>0</v>
      </c>
      <c r="D24">
        <f>((VLOOKUP(Form!$O$2,Form!$L$141:$M$152,2,FALSE))-1)</f>
        <v>7</v>
      </c>
      <c r="E24">
        <v>23</v>
      </c>
      <c r="F24">
        <v>1</v>
      </c>
      <c r="G24" s="15">
        <f>Form!I42</f>
        <v>0</v>
      </c>
      <c r="H24" s="15" t="s">
        <v>748</v>
      </c>
    </row>
    <row r="25" spans="1:8" ht="15">
      <c r="A25" t="e">
        <f>LA_info!$E$2</f>
        <v>#N/A</v>
      </c>
      <c r="B25">
        <v>2017</v>
      </c>
      <c r="C25" s="15">
        <f t="shared" si="0"/>
        <v>0</v>
      </c>
      <c r="D25">
        <f>((VLOOKUP(Form!$O$2,Form!$L$141:$M$152,2,FALSE))-1)</f>
        <v>7</v>
      </c>
      <c r="E25">
        <v>24</v>
      </c>
      <c r="F25">
        <v>1</v>
      </c>
      <c r="G25" s="15">
        <f>Form!I43</f>
        <v>0</v>
      </c>
      <c r="H25" s="15" t="s">
        <v>748</v>
      </c>
    </row>
    <row r="26" spans="1:8" ht="15">
      <c r="A26" t="e">
        <f>LA_info!$E$2</f>
        <v>#N/A</v>
      </c>
      <c r="B26">
        <v>2017</v>
      </c>
      <c r="C26" s="15">
        <f t="shared" si="0"/>
        <v>0</v>
      </c>
      <c r="D26">
        <f>((VLOOKUP(Form!$O$2,Form!$L$141:$M$152,2,FALSE))-1)</f>
        <v>7</v>
      </c>
      <c r="E26">
        <v>25</v>
      </c>
      <c r="F26">
        <v>1</v>
      </c>
      <c r="G26" s="15">
        <f>Form!I44</f>
        <v>0</v>
      </c>
      <c r="H26" s="15" t="s">
        <v>748</v>
      </c>
    </row>
    <row r="27" spans="1:8" ht="15">
      <c r="A27" t="e">
        <f>LA_info!$E$2</f>
        <v>#N/A</v>
      </c>
      <c r="B27">
        <v>2017</v>
      </c>
      <c r="C27" s="15">
        <f t="shared" si="0"/>
        <v>0</v>
      </c>
      <c r="D27">
        <f>((VLOOKUP(Form!$O$2,Form!$L$141:$M$152,2,FALSE))-1)</f>
        <v>7</v>
      </c>
      <c r="E27">
        <v>26</v>
      </c>
      <c r="F27">
        <v>1</v>
      </c>
      <c r="G27" s="15">
        <f>Form!I45</f>
        <v>0</v>
      </c>
      <c r="H27" s="15" t="s">
        <v>748</v>
      </c>
    </row>
    <row r="28" spans="1:8" ht="15">
      <c r="A28" t="e">
        <f>LA_info!$E$2</f>
        <v>#N/A</v>
      </c>
      <c r="B28">
        <v>2017</v>
      </c>
      <c r="C28" s="15">
        <f t="shared" si="0"/>
        <v>0</v>
      </c>
      <c r="D28">
        <f>((VLOOKUP(Form!$O$2,Form!$L$141:$M$152,2,FALSE))-1)</f>
        <v>7</v>
      </c>
      <c r="E28">
        <v>27</v>
      </c>
      <c r="F28">
        <v>1</v>
      </c>
      <c r="G28" s="15">
        <f>Form!I46</f>
        <v>0</v>
      </c>
      <c r="H28" s="15" t="s">
        <v>748</v>
      </c>
    </row>
    <row r="29" spans="1:8" ht="15">
      <c r="A29" t="e">
        <f>LA_info!$E$2</f>
        <v>#N/A</v>
      </c>
      <c r="B29">
        <v>2017</v>
      </c>
      <c r="C29" s="15">
        <f t="shared" si="0"/>
        <v>0</v>
      </c>
      <c r="D29">
        <f>((VLOOKUP(Form!$O$2,Form!$L$141:$M$152,2,FALSE))-1)</f>
        <v>7</v>
      </c>
      <c r="E29">
        <v>28</v>
      </c>
      <c r="F29">
        <v>1</v>
      </c>
      <c r="G29" s="15">
        <f>Form!I47</f>
        <v>0</v>
      </c>
      <c r="H29" s="15" t="s">
        <v>748</v>
      </c>
    </row>
    <row r="30" spans="1:8" ht="15">
      <c r="A30" t="e">
        <f>LA_info!$E$2</f>
        <v>#N/A</v>
      </c>
      <c r="B30">
        <v>2017</v>
      </c>
      <c r="C30" s="15">
        <f t="shared" si="0"/>
        <v>0</v>
      </c>
      <c r="D30">
        <f>((VLOOKUP(Form!$O$2,Form!$L$141:$M$152,2,FALSE))-1)</f>
        <v>7</v>
      </c>
      <c r="E30">
        <v>29</v>
      </c>
      <c r="F30">
        <v>1</v>
      </c>
      <c r="G30" s="15">
        <f>Form!I48</f>
        <v>0</v>
      </c>
      <c r="H30" s="15" t="s">
        <v>748</v>
      </c>
    </row>
    <row r="31" spans="1:8" ht="15">
      <c r="A31" t="e">
        <f>LA_info!$E$2</f>
        <v>#N/A</v>
      </c>
      <c r="B31">
        <v>2017</v>
      </c>
      <c r="C31" s="15">
        <f t="shared" si="0"/>
        <v>0</v>
      </c>
      <c r="D31">
        <f>((VLOOKUP(Form!$O$2,Form!$L$141:$M$152,2,FALSE))-1)</f>
        <v>7</v>
      </c>
      <c r="E31">
        <v>30</v>
      </c>
      <c r="F31">
        <v>1</v>
      </c>
      <c r="G31" s="15">
        <f>Form!E57</f>
        <v>0</v>
      </c>
      <c r="H31" s="15" t="s">
        <v>748</v>
      </c>
    </row>
    <row r="32" spans="1:8" ht="15">
      <c r="A32" t="e">
        <f>LA_info!$E$2</f>
        <v>#N/A</v>
      </c>
      <c r="B32">
        <v>2017</v>
      </c>
      <c r="C32" s="15">
        <f t="shared" si="0"/>
        <v>0</v>
      </c>
      <c r="D32">
        <f>((VLOOKUP(Form!$O$2,Form!$L$141:$M$152,2,FALSE))-1)</f>
        <v>7</v>
      </c>
      <c r="E32">
        <v>31</v>
      </c>
      <c r="F32">
        <v>1</v>
      </c>
      <c r="G32" s="15">
        <f>Form!E58</f>
        <v>0</v>
      </c>
      <c r="H32" s="15" t="s">
        <v>748</v>
      </c>
    </row>
    <row r="33" spans="1:8" ht="15">
      <c r="A33" t="e">
        <f>LA_info!$E$2</f>
        <v>#N/A</v>
      </c>
      <c r="B33">
        <v>2017</v>
      </c>
      <c r="C33" s="15">
        <f t="shared" si="0"/>
        <v>0</v>
      </c>
      <c r="D33">
        <f>((VLOOKUP(Form!$O$2,Form!$L$141:$M$152,2,FALSE))-1)</f>
        <v>7</v>
      </c>
      <c r="E33">
        <v>32</v>
      </c>
      <c r="F33">
        <v>1</v>
      </c>
      <c r="G33" s="15">
        <f>Form!E59</f>
        <v>0</v>
      </c>
      <c r="H33" s="15" t="s">
        <v>748</v>
      </c>
    </row>
    <row r="34" spans="1:8" ht="15">
      <c r="A34" t="e">
        <f>LA_info!$E$2</f>
        <v>#N/A</v>
      </c>
      <c r="B34">
        <v>2017</v>
      </c>
      <c r="C34" s="15">
        <f>IF(D34=3,4,IF(D34=6,1,IF(D34=9,3,IF(D34=12,3,0))))</f>
        <v>0</v>
      </c>
      <c r="D34">
        <f>((VLOOKUP(Form!$O$2,Form!$L$141:$M$152,2,FALSE))-1)</f>
        <v>7</v>
      </c>
      <c r="E34">
        <v>33</v>
      </c>
      <c r="F34">
        <v>1</v>
      </c>
      <c r="G34" s="15">
        <f>Form!E60</f>
        <v>0</v>
      </c>
      <c r="H34" s="15" t="s">
        <v>748</v>
      </c>
    </row>
    <row r="35" spans="1:8" ht="15">
      <c r="A35" t="e">
        <f>LA_info!$E$2</f>
        <v>#N/A</v>
      </c>
      <c r="B35">
        <v>2017</v>
      </c>
      <c r="C35" s="15">
        <f aca="true" t="shared" si="1" ref="C35:C64">IF(D35=3,4,IF(D35=6,1,IF(D35=9,3,IF(D35=12,3,0))))</f>
        <v>0</v>
      </c>
      <c r="D35">
        <f>((VLOOKUP(Form!$O$2,Form!$L$141:$M$152,2,FALSE))-1)</f>
        <v>7</v>
      </c>
      <c r="E35">
        <v>34</v>
      </c>
      <c r="F35">
        <v>1</v>
      </c>
      <c r="G35" s="15">
        <f>Form!E63</f>
        <v>0</v>
      </c>
      <c r="H35" s="15" t="s">
        <v>748</v>
      </c>
    </row>
    <row r="36" spans="1:8" ht="15">
      <c r="A36" t="e">
        <f>LA_info!$E$2</f>
        <v>#N/A</v>
      </c>
      <c r="B36">
        <v>2017</v>
      </c>
      <c r="C36" s="15">
        <f t="shared" si="1"/>
        <v>0</v>
      </c>
      <c r="D36">
        <f>((VLOOKUP(Form!$O$2,Form!$L$141:$M$152,2,FALSE))-1)</f>
        <v>7</v>
      </c>
      <c r="E36">
        <v>35</v>
      </c>
      <c r="F36">
        <v>1</v>
      </c>
      <c r="G36" s="15">
        <f>Form!E64</f>
        <v>0</v>
      </c>
      <c r="H36" s="15" t="s">
        <v>748</v>
      </c>
    </row>
    <row r="37" spans="1:8" ht="15">
      <c r="A37" t="e">
        <f>LA_info!$E$2</f>
        <v>#N/A</v>
      </c>
      <c r="B37">
        <v>2017</v>
      </c>
      <c r="C37" s="15">
        <f t="shared" si="1"/>
        <v>0</v>
      </c>
      <c r="D37">
        <f>((VLOOKUP(Form!$O$2,Form!$L$141:$M$152,2,FALSE))-1)</f>
        <v>7</v>
      </c>
      <c r="E37">
        <v>36</v>
      </c>
      <c r="F37">
        <v>1</v>
      </c>
      <c r="G37" s="15">
        <f>Form!E65</f>
        <v>0</v>
      </c>
      <c r="H37" s="15" t="s">
        <v>748</v>
      </c>
    </row>
    <row r="38" spans="1:8" ht="15">
      <c r="A38" t="e">
        <f>LA_info!$E$2</f>
        <v>#N/A</v>
      </c>
      <c r="B38">
        <v>2017</v>
      </c>
      <c r="C38" s="15">
        <f t="shared" si="1"/>
        <v>0</v>
      </c>
      <c r="D38">
        <f>((VLOOKUP(Form!$O$2,Form!$L$141:$M$152,2,FALSE))-1)</f>
        <v>7</v>
      </c>
      <c r="E38">
        <v>37</v>
      </c>
      <c r="F38">
        <v>1</v>
      </c>
      <c r="G38" s="15">
        <f>Form!E66</f>
        <v>0</v>
      </c>
      <c r="H38" s="15" t="s">
        <v>748</v>
      </c>
    </row>
    <row r="39" spans="1:8" ht="15">
      <c r="A39" t="e">
        <f>LA_info!$E$2</f>
        <v>#N/A</v>
      </c>
      <c r="B39">
        <v>2017</v>
      </c>
      <c r="C39" s="15">
        <f t="shared" si="1"/>
        <v>0</v>
      </c>
      <c r="D39">
        <f>((VLOOKUP(Form!$O$2,Form!$L$141:$M$152,2,FALSE))-1)</f>
        <v>7</v>
      </c>
      <c r="E39">
        <v>38</v>
      </c>
      <c r="F39">
        <v>1</v>
      </c>
      <c r="G39" s="15">
        <f>Form!E67</f>
        <v>0</v>
      </c>
      <c r="H39" s="15" t="s">
        <v>748</v>
      </c>
    </row>
    <row r="40" spans="1:8" ht="15">
      <c r="A40" t="e">
        <f>LA_info!$E$2</f>
        <v>#N/A</v>
      </c>
      <c r="B40">
        <v>2017</v>
      </c>
      <c r="C40" s="15">
        <f t="shared" si="1"/>
        <v>0</v>
      </c>
      <c r="D40">
        <f>((VLOOKUP(Form!$O$2,Form!$L$141:$M$152,2,FALSE))-1)</f>
        <v>7</v>
      </c>
      <c r="E40">
        <v>39</v>
      </c>
      <c r="F40">
        <v>1</v>
      </c>
      <c r="G40" s="15">
        <f>Form!E70</f>
        <v>0</v>
      </c>
      <c r="H40" s="15" t="s">
        <v>748</v>
      </c>
    </row>
    <row r="41" spans="1:8" ht="15">
      <c r="A41" t="e">
        <f>LA_info!$E$2</f>
        <v>#N/A</v>
      </c>
      <c r="B41">
        <v>2017</v>
      </c>
      <c r="C41" s="15">
        <f t="shared" si="1"/>
        <v>0</v>
      </c>
      <c r="D41">
        <f>((VLOOKUP(Form!$O$2,Form!$L$141:$M$152,2,FALSE))-1)</f>
        <v>7</v>
      </c>
      <c r="E41">
        <v>40</v>
      </c>
      <c r="F41">
        <v>1</v>
      </c>
      <c r="G41" s="15">
        <f>Form!E71</f>
        <v>0</v>
      </c>
      <c r="H41" s="15" t="s">
        <v>748</v>
      </c>
    </row>
    <row r="42" spans="1:8" ht="15">
      <c r="A42" t="e">
        <f>LA_info!$E$2</f>
        <v>#N/A</v>
      </c>
      <c r="B42">
        <v>2017</v>
      </c>
      <c r="C42" s="15">
        <f t="shared" si="1"/>
        <v>0</v>
      </c>
      <c r="D42">
        <f>((VLOOKUP(Form!$O$2,Form!$L$141:$M$152,2,FALSE))-1)</f>
        <v>7</v>
      </c>
      <c r="E42">
        <v>41</v>
      </c>
      <c r="F42">
        <v>1</v>
      </c>
      <c r="G42" s="15">
        <f>Form!E72</f>
        <v>0</v>
      </c>
      <c r="H42" s="15" t="s">
        <v>748</v>
      </c>
    </row>
    <row r="43" spans="1:8" ht="15">
      <c r="A43" t="e">
        <f>LA_info!$E$2</f>
        <v>#N/A</v>
      </c>
      <c r="B43">
        <v>2017</v>
      </c>
      <c r="C43" s="15">
        <f t="shared" si="1"/>
        <v>0</v>
      </c>
      <c r="D43">
        <f>((VLOOKUP(Form!$O$2,Form!$L$141:$M$152,2,FALSE))-1)</f>
        <v>7</v>
      </c>
      <c r="E43">
        <v>42</v>
      </c>
      <c r="F43">
        <v>1</v>
      </c>
      <c r="G43" s="15">
        <f>Form!E73</f>
        <v>0</v>
      </c>
      <c r="H43" s="15" t="s">
        <v>748</v>
      </c>
    </row>
    <row r="44" spans="1:8" ht="15">
      <c r="A44" t="e">
        <f>LA_info!$E$2</f>
        <v>#N/A</v>
      </c>
      <c r="B44">
        <v>2017</v>
      </c>
      <c r="C44" s="15">
        <f t="shared" si="1"/>
        <v>0</v>
      </c>
      <c r="D44">
        <f>((VLOOKUP(Form!$O$2,Form!$L$141:$M$152,2,FALSE))-1)</f>
        <v>7</v>
      </c>
      <c r="E44">
        <v>43</v>
      </c>
      <c r="F44">
        <v>1</v>
      </c>
      <c r="G44" s="15">
        <f>Form!E75</f>
        <v>0</v>
      </c>
      <c r="H44" s="15" t="s">
        <v>748</v>
      </c>
    </row>
    <row r="45" spans="1:8" ht="15">
      <c r="A45" t="e">
        <f>LA_info!$E$2</f>
        <v>#N/A</v>
      </c>
      <c r="B45">
        <v>2017</v>
      </c>
      <c r="C45" s="15">
        <f t="shared" si="1"/>
        <v>0</v>
      </c>
      <c r="D45">
        <f>((VLOOKUP(Form!$O$2,Form!$L$141:$M$152,2,FALSE))-1)</f>
        <v>7</v>
      </c>
      <c r="E45">
        <v>44</v>
      </c>
      <c r="F45">
        <v>1</v>
      </c>
      <c r="G45" s="15">
        <f>Form!E79</f>
        <v>0</v>
      </c>
      <c r="H45" s="15" t="s">
        <v>748</v>
      </c>
    </row>
    <row r="46" spans="1:8" ht="15">
      <c r="A46" t="e">
        <f>LA_info!$E$2</f>
        <v>#N/A</v>
      </c>
      <c r="B46">
        <v>2017</v>
      </c>
      <c r="C46" s="15">
        <f t="shared" si="1"/>
        <v>0</v>
      </c>
      <c r="D46">
        <f>((VLOOKUP(Form!$O$2,Form!$L$141:$M$152,2,FALSE))-1)</f>
        <v>7</v>
      </c>
      <c r="E46">
        <v>45</v>
      </c>
      <c r="F46">
        <v>1</v>
      </c>
      <c r="G46" s="15">
        <f>Form!E80</f>
        <v>0</v>
      </c>
      <c r="H46" s="15" t="s">
        <v>748</v>
      </c>
    </row>
    <row r="47" spans="1:8" ht="15">
      <c r="A47" t="e">
        <f>LA_info!$E$2</f>
        <v>#N/A</v>
      </c>
      <c r="B47">
        <v>2017</v>
      </c>
      <c r="C47" s="15">
        <f t="shared" si="1"/>
        <v>0</v>
      </c>
      <c r="D47">
        <f>((VLOOKUP(Form!$O$2,Form!$L$141:$M$152,2,FALSE))-1)</f>
        <v>7</v>
      </c>
      <c r="E47">
        <v>46</v>
      </c>
      <c r="F47">
        <v>1</v>
      </c>
      <c r="G47" s="15">
        <f>Form!E85</f>
        <v>0</v>
      </c>
      <c r="H47" s="15" t="s">
        <v>748</v>
      </c>
    </row>
    <row r="48" spans="1:8" ht="15">
      <c r="A48" t="e">
        <f>LA_info!$E$2</f>
        <v>#N/A</v>
      </c>
      <c r="B48">
        <v>2017</v>
      </c>
      <c r="C48" s="15">
        <f t="shared" si="1"/>
        <v>0</v>
      </c>
      <c r="D48">
        <f>((VLOOKUP(Form!$O$2,Form!$L$141:$M$152,2,FALSE))-1)</f>
        <v>7</v>
      </c>
      <c r="E48">
        <v>47</v>
      </c>
      <c r="F48">
        <v>1</v>
      </c>
      <c r="G48" s="15">
        <f>Form!E86</f>
        <v>0</v>
      </c>
      <c r="H48" s="15" t="s">
        <v>748</v>
      </c>
    </row>
    <row r="49" spans="1:8" ht="15">
      <c r="A49" t="e">
        <f>LA_info!$E$2</f>
        <v>#N/A</v>
      </c>
      <c r="B49">
        <v>2017</v>
      </c>
      <c r="C49" s="15">
        <f t="shared" si="1"/>
        <v>0</v>
      </c>
      <c r="D49">
        <f>((VLOOKUP(Form!$O$2,Form!$L$141:$M$152,2,FALSE))-1)</f>
        <v>7</v>
      </c>
      <c r="E49">
        <v>48</v>
      </c>
      <c r="F49">
        <v>1</v>
      </c>
      <c r="G49" s="15">
        <f>Form!O57</f>
        <v>0</v>
      </c>
      <c r="H49" s="15" t="s">
        <v>749</v>
      </c>
    </row>
    <row r="50" spans="1:8" ht="15">
      <c r="A50" t="e">
        <f>LA_info!$E$2</f>
        <v>#N/A</v>
      </c>
      <c r="B50">
        <v>2017</v>
      </c>
      <c r="C50" s="15">
        <f t="shared" si="1"/>
        <v>0</v>
      </c>
      <c r="D50">
        <f>((VLOOKUP(Form!$O$2,Form!$L$141:$M$152,2,FALSE))-1)</f>
        <v>7</v>
      </c>
      <c r="E50">
        <v>49</v>
      </c>
      <c r="F50">
        <v>1</v>
      </c>
      <c r="G50" s="15">
        <f>Form!O58</f>
        <v>0</v>
      </c>
      <c r="H50" s="15" t="s">
        <v>749</v>
      </c>
    </row>
    <row r="51" spans="1:8" ht="15">
      <c r="A51" t="e">
        <f>LA_info!$E$2</f>
        <v>#N/A</v>
      </c>
      <c r="B51">
        <v>2017</v>
      </c>
      <c r="C51" s="15">
        <f t="shared" si="1"/>
        <v>0</v>
      </c>
      <c r="D51">
        <f>((VLOOKUP(Form!$O$2,Form!$L$141:$M$152,2,FALSE))-1)</f>
        <v>7</v>
      </c>
      <c r="E51">
        <v>50</v>
      </c>
      <c r="F51">
        <v>1</v>
      </c>
      <c r="G51" s="15">
        <f>Form!O59</f>
        <v>0</v>
      </c>
      <c r="H51" s="15" t="s">
        <v>749</v>
      </c>
    </row>
    <row r="52" spans="1:8" ht="15">
      <c r="A52" t="e">
        <f>LA_info!$E$2</f>
        <v>#N/A</v>
      </c>
      <c r="B52">
        <v>2017</v>
      </c>
      <c r="C52" s="15">
        <f t="shared" si="1"/>
        <v>0</v>
      </c>
      <c r="D52">
        <f>((VLOOKUP(Form!$O$2,Form!$L$141:$M$152,2,FALSE))-1)</f>
        <v>7</v>
      </c>
      <c r="E52">
        <v>51</v>
      </c>
      <c r="F52">
        <v>1</v>
      </c>
      <c r="G52" s="15">
        <f>Form!O63</f>
        <v>0</v>
      </c>
      <c r="H52" s="15" t="s">
        <v>749</v>
      </c>
    </row>
    <row r="53" spans="1:8" ht="15">
      <c r="A53" t="e">
        <f>LA_info!$E$2</f>
        <v>#N/A</v>
      </c>
      <c r="B53">
        <v>2017</v>
      </c>
      <c r="C53" s="15">
        <f t="shared" si="1"/>
        <v>0</v>
      </c>
      <c r="D53">
        <f>((VLOOKUP(Form!$O$2,Form!$L$141:$M$152,2,FALSE))-1)</f>
        <v>7</v>
      </c>
      <c r="E53">
        <v>52</v>
      </c>
      <c r="F53">
        <v>1</v>
      </c>
      <c r="G53" s="15">
        <f>Form!O64</f>
        <v>0</v>
      </c>
      <c r="H53" s="15" t="s">
        <v>749</v>
      </c>
    </row>
    <row r="54" spans="1:8" ht="15">
      <c r="A54" t="e">
        <f>LA_info!$E$2</f>
        <v>#N/A</v>
      </c>
      <c r="B54">
        <v>2017</v>
      </c>
      <c r="C54" s="15">
        <f t="shared" si="1"/>
        <v>0</v>
      </c>
      <c r="D54">
        <f>((VLOOKUP(Form!$O$2,Form!$L$141:$M$152,2,FALSE))-1)</f>
        <v>7</v>
      </c>
      <c r="E54">
        <v>53</v>
      </c>
      <c r="F54">
        <v>1</v>
      </c>
      <c r="G54" s="15">
        <f>Form!O65</f>
        <v>0</v>
      </c>
      <c r="H54" s="15" t="s">
        <v>749</v>
      </c>
    </row>
    <row r="55" spans="1:8" ht="15">
      <c r="A55" t="e">
        <f>LA_info!$E$2</f>
        <v>#N/A</v>
      </c>
      <c r="B55">
        <v>2017</v>
      </c>
      <c r="C55" s="15">
        <f t="shared" si="1"/>
        <v>0</v>
      </c>
      <c r="D55">
        <f>((VLOOKUP(Form!$O$2,Form!$L$141:$M$152,2,FALSE))-1)</f>
        <v>7</v>
      </c>
      <c r="E55">
        <v>54</v>
      </c>
      <c r="F55">
        <v>1</v>
      </c>
      <c r="G55" s="15">
        <f>Form!O66</f>
        <v>0</v>
      </c>
      <c r="H55" s="15" t="s">
        <v>749</v>
      </c>
    </row>
    <row r="56" spans="1:8" ht="15">
      <c r="A56" t="e">
        <f>LA_info!$E$2</f>
        <v>#N/A</v>
      </c>
      <c r="B56">
        <v>2017</v>
      </c>
      <c r="C56" s="15">
        <f t="shared" si="1"/>
        <v>0</v>
      </c>
      <c r="D56">
        <f>((VLOOKUP(Form!$O$2,Form!$L$141:$M$152,2,FALSE))-1)</f>
        <v>7</v>
      </c>
      <c r="E56">
        <v>55</v>
      </c>
      <c r="F56">
        <v>1</v>
      </c>
      <c r="G56" s="15">
        <f>Form!O67</f>
        <v>0</v>
      </c>
      <c r="H56" s="15" t="s">
        <v>749</v>
      </c>
    </row>
    <row r="57" spans="1:8" ht="15">
      <c r="A57" t="e">
        <f>LA_info!$E$2</f>
        <v>#N/A</v>
      </c>
      <c r="B57">
        <v>2017</v>
      </c>
      <c r="C57" s="15">
        <f t="shared" si="1"/>
        <v>0</v>
      </c>
      <c r="D57">
        <f>((VLOOKUP(Form!$O$2,Form!$L$141:$M$152,2,FALSE))-1)</f>
        <v>7</v>
      </c>
      <c r="E57">
        <v>56</v>
      </c>
      <c r="F57">
        <v>1</v>
      </c>
      <c r="G57" s="15">
        <f>Form!O70</f>
        <v>0</v>
      </c>
      <c r="H57" s="15" t="s">
        <v>749</v>
      </c>
    </row>
    <row r="58" spans="1:8" ht="15">
      <c r="A58" t="e">
        <f>LA_info!$E$2</f>
        <v>#N/A</v>
      </c>
      <c r="B58">
        <v>2017</v>
      </c>
      <c r="C58" s="15">
        <f t="shared" si="1"/>
        <v>0</v>
      </c>
      <c r="D58">
        <f>((VLOOKUP(Form!$O$2,Form!$L$141:$M$152,2,FALSE))-1)</f>
        <v>7</v>
      </c>
      <c r="E58">
        <v>57</v>
      </c>
      <c r="F58">
        <v>1</v>
      </c>
      <c r="G58" s="15">
        <f>Form!O71</f>
        <v>0</v>
      </c>
      <c r="H58" s="15" t="s">
        <v>749</v>
      </c>
    </row>
    <row r="59" spans="1:8" ht="15">
      <c r="A59" t="e">
        <f>LA_info!$E$2</f>
        <v>#N/A</v>
      </c>
      <c r="B59">
        <v>2017</v>
      </c>
      <c r="C59" s="15">
        <f t="shared" si="1"/>
        <v>0</v>
      </c>
      <c r="D59">
        <f>((VLOOKUP(Form!$O$2,Form!$L$141:$M$152,2,FALSE))-1)</f>
        <v>7</v>
      </c>
      <c r="E59">
        <v>58</v>
      </c>
      <c r="F59">
        <v>1</v>
      </c>
      <c r="G59" s="15">
        <f>Form!O72</f>
        <v>0</v>
      </c>
      <c r="H59" s="15" t="s">
        <v>749</v>
      </c>
    </row>
    <row r="60" spans="1:8" ht="15">
      <c r="A60" t="e">
        <f>LA_info!$E$2</f>
        <v>#N/A</v>
      </c>
      <c r="B60">
        <v>2017</v>
      </c>
      <c r="C60" s="15">
        <f t="shared" si="1"/>
        <v>0</v>
      </c>
      <c r="D60">
        <f>((VLOOKUP(Form!$O$2,Form!$L$141:$M$152,2,FALSE))-1)</f>
        <v>7</v>
      </c>
      <c r="E60">
        <v>59</v>
      </c>
      <c r="F60">
        <v>1</v>
      </c>
      <c r="G60" s="15">
        <f>Form!O73</f>
        <v>0</v>
      </c>
      <c r="H60" s="15" t="s">
        <v>749</v>
      </c>
    </row>
    <row r="61" spans="1:8" ht="15">
      <c r="A61" t="e">
        <f>LA_info!$E$2</f>
        <v>#N/A</v>
      </c>
      <c r="B61">
        <v>2017</v>
      </c>
      <c r="C61" s="15">
        <f t="shared" si="1"/>
        <v>0</v>
      </c>
      <c r="D61">
        <f>((VLOOKUP(Form!$O$2,Form!$L$141:$M$152,2,FALSE))-1)</f>
        <v>7</v>
      </c>
      <c r="E61">
        <v>60</v>
      </c>
      <c r="F61">
        <v>1</v>
      </c>
      <c r="G61" s="15">
        <f>Form!O75</f>
        <v>0</v>
      </c>
      <c r="H61" s="15" t="s">
        <v>749</v>
      </c>
    </row>
    <row r="62" spans="1:8" ht="15">
      <c r="A62" t="e">
        <f>LA_info!$E$2</f>
        <v>#N/A</v>
      </c>
      <c r="B62">
        <v>2017</v>
      </c>
      <c r="C62" s="15">
        <f t="shared" si="1"/>
        <v>0</v>
      </c>
      <c r="D62">
        <f>((VLOOKUP(Form!$O$2,Form!$L$141:$M$152,2,FALSE))-1)</f>
        <v>7</v>
      </c>
      <c r="E62">
        <v>61</v>
      </c>
      <c r="F62">
        <v>1</v>
      </c>
      <c r="G62" s="15" t="e">
        <f>SUM(Validation!J36:Validation!J38)-(SUM(Validation!J41:Validation!J43)-Validation!J44)</f>
        <v>#N/A</v>
      </c>
      <c r="H62" s="15" t="s">
        <v>748</v>
      </c>
    </row>
    <row r="63" spans="1:8" ht="15">
      <c r="A63" t="e">
        <f>LA_info!$E$2</f>
        <v>#N/A</v>
      </c>
      <c r="B63">
        <v>2017</v>
      </c>
      <c r="C63" s="15">
        <f t="shared" si="1"/>
        <v>0</v>
      </c>
      <c r="D63">
        <f>((VLOOKUP(Form!$O$2,Form!$L$141:$M$152,2,FALSE))-1)</f>
        <v>7</v>
      </c>
      <c r="E63">
        <v>62</v>
      </c>
      <c r="F63">
        <v>1</v>
      </c>
      <c r="G63" s="15">
        <f>Form!E30+Form!E48+Form!I48</f>
        <v>0</v>
      </c>
      <c r="H63" s="15" t="s">
        <v>748</v>
      </c>
    </row>
    <row r="64" spans="1:8" ht="15">
      <c r="A64" t="e">
        <f>LA_info!$E$2</f>
        <v>#N/A</v>
      </c>
      <c r="B64">
        <v>2017</v>
      </c>
      <c r="C64" s="15">
        <f t="shared" si="1"/>
        <v>0</v>
      </c>
      <c r="D64">
        <f>((VLOOKUP(Form!$O$2,Form!$L$141:$M$152,2,FALSE))-1)</f>
        <v>7</v>
      </c>
      <c r="E64">
        <v>63</v>
      </c>
      <c r="F64">
        <v>1</v>
      </c>
      <c r="G64" s="15">
        <f>Form!E75+Form!E79+Form!E80</f>
        <v>0</v>
      </c>
      <c r="H64" s="15" t="s">
        <v>748</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62"/>
  <sheetViews>
    <sheetView zoomScalePageLayoutView="0" workbookViewId="0" topLeftCell="A1">
      <selection activeCell="B2" sqref="B2:B62"/>
    </sheetView>
  </sheetViews>
  <sheetFormatPr defaultColWidth="8.88671875" defaultRowHeight="15"/>
  <sheetData>
    <row r="1" spans="1:6" ht="15">
      <c r="A1" t="s">
        <v>712</v>
      </c>
      <c r="B1" t="s">
        <v>746</v>
      </c>
      <c r="C1" t="s">
        <v>714</v>
      </c>
      <c r="D1" t="s">
        <v>740</v>
      </c>
      <c r="E1" t="s">
        <v>741</v>
      </c>
      <c r="F1" t="s">
        <v>715</v>
      </c>
    </row>
    <row r="2" spans="1:6" ht="15">
      <c r="A2" t="e">
        <f>LA_info!E2</f>
        <v>#N/A</v>
      </c>
      <c r="B2">
        <v>2017</v>
      </c>
      <c r="C2">
        <v>6</v>
      </c>
      <c r="D2">
        <v>1</v>
      </c>
      <c r="E2" t="s">
        <v>748</v>
      </c>
      <c r="F2" s="15">
        <f>SUM(Form!E25:E29)</f>
        <v>0</v>
      </c>
    </row>
    <row r="3" spans="1:6" ht="15">
      <c r="A3" t="e">
        <f>LA_info!E2</f>
        <v>#N/A</v>
      </c>
      <c r="B3">
        <v>2017</v>
      </c>
      <c r="C3">
        <v>17</v>
      </c>
      <c r="D3">
        <v>1</v>
      </c>
      <c r="E3" t="s">
        <v>748</v>
      </c>
      <c r="F3" s="15">
        <f>SUM(Form!E38:E47)</f>
        <v>0</v>
      </c>
    </row>
    <row r="4" spans="1:6" ht="15">
      <c r="A4" t="e">
        <f>LA_info!E2</f>
        <v>#N/A</v>
      </c>
      <c r="B4">
        <v>2017</v>
      </c>
      <c r="C4">
        <v>29</v>
      </c>
      <c r="D4">
        <v>1</v>
      </c>
      <c r="E4" t="s">
        <v>748</v>
      </c>
      <c r="F4" s="15">
        <f>SUM(Form!I37:I47)</f>
        <v>0</v>
      </c>
    </row>
    <row r="5" spans="1:6" ht="15">
      <c r="A5" t="e">
        <f>LA_info!E2</f>
        <v>#N/A</v>
      </c>
      <c r="B5">
        <v>2017</v>
      </c>
      <c r="C5">
        <v>43</v>
      </c>
      <c r="D5">
        <v>1</v>
      </c>
      <c r="E5" t="s">
        <v>748</v>
      </c>
      <c r="F5" s="15">
        <f>SUM(Form!E57:E60,Form!E63:E67,Form!E70:E73)</f>
        <v>0</v>
      </c>
    </row>
    <row r="6" spans="1:6" ht="15">
      <c r="A6" t="e">
        <f>LA_info!E2</f>
        <v>#N/A</v>
      </c>
      <c r="B6">
        <v>2017</v>
      </c>
      <c r="C6">
        <v>60</v>
      </c>
      <c r="D6">
        <v>1</v>
      </c>
      <c r="E6" t="s">
        <v>749</v>
      </c>
      <c r="F6" s="15">
        <f>SUM(Form!O57:O59,Form!O63:O67,Form!O70:O73)</f>
        <v>0</v>
      </c>
    </row>
    <row r="7" spans="1:6" ht="15">
      <c r="A7" t="e">
        <f>LA_info!E2</f>
        <v>#N/A</v>
      </c>
      <c r="B7">
        <v>2017</v>
      </c>
      <c r="C7">
        <v>61</v>
      </c>
      <c r="D7">
        <v>1</v>
      </c>
      <c r="E7" t="s">
        <v>748</v>
      </c>
      <c r="F7" t="e">
        <f>VLOOKUP(LA_info!E2,'Underlying Data'!A3:BC163,53,FALSE)</f>
        <v>#N/A</v>
      </c>
    </row>
    <row r="8" spans="1:6" ht="15">
      <c r="A8" t="e">
        <f>LA_info!E2</f>
        <v>#N/A</v>
      </c>
      <c r="B8">
        <v>2017</v>
      </c>
      <c r="C8">
        <v>1</v>
      </c>
      <c r="D8">
        <v>1</v>
      </c>
      <c r="E8" t="s">
        <v>748</v>
      </c>
      <c r="F8" t="e">
        <f>VLOOKUP(LA_info!$E$2,'Underlying Data'!$A$3:$AX$163,4,FALSE)</f>
        <v>#N/A</v>
      </c>
    </row>
    <row r="9" spans="1:6" ht="15">
      <c r="A9" t="e">
        <f>LA_info!E2</f>
        <v>#N/A</v>
      </c>
      <c r="B9">
        <v>2017</v>
      </c>
      <c r="C9">
        <v>2</v>
      </c>
      <c r="D9">
        <v>1</v>
      </c>
      <c r="E9" t="s">
        <v>748</v>
      </c>
      <c r="F9" t="e">
        <f>VLOOKUP(LA_info!$E$2,'Underlying Data'!$A$3:$AX$163,5,FALSE)</f>
        <v>#N/A</v>
      </c>
    </row>
    <row r="10" spans="1:6" ht="15">
      <c r="A10" t="e">
        <f>LA_info!E2</f>
        <v>#N/A</v>
      </c>
      <c r="B10">
        <v>2017</v>
      </c>
      <c r="C10">
        <v>3</v>
      </c>
      <c r="D10">
        <v>1</v>
      </c>
      <c r="E10" t="s">
        <v>748</v>
      </c>
      <c r="F10" t="e">
        <f>VLOOKUP(LA_info!$E$2,'Underlying Data'!$A$3:$AX$163,6,FALSE)</f>
        <v>#N/A</v>
      </c>
    </row>
    <row r="11" spans="1:6" ht="15">
      <c r="A11" t="e">
        <f>LA_info!E2</f>
        <v>#N/A</v>
      </c>
      <c r="B11">
        <v>2017</v>
      </c>
      <c r="C11">
        <v>4</v>
      </c>
      <c r="D11">
        <v>1</v>
      </c>
      <c r="E11" t="s">
        <v>748</v>
      </c>
      <c r="F11" t="e">
        <f>VLOOKUP(LA_info!$E$2,'Underlying Data'!$A$3:$AX$163,7,FALSE)</f>
        <v>#N/A</v>
      </c>
    </row>
    <row r="12" spans="1:6" ht="15">
      <c r="A12" t="e">
        <f>LA_info!E2</f>
        <v>#N/A</v>
      </c>
      <c r="B12">
        <v>2017</v>
      </c>
      <c r="C12">
        <v>5</v>
      </c>
      <c r="D12">
        <v>1</v>
      </c>
      <c r="E12" t="s">
        <v>748</v>
      </c>
      <c r="F12" t="e">
        <f>VLOOKUP(LA_info!$E$2,'Underlying Data'!$A$3:$AX$163,8,FALSE)</f>
        <v>#N/A</v>
      </c>
    </row>
    <row r="13" spans="1:6" ht="15">
      <c r="A13" t="e">
        <f>LA_info!E2</f>
        <v>#N/A</v>
      </c>
      <c r="B13">
        <v>2017</v>
      </c>
      <c r="C13">
        <v>7</v>
      </c>
      <c r="D13">
        <v>1</v>
      </c>
      <c r="E13" t="s">
        <v>748</v>
      </c>
      <c r="F13" t="e">
        <f>VLOOKUP(LA_info!$E$2,'Underlying Data'!$A$3:$AX$163,10,FALSE)</f>
        <v>#N/A</v>
      </c>
    </row>
    <row r="14" spans="1:6" ht="15">
      <c r="A14" t="e">
        <f>LA_info!E2</f>
        <v>#N/A</v>
      </c>
      <c r="B14">
        <v>2017</v>
      </c>
      <c r="C14">
        <v>8</v>
      </c>
      <c r="D14">
        <v>1</v>
      </c>
      <c r="E14" t="s">
        <v>748</v>
      </c>
      <c r="F14" t="e">
        <f>VLOOKUP(LA_info!$E$2,'Underlying Data'!$A$3:$AX$163,11,FALSE)</f>
        <v>#N/A</v>
      </c>
    </row>
    <row r="15" spans="1:6" ht="15">
      <c r="A15" t="e">
        <f>LA_info!E2</f>
        <v>#N/A</v>
      </c>
      <c r="B15">
        <v>2017</v>
      </c>
      <c r="C15">
        <v>9</v>
      </c>
      <c r="D15">
        <v>1</v>
      </c>
      <c r="E15" t="s">
        <v>748</v>
      </c>
      <c r="F15" t="e">
        <f>VLOOKUP(LA_info!$E$2,'Underlying Data'!$A$3:$AX$163,12,FALSE)</f>
        <v>#N/A</v>
      </c>
    </row>
    <row r="16" spans="1:6" ht="15">
      <c r="A16" t="e">
        <f>LA_info!E2</f>
        <v>#N/A</v>
      </c>
      <c r="B16">
        <v>2017</v>
      </c>
      <c r="C16">
        <v>10</v>
      </c>
      <c r="D16">
        <v>1</v>
      </c>
      <c r="E16" t="s">
        <v>748</v>
      </c>
      <c r="F16" t="e">
        <f>VLOOKUP(LA_info!$E$2,'Underlying Data'!$A$3:$AX$163,13,FALSE)</f>
        <v>#N/A</v>
      </c>
    </row>
    <row r="17" spans="1:6" ht="15">
      <c r="A17" t="e">
        <f>LA_info!E2</f>
        <v>#N/A</v>
      </c>
      <c r="B17">
        <v>2017</v>
      </c>
      <c r="C17">
        <v>11</v>
      </c>
      <c r="D17">
        <v>1</v>
      </c>
      <c r="E17" t="s">
        <v>748</v>
      </c>
      <c r="F17" t="e">
        <f>VLOOKUP(LA_info!$E$2,'Underlying Data'!$A$3:$AX$163,14,FALSE)</f>
        <v>#N/A</v>
      </c>
    </row>
    <row r="18" spans="1:6" ht="15">
      <c r="A18" t="e">
        <f>LA_info!E2</f>
        <v>#N/A</v>
      </c>
      <c r="B18">
        <v>2017</v>
      </c>
      <c r="C18">
        <v>12</v>
      </c>
      <c r="D18">
        <v>1</v>
      </c>
      <c r="E18" t="s">
        <v>748</v>
      </c>
      <c r="F18" t="e">
        <f>VLOOKUP(LA_info!$E$2,'Underlying Data'!$A$3:$AX$163,15,FALSE)</f>
        <v>#N/A</v>
      </c>
    </row>
    <row r="19" spans="1:6" ht="15">
      <c r="A19" t="e">
        <f>LA_info!E2</f>
        <v>#N/A</v>
      </c>
      <c r="B19">
        <v>2017</v>
      </c>
      <c r="C19">
        <v>13</v>
      </c>
      <c r="D19">
        <v>1</v>
      </c>
      <c r="E19" t="s">
        <v>748</v>
      </c>
      <c r="F19" t="e">
        <f>VLOOKUP(LA_info!$E$2,'Underlying Data'!$A$3:$AX$163,16,FALSE)</f>
        <v>#N/A</v>
      </c>
    </row>
    <row r="20" spans="1:6" ht="15">
      <c r="A20" t="e">
        <f>LA_info!E2</f>
        <v>#N/A</v>
      </c>
      <c r="B20">
        <v>2017</v>
      </c>
      <c r="C20">
        <v>14</v>
      </c>
      <c r="D20">
        <v>1</v>
      </c>
      <c r="E20" t="s">
        <v>748</v>
      </c>
      <c r="F20" t="e">
        <f>VLOOKUP(LA_info!$E$2,'Underlying Data'!$A$3:$AX$163,17,FALSE)</f>
        <v>#N/A</v>
      </c>
    </row>
    <row r="21" spans="1:6" ht="15">
      <c r="A21" t="e">
        <f>LA_info!E2</f>
        <v>#N/A</v>
      </c>
      <c r="B21">
        <v>2017</v>
      </c>
      <c r="C21">
        <v>15</v>
      </c>
      <c r="D21">
        <v>1</v>
      </c>
      <c r="E21" t="s">
        <v>748</v>
      </c>
      <c r="F21" t="e">
        <f>VLOOKUP(LA_info!$E$2,'Underlying Data'!$A$3:$AX$163,18,FALSE)</f>
        <v>#N/A</v>
      </c>
    </row>
    <row r="22" spans="1:6" ht="15">
      <c r="A22" t="e">
        <f>LA_info!E2</f>
        <v>#N/A</v>
      </c>
      <c r="B22">
        <v>2017</v>
      </c>
      <c r="C22">
        <v>16</v>
      </c>
      <c r="D22">
        <v>1</v>
      </c>
      <c r="E22" t="s">
        <v>748</v>
      </c>
      <c r="F22" t="e">
        <f>VLOOKUP(LA_info!$E$2,'Underlying Data'!$A$3:$AX$163,19,FALSE)</f>
        <v>#N/A</v>
      </c>
    </row>
    <row r="23" spans="1:6" ht="15">
      <c r="A23" t="e">
        <f>LA_info!E2</f>
        <v>#N/A</v>
      </c>
      <c r="B23">
        <v>2017</v>
      </c>
      <c r="C23">
        <v>18</v>
      </c>
      <c r="D23">
        <v>1</v>
      </c>
      <c r="E23" t="s">
        <v>748</v>
      </c>
      <c r="F23" t="e">
        <f>VLOOKUP(LA_info!$E$2,'Underlying Data'!$A$3:$AX$163,21,FALSE)</f>
        <v>#N/A</v>
      </c>
    </row>
    <row r="24" spans="1:6" ht="15">
      <c r="A24" t="e">
        <f>LA_info!E2</f>
        <v>#N/A</v>
      </c>
      <c r="B24">
        <v>2017</v>
      </c>
      <c r="C24">
        <v>19</v>
      </c>
      <c r="D24">
        <v>1</v>
      </c>
      <c r="E24" t="s">
        <v>748</v>
      </c>
      <c r="F24" t="e">
        <f>VLOOKUP(LA_info!$E$2,'Underlying Data'!$A$3:$AX$163,22,FALSE)</f>
        <v>#N/A</v>
      </c>
    </row>
    <row r="25" spans="1:6" ht="15">
      <c r="A25" t="e">
        <f>LA_info!E2</f>
        <v>#N/A</v>
      </c>
      <c r="B25">
        <v>2017</v>
      </c>
      <c r="C25">
        <v>20</v>
      </c>
      <c r="D25">
        <v>1</v>
      </c>
      <c r="E25" t="s">
        <v>748</v>
      </c>
      <c r="F25" t="e">
        <f>VLOOKUP(LA_info!$E$2,'Underlying Data'!$A$3:$AX$163,23,FALSE)</f>
        <v>#N/A</v>
      </c>
    </row>
    <row r="26" spans="1:6" ht="15">
      <c r="A26" t="e">
        <f>LA_info!E2</f>
        <v>#N/A</v>
      </c>
      <c r="B26">
        <v>2017</v>
      </c>
      <c r="C26">
        <v>21</v>
      </c>
      <c r="D26">
        <v>1</v>
      </c>
      <c r="E26" t="s">
        <v>748</v>
      </c>
      <c r="F26" t="e">
        <f>VLOOKUP(LA_info!$E$2,'Underlying Data'!$A$3:$AX$163,24,FALSE)</f>
        <v>#N/A</v>
      </c>
    </row>
    <row r="27" spans="1:6" ht="15">
      <c r="A27" t="e">
        <f>LA_info!E2</f>
        <v>#N/A</v>
      </c>
      <c r="B27">
        <v>2017</v>
      </c>
      <c r="C27">
        <v>22</v>
      </c>
      <c r="D27">
        <v>1</v>
      </c>
      <c r="E27" t="s">
        <v>748</v>
      </c>
      <c r="F27" t="e">
        <f>VLOOKUP(LA_info!$E$2,'Underlying Data'!$A$3:$AX$163,25,FALSE)</f>
        <v>#N/A</v>
      </c>
    </row>
    <row r="28" spans="1:6" ht="15">
      <c r="A28" t="e">
        <f>LA_info!E2</f>
        <v>#N/A</v>
      </c>
      <c r="B28">
        <v>2017</v>
      </c>
      <c r="C28">
        <v>23</v>
      </c>
      <c r="D28">
        <v>1</v>
      </c>
      <c r="E28" t="s">
        <v>748</v>
      </c>
      <c r="F28" t="e">
        <f>VLOOKUP(LA_info!$E$2,'Underlying Data'!$A$3:$AX$163,26,FALSE)</f>
        <v>#N/A</v>
      </c>
    </row>
    <row r="29" spans="1:6" ht="15">
      <c r="A29" t="e">
        <f>LA_info!E2</f>
        <v>#N/A</v>
      </c>
      <c r="B29">
        <v>2017</v>
      </c>
      <c r="C29">
        <v>24</v>
      </c>
      <c r="D29">
        <v>1</v>
      </c>
      <c r="E29" t="s">
        <v>748</v>
      </c>
      <c r="F29" t="e">
        <f>VLOOKUP(LA_info!$E$2,'Underlying Data'!$A$3:$AX$163,27,FALSE)</f>
        <v>#N/A</v>
      </c>
    </row>
    <row r="30" spans="1:6" ht="15">
      <c r="A30" t="e">
        <f>LA_info!E2</f>
        <v>#N/A</v>
      </c>
      <c r="B30">
        <v>2017</v>
      </c>
      <c r="C30">
        <v>25</v>
      </c>
      <c r="D30">
        <v>1</v>
      </c>
      <c r="E30" t="s">
        <v>748</v>
      </c>
      <c r="F30" t="e">
        <f>VLOOKUP(LA_info!$E$2,'Underlying Data'!$A$3:$AX$163,28,FALSE)</f>
        <v>#N/A</v>
      </c>
    </row>
    <row r="31" spans="1:6" ht="15">
      <c r="A31" t="e">
        <f>LA_info!E2</f>
        <v>#N/A</v>
      </c>
      <c r="B31">
        <v>2017</v>
      </c>
      <c r="C31">
        <v>26</v>
      </c>
      <c r="D31">
        <v>1</v>
      </c>
      <c r="E31" t="s">
        <v>748</v>
      </c>
      <c r="F31" t="e">
        <f>VLOOKUP(LA_info!$E$2,'Underlying Data'!$A$3:$AX$163,29,FALSE)</f>
        <v>#N/A</v>
      </c>
    </row>
    <row r="32" spans="1:6" ht="15">
      <c r="A32" t="e">
        <f>LA_info!E2</f>
        <v>#N/A</v>
      </c>
      <c r="B32">
        <v>2017</v>
      </c>
      <c r="C32">
        <v>27</v>
      </c>
      <c r="D32">
        <v>1</v>
      </c>
      <c r="E32" t="s">
        <v>748</v>
      </c>
      <c r="F32" t="e">
        <f>VLOOKUP(LA_info!$E$2,'Underlying Data'!$A$3:$AX$163,30,FALSE)</f>
        <v>#N/A</v>
      </c>
    </row>
    <row r="33" spans="1:6" ht="15">
      <c r="A33" t="e">
        <f>LA_info!E2</f>
        <v>#N/A</v>
      </c>
      <c r="B33">
        <v>2017</v>
      </c>
      <c r="C33">
        <v>28</v>
      </c>
      <c r="D33">
        <v>1</v>
      </c>
      <c r="E33" t="s">
        <v>748</v>
      </c>
      <c r="F33" t="e">
        <f>VLOOKUP(LA_info!$E$2,'Underlying Data'!$A$3:$AX$163,31,FALSE)</f>
        <v>#N/A</v>
      </c>
    </row>
    <row r="34" spans="1:6" ht="15">
      <c r="A34" t="e">
        <f>LA_info!E2</f>
        <v>#N/A</v>
      </c>
      <c r="B34">
        <v>2017</v>
      </c>
      <c r="C34">
        <v>30</v>
      </c>
      <c r="D34">
        <v>1</v>
      </c>
      <c r="E34" t="s">
        <v>748</v>
      </c>
      <c r="F34" t="e">
        <f>VLOOKUP(LA_info!$E$2,'Underlying Data'!$A$3:$AX$163,33,FALSE)</f>
        <v>#N/A</v>
      </c>
    </row>
    <row r="35" spans="1:6" ht="15">
      <c r="A35" t="e">
        <f>LA_info!E2</f>
        <v>#N/A</v>
      </c>
      <c r="B35">
        <v>2017</v>
      </c>
      <c r="C35">
        <v>31</v>
      </c>
      <c r="D35">
        <v>1</v>
      </c>
      <c r="E35" t="s">
        <v>748</v>
      </c>
      <c r="F35" t="e">
        <f>VLOOKUP(LA_info!$E$2,'Underlying Data'!$A$3:$AX$163,34,FALSE)</f>
        <v>#N/A</v>
      </c>
    </row>
    <row r="36" spans="1:6" ht="15">
      <c r="A36" t="e">
        <f>LA_info!E2</f>
        <v>#N/A</v>
      </c>
      <c r="B36">
        <v>2017</v>
      </c>
      <c r="C36">
        <v>32</v>
      </c>
      <c r="D36">
        <v>1</v>
      </c>
      <c r="E36" t="s">
        <v>748</v>
      </c>
      <c r="F36" t="e">
        <f>VLOOKUP(LA_info!$E$2,'Underlying Data'!$A$3:$AX$163,35,FALSE)</f>
        <v>#N/A</v>
      </c>
    </row>
    <row r="37" spans="1:6" ht="15">
      <c r="A37" t="e">
        <f>LA_info!E2</f>
        <v>#N/A</v>
      </c>
      <c r="B37">
        <v>2017</v>
      </c>
      <c r="C37">
        <v>33</v>
      </c>
      <c r="D37">
        <v>1</v>
      </c>
      <c r="E37" t="s">
        <v>748</v>
      </c>
      <c r="F37" t="e">
        <f>VLOOKUP(LA_info!$E$2,'Underlying Data'!$A$3:$AX$163,36,FALSE)</f>
        <v>#N/A</v>
      </c>
    </row>
    <row r="38" spans="1:6" ht="15">
      <c r="A38" t="e">
        <f>LA_info!E2</f>
        <v>#N/A</v>
      </c>
      <c r="B38">
        <v>2017</v>
      </c>
      <c r="C38">
        <v>34</v>
      </c>
      <c r="D38">
        <v>1</v>
      </c>
      <c r="E38" t="s">
        <v>748</v>
      </c>
      <c r="F38" t="e">
        <f>VLOOKUP(LA_info!$E$2,'Underlying Data'!$A$3:$AX$163,37,FALSE)</f>
        <v>#N/A</v>
      </c>
    </row>
    <row r="39" spans="1:6" ht="15">
      <c r="A39" t="e">
        <f>LA_info!E2</f>
        <v>#N/A</v>
      </c>
      <c r="B39">
        <v>2017</v>
      </c>
      <c r="C39">
        <v>35</v>
      </c>
      <c r="D39">
        <v>1</v>
      </c>
      <c r="E39" t="s">
        <v>748</v>
      </c>
      <c r="F39" t="e">
        <f>VLOOKUP(LA_info!$E$2,'Underlying Data'!$A$3:$AX$163,38,FALSE)</f>
        <v>#N/A</v>
      </c>
    </row>
    <row r="40" spans="1:6" ht="15">
      <c r="A40" t="e">
        <f>LA_info!E2</f>
        <v>#N/A</v>
      </c>
      <c r="B40">
        <v>2017</v>
      </c>
      <c r="C40">
        <v>36</v>
      </c>
      <c r="D40">
        <v>1</v>
      </c>
      <c r="E40" t="s">
        <v>748</v>
      </c>
      <c r="F40" t="e">
        <f>VLOOKUP(LA_info!$E$2,'Underlying Data'!$A$3:$AX$163,39,FALSE)</f>
        <v>#N/A</v>
      </c>
    </row>
    <row r="41" spans="1:6" ht="15">
      <c r="A41" t="e">
        <f>LA_info!E2</f>
        <v>#N/A</v>
      </c>
      <c r="B41">
        <v>2017</v>
      </c>
      <c r="C41">
        <v>37</v>
      </c>
      <c r="D41">
        <v>1</v>
      </c>
      <c r="E41" t="s">
        <v>748</v>
      </c>
      <c r="F41" t="e">
        <f>VLOOKUP(LA_info!$E$2,'Underlying Data'!$A$3:$AX$163,40,FALSE)</f>
        <v>#N/A</v>
      </c>
    </row>
    <row r="42" spans="1:6" ht="15">
      <c r="A42" t="e">
        <f>LA_info!E2</f>
        <v>#N/A</v>
      </c>
      <c r="B42">
        <v>2017</v>
      </c>
      <c r="C42">
        <v>38</v>
      </c>
      <c r="D42">
        <v>1</v>
      </c>
      <c r="E42" t="s">
        <v>748</v>
      </c>
      <c r="F42" t="e">
        <f>VLOOKUP(LA_info!$E$2,'Underlying Data'!$A$3:$AX$163,41,FALSE)</f>
        <v>#N/A</v>
      </c>
    </row>
    <row r="43" spans="1:6" ht="15">
      <c r="A43" t="e">
        <f>LA_info!E2</f>
        <v>#N/A</v>
      </c>
      <c r="B43">
        <v>2017</v>
      </c>
      <c r="C43">
        <v>39</v>
      </c>
      <c r="D43">
        <v>1</v>
      </c>
      <c r="E43" t="s">
        <v>748</v>
      </c>
      <c r="F43" t="e">
        <f>VLOOKUP(LA_info!$E$2,'Underlying Data'!$A$3:$AX$163,42,FALSE)</f>
        <v>#N/A</v>
      </c>
    </row>
    <row r="44" spans="1:6" ht="15">
      <c r="A44" t="e">
        <f>LA_info!E2</f>
        <v>#N/A</v>
      </c>
      <c r="B44">
        <v>2017</v>
      </c>
      <c r="C44">
        <v>40</v>
      </c>
      <c r="D44">
        <v>1</v>
      </c>
      <c r="E44" t="s">
        <v>748</v>
      </c>
      <c r="F44" t="e">
        <f>VLOOKUP(LA_info!$E$2,'Underlying Data'!$A$3:$AX$163,43,FALSE)</f>
        <v>#N/A</v>
      </c>
    </row>
    <row r="45" spans="1:6" ht="15">
      <c r="A45" t="e">
        <f>LA_info!E2</f>
        <v>#N/A</v>
      </c>
      <c r="B45">
        <v>2017</v>
      </c>
      <c r="C45">
        <v>41</v>
      </c>
      <c r="D45">
        <v>1</v>
      </c>
      <c r="E45" t="s">
        <v>748</v>
      </c>
      <c r="F45" t="e">
        <f>VLOOKUP(LA_info!$E$2,'Underlying Data'!$A$3:$AX$163,44,FALSE)</f>
        <v>#N/A</v>
      </c>
    </row>
    <row r="46" spans="1:6" ht="15">
      <c r="A46" t="e">
        <f>LA_info!E2</f>
        <v>#N/A</v>
      </c>
      <c r="B46">
        <v>2017</v>
      </c>
      <c r="C46">
        <v>42</v>
      </c>
      <c r="D46">
        <v>1</v>
      </c>
      <c r="E46" t="s">
        <v>748</v>
      </c>
      <c r="F46" t="e">
        <f>VLOOKUP(LA_info!$E$2,'Underlying Data'!$A$3:$AX$163,45,FALSE)</f>
        <v>#N/A</v>
      </c>
    </row>
    <row r="47" spans="1:6" ht="15">
      <c r="A47" t="e">
        <f>LA_info!E2</f>
        <v>#N/A</v>
      </c>
      <c r="B47">
        <v>2017</v>
      </c>
      <c r="C47">
        <v>44</v>
      </c>
      <c r="D47">
        <v>1</v>
      </c>
      <c r="E47" t="s">
        <v>748</v>
      </c>
      <c r="F47" t="e">
        <f>VLOOKUP(LA_info!$E$2,'Underlying Data'!$A$3:$AX$163,47,FALSE)</f>
        <v>#N/A</v>
      </c>
    </row>
    <row r="48" spans="1:6" ht="15">
      <c r="A48" t="e">
        <f>LA_info!E2</f>
        <v>#N/A</v>
      </c>
      <c r="B48">
        <v>2017</v>
      </c>
      <c r="C48">
        <v>45</v>
      </c>
      <c r="D48">
        <v>1</v>
      </c>
      <c r="E48" t="s">
        <v>748</v>
      </c>
      <c r="F48" t="e">
        <f>VLOOKUP(LA_info!$E$2,'Underlying Data'!$A$3:$AX$163,48,FALSE)</f>
        <v>#N/A</v>
      </c>
    </row>
    <row r="49" spans="1:6" ht="15">
      <c r="A49" t="e">
        <f>LA_info!E2</f>
        <v>#N/A</v>
      </c>
      <c r="B49">
        <v>2017</v>
      </c>
      <c r="C49">
        <v>46</v>
      </c>
      <c r="D49">
        <v>1</v>
      </c>
      <c r="E49" t="s">
        <v>748</v>
      </c>
      <c r="F49" t="e">
        <f>VLOOKUP(LA_info!$E$2,'Underlying Data'!$A$3:$AX$163,49,FALSE)</f>
        <v>#N/A</v>
      </c>
    </row>
    <row r="50" spans="1:6" ht="15">
      <c r="A50" t="e">
        <f>LA_info!E2</f>
        <v>#N/A</v>
      </c>
      <c r="B50">
        <v>2017</v>
      </c>
      <c r="C50">
        <v>47</v>
      </c>
      <c r="D50">
        <v>1</v>
      </c>
      <c r="E50" t="s">
        <v>748</v>
      </c>
      <c r="F50" t="e">
        <f>VLOOKUP(LA_info!$E$2,'Underlying Data'!$A$3:$AX$163,50,FALSE)</f>
        <v>#N/A</v>
      </c>
    </row>
    <row r="51" spans="1:6" ht="15">
      <c r="A51" t="e">
        <f>LA_info!E2</f>
        <v>#N/A</v>
      </c>
      <c r="B51">
        <v>2017</v>
      </c>
      <c r="C51">
        <v>48</v>
      </c>
      <c r="D51">
        <v>1</v>
      </c>
      <c r="E51" t="s">
        <v>749</v>
      </c>
      <c r="F51">
        <v>0</v>
      </c>
    </row>
    <row r="52" spans="1:6" ht="15">
      <c r="A52" t="e">
        <f>LA_info!E2</f>
        <v>#N/A</v>
      </c>
      <c r="B52">
        <v>2017</v>
      </c>
      <c r="C52">
        <v>49</v>
      </c>
      <c r="D52">
        <v>1</v>
      </c>
      <c r="E52" t="s">
        <v>749</v>
      </c>
      <c r="F52">
        <v>0</v>
      </c>
    </row>
    <row r="53" spans="1:6" ht="15">
      <c r="A53" t="e">
        <f>LA_info!E2</f>
        <v>#N/A</v>
      </c>
      <c r="B53">
        <v>2017</v>
      </c>
      <c r="C53">
        <v>50</v>
      </c>
      <c r="D53">
        <v>1</v>
      </c>
      <c r="E53" t="s">
        <v>749</v>
      </c>
      <c r="F53">
        <v>0</v>
      </c>
    </row>
    <row r="54" spans="1:6" ht="15">
      <c r="A54" t="e">
        <f>LA_info!E2</f>
        <v>#N/A</v>
      </c>
      <c r="B54">
        <v>2017</v>
      </c>
      <c r="C54">
        <v>51</v>
      </c>
      <c r="D54">
        <v>1</v>
      </c>
      <c r="E54" t="s">
        <v>749</v>
      </c>
      <c r="F54">
        <v>0</v>
      </c>
    </row>
    <row r="55" spans="1:6" ht="15">
      <c r="A55" t="e">
        <f>LA_info!E2</f>
        <v>#N/A</v>
      </c>
      <c r="B55">
        <v>2017</v>
      </c>
      <c r="C55">
        <v>52</v>
      </c>
      <c r="D55">
        <v>1</v>
      </c>
      <c r="E55" t="s">
        <v>749</v>
      </c>
      <c r="F55">
        <v>0</v>
      </c>
    </row>
    <row r="56" spans="1:6" ht="15">
      <c r="A56" t="e">
        <f>LA_info!E2</f>
        <v>#N/A</v>
      </c>
      <c r="B56">
        <v>2017</v>
      </c>
      <c r="C56">
        <v>53</v>
      </c>
      <c r="D56">
        <v>1</v>
      </c>
      <c r="E56" t="s">
        <v>749</v>
      </c>
      <c r="F56">
        <v>0</v>
      </c>
    </row>
    <row r="57" spans="1:6" ht="15">
      <c r="A57" t="e">
        <f>LA_info!E2</f>
        <v>#N/A</v>
      </c>
      <c r="B57">
        <v>2017</v>
      </c>
      <c r="C57">
        <v>54</v>
      </c>
      <c r="D57">
        <v>1</v>
      </c>
      <c r="E57" t="s">
        <v>749</v>
      </c>
      <c r="F57">
        <v>0</v>
      </c>
    </row>
    <row r="58" spans="1:6" ht="15">
      <c r="A58" t="e">
        <f>LA_info!E2</f>
        <v>#N/A</v>
      </c>
      <c r="B58">
        <v>2017</v>
      </c>
      <c r="C58">
        <v>55</v>
      </c>
      <c r="D58">
        <v>1</v>
      </c>
      <c r="E58" t="s">
        <v>749</v>
      </c>
      <c r="F58">
        <v>0</v>
      </c>
    </row>
    <row r="59" spans="1:6" ht="15">
      <c r="A59" t="e">
        <f>LA_info!E2</f>
        <v>#N/A</v>
      </c>
      <c r="B59">
        <v>2017</v>
      </c>
      <c r="C59">
        <v>56</v>
      </c>
      <c r="D59">
        <v>1</v>
      </c>
      <c r="E59" t="s">
        <v>749</v>
      </c>
      <c r="F59">
        <v>0</v>
      </c>
    </row>
    <row r="60" spans="1:6" ht="15">
      <c r="A60" t="e">
        <f>LA_info!E2</f>
        <v>#N/A</v>
      </c>
      <c r="B60">
        <v>2017</v>
      </c>
      <c r="C60">
        <v>57</v>
      </c>
      <c r="D60">
        <v>1</v>
      </c>
      <c r="E60" t="s">
        <v>749</v>
      </c>
      <c r="F60">
        <v>0</v>
      </c>
    </row>
    <row r="61" spans="1:6" ht="15">
      <c r="A61" t="e">
        <f>LA_info!E2</f>
        <v>#N/A</v>
      </c>
      <c r="B61">
        <v>2017</v>
      </c>
      <c r="C61">
        <v>58</v>
      </c>
      <c r="D61">
        <v>1</v>
      </c>
      <c r="E61" t="s">
        <v>749</v>
      </c>
      <c r="F61">
        <v>0</v>
      </c>
    </row>
    <row r="62" spans="1:6" ht="15">
      <c r="A62" t="e">
        <f>LA_info!E2</f>
        <v>#N/A</v>
      </c>
      <c r="B62">
        <v>2017</v>
      </c>
      <c r="C62">
        <v>59</v>
      </c>
      <c r="D62">
        <v>1</v>
      </c>
      <c r="E62" t="s">
        <v>749</v>
      </c>
      <c r="F62">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Communities and Local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Clarke</dc:creator>
  <cp:keywords/>
  <dc:description/>
  <cp:lastModifiedBy>Mark Clarke</cp:lastModifiedBy>
  <cp:lastPrinted>2015-07-01T13:27:33Z</cp:lastPrinted>
  <dcterms:created xsi:type="dcterms:W3CDTF">2015-04-28T10:34:09Z</dcterms:created>
  <dcterms:modified xsi:type="dcterms:W3CDTF">2016-08-04T11:11:57Z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353a1711-7f88-4ed3-bcab-7f1710bf0304</vt:lpwstr>
  </property>
  <property fmtid="{D5CDD505-2E9C-101B-9397-08002B2CF9AE}" pid="3" name="bjSaver">
    <vt:lpwstr>a9Eu2YXtwEAZBxNtym3q/UTiIfD9a0e0</vt:lpwstr>
  </property>
  <property fmtid="{D5CDD505-2E9C-101B-9397-08002B2CF9AE}" pid="4" name="bjDocumentSecurityLabel">
    <vt:lpwstr>No Marking</vt:lpwstr>
  </property>
</Properties>
</file>