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harts/chart1.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showSheetTabs="0" xWindow="255" yWindow="0" windowWidth="19920" windowHeight="8145" tabRatio="707" activeTab="2"/>
  </bookViews>
  <sheets>
    <sheet name="New Homes Bonus" sheetId="11" r:id="rId1"/>
    <sheet name="Calculating NHB" sheetId="12" r:id="rId2"/>
    <sheet name="Cumulative Payments" sheetId="1" r:id="rId3"/>
    <sheet name="Year 7 Payments" sheetId="2" r:id="rId4"/>
    <sheet name="Estimates of Payments" sheetId="3" r:id="rId5"/>
    <sheet name="Data" sheetId="5" r:id="rId6"/>
  </sheets>
  <externalReferences>
    <externalReference r:id="rId7"/>
    <externalReference r:id="rId8"/>
  </externalReferences>
  <definedNames>
    <definedName name="_AtRisk_FitDataRange_FIT_11836_CE965" hidden="1">#REF!</definedName>
    <definedName name="_AtRisk_FitDataRange_FIT_2B2D4_69806" hidden="1">#REF!</definedName>
    <definedName name="_AtRisk_FitDataRange_FIT_3F428_14936" hidden="1">#REF!</definedName>
    <definedName name="_AtRisk_FitDataRange_FIT_63DC1_2E869" hidden="1">#REF!</definedName>
    <definedName name="_AtRisk_FitDataRange_FIT_B9795_21BC1" hidden="1">#REF!</definedName>
    <definedName name="_AtRisk_FitDataRange_FIT_C6F01_49643" hidden="1">#REF!</definedName>
    <definedName name="_AtRisk_FitDataRange_FIT_C9351_70AFE" hidden="1">#REF!</definedName>
    <definedName name="_AtRisk_FitDataRange_FIT_DFE9F_8D785" hidden="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4</definedName>
    <definedName name="_AtRisk_SimSetting_SimName001" hidden="1">"Historical"</definedName>
    <definedName name="_AtRisk_SimSetting_SimName002" hidden="1">"Household projections"</definedName>
    <definedName name="_AtRisk_SimSetting_SimName003" hidden="1">"Local plans"</definedName>
    <definedName name="_AtRisk_SimSetting_SimName004" hidden="1">"Adjusted local plans"</definedName>
    <definedName name="_AtRisk_SimSetting_SimName005" hidden="1">"Manual"</definedName>
    <definedName name="_AtRisk_SimSetting_SimName006" hidden="1">"Min Net Additions"</definedName>
    <definedName name="_AtRisk_SimSetting_SimName007" hidden="1">"Central Net Additions"</definedName>
    <definedName name="_AtRisk_SimSetting_SimName008" hidden="1">"Max Net Additions"</definedName>
    <definedName name="_AtRisk_SimSetting_SimName009" hidden="1">"Only baseline"</definedName>
    <definedName name="_AtRisk_SimSetting_SimName010" hidden="1">"Baseline and local plan"</definedName>
    <definedName name="_AtRisk_SimSetting_SimName011" hidden="1">"Baseline and appeals"</definedName>
    <definedName name="_AtRisk_SimSetting_SimName012" hidden="1">"Baseline, appeals and local plan"</definedName>
    <definedName name="_AtRisk_SimSetting_SimName013" hidden="1">"Baseline and years"</definedName>
    <definedName name="_AtRisk_SimSetting_SimName014" hidden="1">"Baseline, years and local plan"</definedName>
    <definedName name="_AtRisk_SimSetting_SimName015" hidden="1">"Baseline, years and appeals"</definedName>
    <definedName name="_AtRisk_SimSetting_SimName016" hidden="1">"All reforms"</definedName>
    <definedName name="_AtRisk_SimSetting_SimNameCount" hidden="1">8</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Fill" hidden="1">#REF!</definedName>
    <definedName name="_xlnm._FilterDatabase" localSheetId="2" hidden="1">'Cumulative Payments'!$C$45:$C$401</definedName>
    <definedName name="LA">Data!$D$3</definedName>
    <definedName name="LA_List">[1]list!$B$4:$B$536</definedName>
    <definedName name="Local_Plans">'[2]Yearly budget tolerance'!$CL$4</definedName>
    <definedName name="Local_plans_penalty">'[2]Drop-down lists'!$I$2:$I$3</definedName>
    <definedName name="Manual">#REF!</definedName>
    <definedName name="Pal_Workbook_GUID" hidden="1">"VDJQ7YQ3R5QQKEV4PEULHEFB"</definedName>
    <definedName name="PalisadeReportWorkbookCreatedBy">"AtRisk"</definedName>
    <definedName name="Range">'[1]Area CT'!$B$421:$B$442</definedName>
    <definedName name="Reform">'Cumulative Payments'!$L$2</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ATSTbaselineRequested" hidden="1">TRUE</definedName>
    <definedName name="riskATSTboxGraph" hidden="1">TRUE</definedName>
    <definedName name="riskATSTcomparisonGraph" hidden="1">TRUE</definedName>
    <definedName name="riskATSThistogramGraph" hidden="1">FALSE</definedName>
    <definedName name="riskATSToutputStatistic" hidden="1">4</definedName>
    <definedName name="riskATSTprintReport" hidden="1">FALSE</definedName>
    <definedName name="riskATSTreportsInActiveBook" hidden="1">FALSE</definedName>
    <definedName name="riskATSTreportsSelected" hidden="1">TRUE</definedName>
    <definedName name="riskATSTsequentialStress" hidden="1">TRUE</definedName>
    <definedName name="riskATSTsummaryReport" hidden="1">TRUE</definedName>
    <definedName name="RiskBeforeRecalcMacro" hidden="1">""</definedName>
    <definedName name="RiskBeforeSimMacro" hidden="1">""</definedName>
    <definedName name="RiskCollectDistributionSamples" hidden="1">2</definedName>
    <definedName name="RiskFixedSeed" hidden="1">1</definedName>
    <definedName name="RiskGoalSeekChangingCell">'[2]Inputs and Outputs'!$B$4</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8</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est">'[1]Area CT'!$B$437:$B$442,'[1]Area CT'!$B$423:$B$435</definedName>
  </definedNames>
  <calcPr calcId="145621"/>
</workbook>
</file>

<file path=xl/calcChain.xml><?xml version="1.0" encoding="utf-8"?>
<calcChain xmlns="http://schemas.openxmlformats.org/spreadsheetml/2006/main">
  <c r="BV334" i="5" l="1"/>
  <c r="BV335" i="5"/>
  <c r="BV336" i="5"/>
  <c r="BV337" i="5"/>
  <c r="BV338" i="5"/>
  <c r="BV339" i="5"/>
  <c r="BV340" i="5"/>
  <c r="BV341" i="5"/>
  <c r="BV342" i="5"/>
  <c r="BV343" i="5"/>
  <c r="BV344" i="5"/>
  <c r="BV345" i="5"/>
  <c r="BV346" i="5"/>
  <c r="BV347" i="5"/>
  <c r="BV348" i="5"/>
  <c r="BV349" i="5"/>
  <c r="BV350" i="5"/>
  <c r="BV351" i="5"/>
  <c r="BV352" i="5"/>
  <c r="BV353" i="5"/>
  <c r="BV354" i="5"/>
  <c r="BV355" i="5"/>
  <c r="BV356" i="5"/>
  <c r="BV357" i="5"/>
  <c r="BV358" i="5"/>
  <c r="BV359" i="5"/>
  <c r="BV333" i="5"/>
  <c r="BV7" i="5"/>
  <c r="BV8" i="5"/>
  <c r="BV9" i="5"/>
  <c r="BV10" i="5"/>
  <c r="BV11" i="5"/>
  <c r="BV12" i="5"/>
  <c r="BV13" i="5"/>
  <c r="BV14" i="5"/>
  <c r="BV15" i="5"/>
  <c r="BV16" i="5"/>
  <c r="BV17" i="5"/>
  <c r="BV18" i="5"/>
  <c r="BV19" i="5"/>
  <c r="BV20" i="5"/>
  <c r="BV21" i="5"/>
  <c r="BV22" i="5"/>
  <c r="BV23" i="5"/>
  <c r="BV24" i="5"/>
  <c r="BV25" i="5"/>
  <c r="BV26" i="5"/>
  <c r="BV27" i="5"/>
  <c r="BV28" i="5"/>
  <c r="BV29" i="5"/>
  <c r="BV30" i="5"/>
  <c r="BV31" i="5"/>
  <c r="BV32" i="5"/>
  <c r="BV33" i="5"/>
  <c r="BV34" i="5"/>
  <c r="BV35" i="5"/>
  <c r="BV36" i="5"/>
  <c r="BV37" i="5"/>
  <c r="BV38" i="5"/>
  <c r="BV39" i="5"/>
  <c r="BV40" i="5"/>
  <c r="BV41" i="5"/>
  <c r="BV42" i="5"/>
  <c r="BV43" i="5"/>
  <c r="BV44" i="5"/>
  <c r="BV45" i="5"/>
  <c r="BV46" i="5"/>
  <c r="BV47" i="5"/>
  <c r="BV48" i="5"/>
  <c r="BV49" i="5"/>
  <c r="BV50" i="5"/>
  <c r="BV51" i="5"/>
  <c r="BV52" i="5"/>
  <c r="BV53" i="5"/>
  <c r="BV54" i="5"/>
  <c r="BV55" i="5"/>
  <c r="BV56" i="5"/>
  <c r="BV57" i="5"/>
  <c r="BV58" i="5"/>
  <c r="BV59" i="5"/>
  <c r="BV60" i="5"/>
  <c r="BV61" i="5"/>
  <c r="BV62" i="5"/>
  <c r="BV63" i="5"/>
  <c r="BV64" i="5"/>
  <c r="BV65" i="5"/>
  <c r="BV66" i="5"/>
  <c r="BV67" i="5"/>
  <c r="BV68" i="5"/>
  <c r="BV69" i="5"/>
  <c r="BV70" i="5"/>
  <c r="BV71" i="5"/>
  <c r="BV72" i="5"/>
  <c r="BV73" i="5"/>
  <c r="BV74" i="5"/>
  <c r="BV75" i="5"/>
  <c r="BV76" i="5"/>
  <c r="BV77" i="5"/>
  <c r="BV78" i="5"/>
  <c r="BV79" i="5"/>
  <c r="BV80" i="5"/>
  <c r="BV81" i="5"/>
  <c r="BV82" i="5"/>
  <c r="BV83" i="5"/>
  <c r="BV84" i="5"/>
  <c r="BV85" i="5"/>
  <c r="BV86" i="5"/>
  <c r="BV87" i="5"/>
  <c r="BV88" i="5"/>
  <c r="BV89" i="5"/>
  <c r="BV90" i="5"/>
  <c r="BV91" i="5"/>
  <c r="BV92" i="5"/>
  <c r="BV93" i="5"/>
  <c r="BV94" i="5"/>
  <c r="BV95" i="5"/>
  <c r="BV96" i="5"/>
  <c r="BV97" i="5"/>
  <c r="BV98" i="5"/>
  <c r="BV99" i="5"/>
  <c r="BV100" i="5"/>
  <c r="BV101" i="5"/>
  <c r="BV102" i="5"/>
  <c r="BV103" i="5"/>
  <c r="BV104" i="5"/>
  <c r="BV105" i="5"/>
  <c r="BV106" i="5"/>
  <c r="BV107" i="5"/>
  <c r="BV108" i="5"/>
  <c r="BV109" i="5"/>
  <c r="BV110" i="5"/>
  <c r="BV111" i="5"/>
  <c r="BV112" i="5"/>
  <c r="BV113" i="5"/>
  <c r="BV114" i="5"/>
  <c r="BV115" i="5"/>
  <c r="BV116" i="5"/>
  <c r="BV117" i="5"/>
  <c r="BV118" i="5"/>
  <c r="BV119" i="5"/>
  <c r="BV120" i="5"/>
  <c r="BV121" i="5"/>
  <c r="BV122" i="5"/>
  <c r="BV123" i="5"/>
  <c r="BV124" i="5"/>
  <c r="BV125" i="5"/>
  <c r="BV126" i="5"/>
  <c r="BV127" i="5"/>
  <c r="BV128" i="5"/>
  <c r="BV129" i="5"/>
  <c r="BV130" i="5"/>
  <c r="BV131" i="5"/>
  <c r="BV132" i="5"/>
  <c r="BV133" i="5"/>
  <c r="BV134" i="5"/>
  <c r="BV135" i="5"/>
  <c r="BV136" i="5"/>
  <c r="BV137" i="5"/>
  <c r="BV138" i="5"/>
  <c r="BV139" i="5"/>
  <c r="BV140" i="5"/>
  <c r="J17" i="1" s="1"/>
  <c r="BV141" i="5"/>
  <c r="BV142" i="5"/>
  <c r="BV143" i="5"/>
  <c r="BV144" i="5"/>
  <c r="BV145" i="5"/>
  <c r="BV146" i="5"/>
  <c r="BV147" i="5"/>
  <c r="BV148" i="5"/>
  <c r="BV149" i="5"/>
  <c r="BV150" i="5"/>
  <c r="BV151" i="5"/>
  <c r="BV152" i="5"/>
  <c r="BV153" i="5"/>
  <c r="BV154" i="5"/>
  <c r="BV155" i="5"/>
  <c r="BV156" i="5"/>
  <c r="BV157" i="5"/>
  <c r="BV158" i="5"/>
  <c r="BV159" i="5"/>
  <c r="BV160" i="5"/>
  <c r="BV161" i="5"/>
  <c r="BV162" i="5"/>
  <c r="BV163" i="5"/>
  <c r="BV164" i="5"/>
  <c r="BV165" i="5"/>
  <c r="BV166" i="5"/>
  <c r="BV167" i="5"/>
  <c r="BV168" i="5"/>
  <c r="BV169" i="5"/>
  <c r="BV170" i="5"/>
  <c r="BV171" i="5"/>
  <c r="BV172" i="5"/>
  <c r="BV173" i="5"/>
  <c r="BV174" i="5"/>
  <c r="BV175" i="5"/>
  <c r="BV176" i="5"/>
  <c r="BV177" i="5"/>
  <c r="BV178" i="5"/>
  <c r="BV179" i="5"/>
  <c r="BV180" i="5"/>
  <c r="BV181" i="5"/>
  <c r="BV182" i="5"/>
  <c r="BV183" i="5"/>
  <c r="BV184" i="5"/>
  <c r="BV185" i="5"/>
  <c r="BV186" i="5"/>
  <c r="BV187" i="5"/>
  <c r="BV188" i="5"/>
  <c r="BV189" i="5"/>
  <c r="BV190" i="5"/>
  <c r="BV191" i="5"/>
  <c r="BV192" i="5"/>
  <c r="BV193" i="5"/>
  <c r="BV194" i="5"/>
  <c r="BV195" i="5"/>
  <c r="BV196" i="5"/>
  <c r="BV197" i="5"/>
  <c r="BV198" i="5"/>
  <c r="BV199" i="5"/>
  <c r="BV200" i="5"/>
  <c r="BV201" i="5"/>
  <c r="BV202" i="5"/>
  <c r="BV203" i="5"/>
  <c r="BV204" i="5"/>
  <c r="BV205" i="5"/>
  <c r="BV206" i="5"/>
  <c r="BV207" i="5"/>
  <c r="BV208" i="5"/>
  <c r="BV209" i="5"/>
  <c r="BV210" i="5"/>
  <c r="BV211" i="5"/>
  <c r="BV212" i="5"/>
  <c r="BV213" i="5"/>
  <c r="BV214" i="5"/>
  <c r="BV215" i="5"/>
  <c r="BV216" i="5"/>
  <c r="BV217" i="5"/>
  <c r="BV218" i="5"/>
  <c r="BV219" i="5"/>
  <c r="BV220" i="5"/>
  <c r="BV221" i="5"/>
  <c r="BV222" i="5"/>
  <c r="BV223" i="5"/>
  <c r="BV224" i="5"/>
  <c r="BV225" i="5"/>
  <c r="BV226" i="5"/>
  <c r="BV227" i="5"/>
  <c r="BV228" i="5"/>
  <c r="BV229" i="5"/>
  <c r="BV230" i="5"/>
  <c r="BV231" i="5"/>
  <c r="BV232" i="5"/>
  <c r="BV233" i="5"/>
  <c r="BV234" i="5"/>
  <c r="BV235" i="5"/>
  <c r="BV236" i="5"/>
  <c r="BV237" i="5"/>
  <c r="BV238" i="5"/>
  <c r="BV239" i="5"/>
  <c r="BV240" i="5"/>
  <c r="BV241" i="5"/>
  <c r="BV242" i="5"/>
  <c r="BV243" i="5"/>
  <c r="BV244" i="5"/>
  <c r="BV245" i="5"/>
  <c r="BV246" i="5"/>
  <c r="BV247" i="5"/>
  <c r="BV248" i="5"/>
  <c r="BV249" i="5"/>
  <c r="BV250" i="5"/>
  <c r="BV251" i="5"/>
  <c r="BV252" i="5"/>
  <c r="BV253" i="5"/>
  <c r="BV254" i="5"/>
  <c r="BV255" i="5"/>
  <c r="BV256" i="5"/>
  <c r="BV257" i="5"/>
  <c r="BV258" i="5"/>
  <c r="BV259" i="5"/>
  <c r="BV260" i="5"/>
  <c r="BV261" i="5"/>
  <c r="BV262" i="5"/>
  <c r="BV263" i="5"/>
  <c r="BV264" i="5"/>
  <c r="BV265" i="5"/>
  <c r="BV266" i="5"/>
  <c r="BV267" i="5"/>
  <c r="BV268" i="5"/>
  <c r="BV269" i="5"/>
  <c r="BV270" i="5"/>
  <c r="BV271" i="5"/>
  <c r="BV272" i="5"/>
  <c r="BV273" i="5"/>
  <c r="BV274" i="5"/>
  <c r="BV275" i="5"/>
  <c r="BV276" i="5"/>
  <c r="BV277" i="5"/>
  <c r="BV278" i="5"/>
  <c r="BV279" i="5"/>
  <c r="BV280" i="5"/>
  <c r="BV281" i="5"/>
  <c r="BV282" i="5"/>
  <c r="BV283" i="5"/>
  <c r="BV284" i="5"/>
  <c r="BV285" i="5"/>
  <c r="BV286" i="5"/>
  <c r="BV287" i="5"/>
  <c r="BV288" i="5"/>
  <c r="BV289" i="5"/>
  <c r="BV290" i="5"/>
  <c r="BV291" i="5"/>
  <c r="BV292" i="5"/>
  <c r="BV293" i="5"/>
  <c r="BV294" i="5"/>
  <c r="BV295" i="5"/>
  <c r="BV296" i="5"/>
  <c r="BV297" i="5"/>
  <c r="BV298" i="5"/>
  <c r="BV299" i="5"/>
  <c r="BV300" i="5"/>
  <c r="BV301" i="5"/>
  <c r="BV302" i="5"/>
  <c r="BV303" i="5"/>
  <c r="BV304" i="5"/>
  <c r="BV305" i="5"/>
  <c r="BV306" i="5"/>
  <c r="BV307" i="5"/>
  <c r="BV308" i="5"/>
  <c r="BV309" i="5"/>
  <c r="BV310" i="5"/>
  <c r="BV311" i="5"/>
  <c r="BV312" i="5"/>
  <c r="BV313" i="5"/>
  <c r="BV314" i="5"/>
  <c r="BV315" i="5"/>
  <c r="BV316" i="5"/>
  <c r="BV317" i="5"/>
  <c r="BV318" i="5"/>
  <c r="BV319" i="5"/>
  <c r="BV320" i="5"/>
  <c r="BV321" i="5"/>
  <c r="BV322" i="5"/>
  <c r="BV323" i="5"/>
  <c r="BV324" i="5"/>
  <c r="BV325" i="5"/>
  <c r="BV326" i="5"/>
  <c r="BV327" i="5"/>
  <c r="BV328" i="5"/>
  <c r="BV329" i="5"/>
  <c r="BV330" i="5"/>
  <c r="BV331" i="5"/>
  <c r="BV6" i="5"/>
  <c r="BU361" i="5"/>
  <c r="BV361" i="5" l="1"/>
  <c r="L18" i="3" l="1"/>
  <c r="BH7" i="5"/>
  <c r="BI7" i="5" s="1"/>
  <c r="BH8" i="5"/>
  <c r="BI8" i="5" s="1"/>
  <c r="BH9" i="5"/>
  <c r="BI9" i="5" s="1"/>
  <c r="BH10" i="5"/>
  <c r="BI10" i="5" s="1"/>
  <c r="BH11" i="5"/>
  <c r="BI11" i="5" s="1"/>
  <c r="BH12" i="5"/>
  <c r="BI12" i="5" s="1"/>
  <c r="BH13" i="5"/>
  <c r="BI13" i="5" s="1"/>
  <c r="BH14" i="5"/>
  <c r="BI14" i="5" s="1"/>
  <c r="BH15" i="5"/>
  <c r="BI15" i="5" s="1"/>
  <c r="BH16" i="5"/>
  <c r="BI16" i="5" s="1"/>
  <c r="BH17" i="5"/>
  <c r="BI17" i="5" s="1"/>
  <c r="BH18" i="5"/>
  <c r="BI18" i="5" s="1"/>
  <c r="BH19" i="5"/>
  <c r="BI19" i="5" s="1"/>
  <c r="BH20" i="5"/>
  <c r="BI20" i="5" s="1"/>
  <c r="BH21" i="5"/>
  <c r="BI21" i="5" s="1"/>
  <c r="BH22" i="5"/>
  <c r="BI22" i="5" s="1"/>
  <c r="BH23" i="5"/>
  <c r="BI23" i="5" s="1"/>
  <c r="BH24" i="5"/>
  <c r="BI24" i="5" s="1"/>
  <c r="BH25" i="5"/>
  <c r="BI25" i="5" s="1"/>
  <c r="BH26" i="5"/>
  <c r="BI26" i="5" s="1"/>
  <c r="BH27" i="5"/>
  <c r="BI27" i="5" s="1"/>
  <c r="BH28" i="5"/>
  <c r="BI28" i="5" s="1"/>
  <c r="BH29" i="5"/>
  <c r="BI29" i="5" s="1"/>
  <c r="BH30" i="5"/>
  <c r="BI30" i="5" s="1"/>
  <c r="BH31" i="5"/>
  <c r="BI31" i="5" s="1"/>
  <c r="BH32" i="5"/>
  <c r="BI32" i="5" s="1"/>
  <c r="BH33" i="5"/>
  <c r="BI33" i="5" s="1"/>
  <c r="BH34" i="5"/>
  <c r="BI34" i="5" s="1"/>
  <c r="BH35" i="5"/>
  <c r="BI35" i="5" s="1"/>
  <c r="BH36" i="5"/>
  <c r="BI36" i="5" s="1"/>
  <c r="BH37" i="5"/>
  <c r="BI37" i="5" s="1"/>
  <c r="BH38" i="5"/>
  <c r="BI38" i="5" s="1"/>
  <c r="BH39" i="5"/>
  <c r="BI39" i="5" s="1"/>
  <c r="BH40" i="5"/>
  <c r="BI40" i="5" s="1"/>
  <c r="BH41" i="5"/>
  <c r="BI41" i="5" s="1"/>
  <c r="BH42" i="5"/>
  <c r="BI42" i="5" s="1"/>
  <c r="BH43" i="5"/>
  <c r="BI43" i="5" s="1"/>
  <c r="BH44" i="5"/>
  <c r="BI44" i="5" s="1"/>
  <c r="BH45" i="5"/>
  <c r="BI45" i="5" s="1"/>
  <c r="BH46" i="5"/>
  <c r="BI46" i="5" s="1"/>
  <c r="BH47" i="5"/>
  <c r="BI47" i="5" s="1"/>
  <c r="BH48" i="5"/>
  <c r="BI48" i="5" s="1"/>
  <c r="BH49" i="5"/>
  <c r="BI49" i="5" s="1"/>
  <c r="BH50" i="5"/>
  <c r="BI50" i="5" s="1"/>
  <c r="BH51" i="5"/>
  <c r="BI51" i="5" s="1"/>
  <c r="BH52" i="5"/>
  <c r="BI52" i="5" s="1"/>
  <c r="BH53" i="5"/>
  <c r="BI53" i="5" s="1"/>
  <c r="BH54" i="5"/>
  <c r="BI54" i="5" s="1"/>
  <c r="BH55" i="5"/>
  <c r="BI55" i="5" s="1"/>
  <c r="BH56" i="5"/>
  <c r="BI56" i="5" s="1"/>
  <c r="BH57" i="5"/>
  <c r="BI57" i="5" s="1"/>
  <c r="BH58" i="5"/>
  <c r="BI58" i="5" s="1"/>
  <c r="BH59" i="5"/>
  <c r="BI59" i="5" s="1"/>
  <c r="BH60" i="5"/>
  <c r="BI60" i="5" s="1"/>
  <c r="BH61" i="5"/>
  <c r="BI61" i="5" s="1"/>
  <c r="BH62" i="5"/>
  <c r="BI62" i="5" s="1"/>
  <c r="BH63" i="5"/>
  <c r="BI63" i="5" s="1"/>
  <c r="BH64" i="5"/>
  <c r="BI64" i="5" s="1"/>
  <c r="BH65" i="5"/>
  <c r="BI65" i="5" s="1"/>
  <c r="BH66" i="5"/>
  <c r="BI66" i="5" s="1"/>
  <c r="BH67" i="5"/>
  <c r="BI67" i="5" s="1"/>
  <c r="BH68" i="5"/>
  <c r="BI68" i="5" s="1"/>
  <c r="BH69" i="5"/>
  <c r="BI69" i="5" s="1"/>
  <c r="BH70" i="5"/>
  <c r="BI70" i="5" s="1"/>
  <c r="BH71" i="5"/>
  <c r="BI71" i="5" s="1"/>
  <c r="BH72" i="5"/>
  <c r="BI72" i="5" s="1"/>
  <c r="BH73" i="5"/>
  <c r="BI73" i="5" s="1"/>
  <c r="BH74" i="5"/>
  <c r="BI74" i="5" s="1"/>
  <c r="BH75" i="5"/>
  <c r="BI75" i="5" s="1"/>
  <c r="BH76" i="5"/>
  <c r="BI76" i="5" s="1"/>
  <c r="BH77" i="5"/>
  <c r="BI77" i="5" s="1"/>
  <c r="BH78" i="5"/>
  <c r="BI78" i="5" s="1"/>
  <c r="BH79" i="5"/>
  <c r="BI79" i="5" s="1"/>
  <c r="BH80" i="5"/>
  <c r="BI80" i="5" s="1"/>
  <c r="BH81" i="5"/>
  <c r="BI81" i="5" s="1"/>
  <c r="BH82" i="5"/>
  <c r="BI82" i="5" s="1"/>
  <c r="BH83" i="5"/>
  <c r="BI83" i="5" s="1"/>
  <c r="BH84" i="5"/>
  <c r="BI84" i="5" s="1"/>
  <c r="BH85" i="5"/>
  <c r="BI85" i="5" s="1"/>
  <c r="BH86" i="5"/>
  <c r="BI86" i="5" s="1"/>
  <c r="BH87" i="5"/>
  <c r="BI87" i="5" s="1"/>
  <c r="BH88" i="5"/>
  <c r="BI88" i="5" s="1"/>
  <c r="BH89" i="5"/>
  <c r="BI89" i="5" s="1"/>
  <c r="BH90" i="5"/>
  <c r="BI90" i="5" s="1"/>
  <c r="BH91" i="5"/>
  <c r="BI91" i="5" s="1"/>
  <c r="BH92" i="5"/>
  <c r="BI92" i="5" s="1"/>
  <c r="BH93" i="5"/>
  <c r="BI93" i="5" s="1"/>
  <c r="BH94" i="5"/>
  <c r="BI94" i="5" s="1"/>
  <c r="BH95" i="5"/>
  <c r="BI95" i="5" s="1"/>
  <c r="BH96" i="5"/>
  <c r="BI96" i="5" s="1"/>
  <c r="BH97" i="5"/>
  <c r="BI97" i="5" s="1"/>
  <c r="BH98" i="5"/>
  <c r="BI98" i="5" s="1"/>
  <c r="BH99" i="5"/>
  <c r="BI99" i="5" s="1"/>
  <c r="BH100" i="5"/>
  <c r="BI100" i="5" s="1"/>
  <c r="BH101" i="5"/>
  <c r="BI101" i="5" s="1"/>
  <c r="BH102" i="5"/>
  <c r="BI102" i="5" s="1"/>
  <c r="BH103" i="5"/>
  <c r="BI103" i="5" s="1"/>
  <c r="BH104" i="5"/>
  <c r="BI104" i="5" s="1"/>
  <c r="BH105" i="5"/>
  <c r="BI105" i="5" s="1"/>
  <c r="BH106" i="5"/>
  <c r="BI106" i="5" s="1"/>
  <c r="BH107" i="5"/>
  <c r="BI107" i="5" s="1"/>
  <c r="BH108" i="5"/>
  <c r="BI108" i="5" s="1"/>
  <c r="BH109" i="5"/>
  <c r="BI109" i="5" s="1"/>
  <c r="BH110" i="5"/>
  <c r="BI110" i="5" s="1"/>
  <c r="BH111" i="5"/>
  <c r="BI111" i="5" s="1"/>
  <c r="BH112" i="5"/>
  <c r="BI112" i="5" s="1"/>
  <c r="BH113" i="5"/>
  <c r="BI113" i="5" s="1"/>
  <c r="BH114" i="5"/>
  <c r="BI114" i="5" s="1"/>
  <c r="BH115" i="5"/>
  <c r="BI115" i="5" s="1"/>
  <c r="BH116" i="5"/>
  <c r="BI116" i="5" s="1"/>
  <c r="BH117" i="5"/>
  <c r="BI117" i="5" s="1"/>
  <c r="BH118" i="5"/>
  <c r="BI118" i="5" s="1"/>
  <c r="BH119" i="5"/>
  <c r="BI119" i="5" s="1"/>
  <c r="BH120" i="5"/>
  <c r="BI120" i="5" s="1"/>
  <c r="BH121" i="5"/>
  <c r="BI121" i="5" s="1"/>
  <c r="BH122" i="5"/>
  <c r="BI122" i="5" s="1"/>
  <c r="BH123" i="5"/>
  <c r="BI123" i="5" s="1"/>
  <c r="BH124" i="5"/>
  <c r="BI124" i="5" s="1"/>
  <c r="BH125" i="5"/>
  <c r="BI125" i="5" s="1"/>
  <c r="BH126" i="5"/>
  <c r="BI126" i="5" s="1"/>
  <c r="BH127" i="5"/>
  <c r="BI127" i="5" s="1"/>
  <c r="BH128" i="5"/>
  <c r="BI128" i="5" s="1"/>
  <c r="BH129" i="5"/>
  <c r="BI129" i="5" s="1"/>
  <c r="BH130" i="5"/>
  <c r="BI130" i="5" s="1"/>
  <c r="BH131" i="5"/>
  <c r="BI131" i="5" s="1"/>
  <c r="BH132" i="5"/>
  <c r="BI132" i="5" s="1"/>
  <c r="BH133" i="5"/>
  <c r="BI133" i="5" s="1"/>
  <c r="BH134" i="5"/>
  <c r="BI134" i="5" s="1"/>
  <c r="BH135" i="5"/>
  <c r="BI135" i="5" s="1"/>
  <c r="BH136" i="5"/>
  <c r="BI136" i="5" s="1"/>
  <c r="BH137" i="5"/>
  <c r="BI137" i="5" s="1"/>
  <c r="BH138" i="5"/>
  <c r="BI138" i="5" s="1"/>
  <c r="BH139" i="5"/>
  <c r="BI139" i="5" s="1"/>
  <c r="BH140" i="5"/>
  <c r="BI140" i="5" s="1"/>
  <c r="BH141" i="5"/>
  <c r="BI141" i="5" s="1"/>
  <c r="BH142" i="5"/>
  <c r="BI142" i="5" s="1"/>
  <c r="BH143" i="5"/>
  <c r="BI143" i="5" s="1"/>
  <c r="BH144" i="5"/>
  <c r="BI144" i="5" s="1"/>
  <c r="BH145" i="5"/>
  <c r="BI145" i="5" s="1"/>
  <c r="BH146" i="5"/>
  <c r="BI146" i="5" s="1"/>
  <c r="BH147" i="5"/>
  <c r="BI147" i="5" s="1"/>
  <c r="BH148" i="5"/>
  <c r="BI148" i="5" s="1"/>
  <c r="BH149" i="5"/>
  <c r="BI149" i="5" s="1"/>
  <c r="BH150" i="5"/>
  <c r="BI150" i="5" s="1"/>
  <c r="BH151" i="5"/>
  <c r="BI151" i="5" s="1"/>
  <c r="BH152" i="5"/>
  <c r="BI152" i="5" s="1"/>
  <c r="BH153" i="5"/>
  <c r="BI153" i="5" s="1"/>
  <c r="BH154" i="5"/>
  <c r="BI154" i="5" s="1"/>
  <c r="BH155" i="5"/>
  <c r="BI155" i="5" s="1"/>
  <c r="BH156" i="5"/>
  <c r="BI156" i="5" s="1"/>
  <c r="BH157" i="5"/>
  <c r="BI157" i="5" s="1"/>
  <c r="BH158" i="5"/>
  <c r="BI158" i="5" s="1"/>
  <c r="BH159" i="5"/>
  <c r="BI159" i="5" s="1"/>
  <c r="BH160" i="5"/>
  <c r="BI160" i="5" s="1"/>
  <c r="BH161" i="5"/>
  <c r="BI161" i="5" s="1"/>
  <c r="BH162" i="5"/>
  <c r="BI162" i="5" s="1"/>
  <c r="BH163" i="5"/>
  <c r="BI163" i="5" s="1"/>
  <c r="BH164" i="5"/>
  <c r="BI164" i="5" s="1"/>
  <c r="BH165" i="5"/>
  <c r="BI165" i="5" s="1"/>
  <c r="BH166" i="5"/>
  <c r="BI166" i="5" s="1"/>
  <c r="BH167" i="5"/>
  <c r="BI167" i="5" s="1"/>
  <c r="BH168" i="5"/>
  <c r="BI168" i="5" s="1"/>
  <c r="BH169" i="5"/>
  <c r="BI169" i="5" s="1"/>
  <c r="BH170" i="5"/>
  <c r="BI170" i="5" s="1"/>
  <c r="BH171" i="5"/>
  <c r="BI171" i="5" s="1"/>
  <c r="BH172" i="5"/>
  <c r="BI172" i="5" s="1"/>
  <c r="BH173" i="5"/>
  <c r="BI173" i="5" s="1"/>
  <c r="BH174" i="5"/>
  <c r="BI174" i="5" s="1"/>
  <c r="BH175" i="5"/>
  <c r="BI175" i="5" s="1"/>
  <c r="BH176" i="5"/>
  <c r="BI176" i="5" s="1"/>
  <c r="BH177" i="5"/>
  <c r="BI177" i="5" s="1"/>
  <c r="BH178" i="5"/>
  <c r="BI178" i="5" s="1"/>
  <c r="BH179" i="5"/>
  <c r="BI179" i="5" s="1"/>
  <c r="BH180" i="5"/>
  <c r="BI180" i="5" s="1"/>
  <c r="BH181" i="5"/>
  <c r="BI181" i="5" s="1"/>
  <c r="BH182" i="5"/>
  <c r="BI182" i="5" s="1"/>
  <c r="BH183" i="5"/>
  <c r="BI183" i="5" s="1"/>
  <c r="BH184" i="5"/>
  <c r="BI184" i="5" s="1"/>
  <c r="BH185" i="5"/>
  <c r="BI185" i="5" s="1"/>
  <c r="BH186" i="5"/>
  <c r="BI186" i="5" s="1"/>
  <c r="BH187" i="5"/>
  <c r="BI187" i="5" s="1"/>
  <c r="BH188" i="5"/>
  <c r="BI188" i="5" s="1"/>
  <c r="BH189" i="5"/>
  <c r="BI189" i="5" s="1"/>
  <c r="BH190" i="5"/>
  <c r="BI190" i="5" s="1"/>
  <c r="BH191" i="5"/>
  <c r="BI191" i="5" s="1"/>
  <c r="BH192" i="5"/>
  <c r="BI192" i="5" s="1"/>
  <c r="BH193" i="5"/>
  <c r="BI193" i="5" s="1"/>
  <c r="BH194" i="5"/>
  <c r="BI194" i="5" s="1"/>
  <c r="BH195" i="5"/>
  <c r="BI195" i="5" s="1"/>
  <c r="BH196" i="5"/>
  <c r="BI196" i="5" s="1"/>
  <c r="BH197" i="5"/>
  <c r="BI197" i="5" s="1"/>
  <c r="BH198" i="5"/>
  <c r="BI198" i="5" s="1"/>
  <c r="BH199" i="5"/>
  <c r="BI199" i="5" s="1"/>
  <c r="BH200" i="5"/>
  <c r="BI200" i="5" s="1"/>
  <c r="BH201" i="5"/>
  <c r="BI201" i="5" s="1"/>
  <c r="BH202" i="5"/>
  <c r="BI202" i="5" s="1"/>
  <c r="BH203" i="5"/>
  <c r="BI203" i="5" s="1"/>
  <c r="BH204" i="5"/>
  <c r="BI204" i="5" s="1"/>
  <c r="BH205" i="5"/>
  <c r="BI205" i="5" s="1"/>
  <c r="BH206" i="5"/>
  <c r="BI206" i="5" s="1"/>
  <c r="BH207" i="5"/>
  <c r="BI207" i="5" s="1"/>
  <c r="BH208" i="5"/>
  <c r="BI208" i="5" s="1"/>
  <c r="BH209" i="5"/>
  <c r="BI209" i="5" s="1"/>
  <c r="BH210" i="5"/>
  <c r="BI210" i="5" s="1"/>
  <c r="BH211" i="5"/>
  <c r="BI211" i="5" s="1"/>
  <c r="BH212" i="5"/>
  <c r="BI212" i="5" s="1"/>
  <c r="BH213" i="5"/>
  <c r="BI213" i="5" s="1"/>
  <c r="BH214" i="5"/>
  <c r="BI214" i="5" s="1"/>
  <c r="BH215" i="5"/>
  <c r="BI215" i="5" s="1"/>
  <c r="BH216" i="5"/>
  <c r="BI216" i="5" s="1"/>
  <c r="BH217" i="5"/>
  <c r="BI217" i="5" s="1"/>
  <c r="BH218" i="5"/>
  <c r="BI218" i="5" s="1"/>
  <c r="BH219" i="5"/>
  <c r="BI219" i="5" s="1"/>
  <c r="BH220" i="5"/>
  <c r="BI220" i="5" s="1"/>
  <c r="BH221" i="5"/>
  <c r="BI221" i="5" s="1"/>
  <c r="BH222" i="5"/>
  <c r="BI222" i="5" s="1"/>
  <c r="BH223" i="5"/>
  <c r="BI223" i="5" s="1"/>
  <c r="BH224" i="5"/>
  <c r="BI224" i="5" s="1"/>
  <c r="BH225" i="5"/>
  <c r="BI225" i="5" s="1"/>
  <c r="BH226" i="5"/>
  <c r="BI226" i="5" s="1"/>
  <c r="BH227" i="5"/>
  <c r="BI227" i="5" s="1"/>
  <c r="BH228" i="5"/>
  <c r="BI228" i="5" s="1"/>
  <c r="BH229" i="5"/>
  <c r="BI229" i="5" s="1"/>
  <c r="BH230" i="5"/>
  <c r="BI230" i="5" s="1"/>
  <c r="BH231" i="5"/>
  <c r="BI231" i="5" s="1"/>
  <c r="BH232" i="5"/>
  <c r="BI232" i="5" s="1"/>
  <c r="BH233" i="5"/>
  <c r="BI233" i="5" s="1"/>
  <c r="BH234" i="5"/>
  <c r="BI234" i="5" s="1"/>
  <c r="BH235" i="5"/>
  <c r="BI235" i="5" s="1"/>
  <c r="BH236" i="5"/>
  <c r="BI236" i="5" s="1"/>
  <c r="BH237" i="5"/>
  <c r="BI237" i="5" s="1"/>
  <c r="BH238" i="5"/>
  <c r="BI238" i="5" s="1"/>
  <c r="BH239" i="5"/>
  <c r="BI239" i="5" s="1"/>
  <c r="BH240" i="5"/>
  <c r="BI240" i="5" s="1"/>
  <c r="BH241" i="5"/>
  <c r="BI241" i="5" s="1"/>
  <c r="BH242" i="5"/>
  <c r="BI242" i="5" s="1"/>
  <c r="BH243" i="5"/>
  <c r="BI243" i="5" s="1"/>
  <c r="BH244" i="5"/>
  <c r="BI244" i="5" s="1"/>
  <c r="BH245" i="5"/>
  <c r="BI245" i="5" s="1"/>
  <c r="BH246" i="5"/>
  <c r="BI246" i="5" s="1"/>
  <c r="BH247" i="5"/>
  <c r="BI247" i="5" s="1"/>
  <c r="BH248" i="5"/>
  <c r="BI248" i="5" s="1"/>
  <c r="BH249" i="5"/>
  <c r="BI249" i="5" s="1"/>
  <c r="BH250" i="5"/>
  <c r="BI250" i="5" s="1"/>
  <c r="BH251" i="5"/>
  <c r="BI251" i="5" s="1"/>
  <c r="BH252" i="5"/>
  <c r="BI252" i="5" s="1"/>
  <c r="BH253" i="5"/>
  <c r="BI253" i="5" s="1"/>
  <c r="BH254" i="5"/>
  <c r="BI254" i="5" s="1"/>
  <c r="BH255" i="5"/>
  <c r="BI255" i="5" s="1"/>
  <c r="BH256" i="5"/>
  <c r="BI256" i="5" s="1"/>
  <c r="BH257" i="5"/>
  <c r="BI257" i="5" s="1"/>
  <c r="BH258" i="5"/>
  <c r="BI258" i="5" s="1"/>
  <c r="BH259" i="5"/>
  <c r="BI259" i="5" s="1"/>
  <c r="BH260" i="5"/>
  <c r="BI260" i="5" s="1"/>
  <c r="BH261" i="5"/>
  <c r="BI261" i="5" s="1"/>
  <c r="BH262" i="5"/>
  <c r="BI262" i="5" s="1"/>
  <c r="BH263" i="5"/>
  <c r="BI263" i="5" s="1"/>
  <c r="BH264" i="5"/>
  <c r="BI264" i="5" s="1"/>
  <c r="BH265" i="5"/>
  <c r="BI265" i="5" s="1"/>
  <c r="BH266" i="5"/>
  <c r="BI266" i="5" s="1"/>
  <c r="BH267" i="5"/>
  <c r="BI267" i="5" s="1"/>
  <c r="BH268" i="5"/>
  <c r="BI268" i="5" s="1"/>
  <c r="BH269" i="5"/>
  <c r="BI269" i="5" s="1"/>
  <c r="BH270" i="5"/>
  <c r="BI270" i="5" s="1"/>
  <c r="BH271" i="5"/>
  <c r="BI271" i="5" s="1"/>
  <c r="BH272" i="5"/>
  <c r="BI272" i="5" s="1"/>
  <c r="BH273" i="5"/>
  <c r="BI273" i="5" s="1"/>
  <c r="BH274" i="5"/>
  <c r="BI274" i="5" s="1"/>
  <c r="BH275" i="5"/>
  <c r="BI275" i="5" s="1"/>
  <c r="BH276" i="5"/>
  <c r="BI276" i="5" s="1"/>
  <c r="BH277" i="5"/>
  <c r="BI277" i="5" s="1"/>
  <c r="BH278" i="5"/>
  <c r="BI278" i="5" s="1"/>
  <c r="BH279" i="5"/>
  <c r="BI279" i="5" s="1"/>
  <c r="BH280" i="5"/>
  <c r="BI280" i="5" s="1"/>
  <c r="BH281" i="5"/>
  <c r="BI281" i="5" s="1"/>
  <c r="BH282" i="5"/>
  <c r="BI282" i="5" s="1"/>
  <c r="BH283" i="5"/>
  <c r="BI283" i="5" s="1"/>
  <c r="BH284" i="5"/>
  <c r="BI284" i="5" s="1"/>
  <c r="BH285" i="5"/>
  <c r="BI285" i="5" s="1"/>
  <c r="BH286" i="5"/>
  <c r="BI286" i="5" s="1"/>
  <c r="BH287" i="5"/>
  <c r="BI287" i="5" s="1"/>
  <c r="BH288" i="5"/>
  <c r="BI288" i="5" s="1"/>
  <c r="BH289" i="5"/>
  <c r="BI289" i="5" s="1"/>
  <c r="BH290" i="5"/>
  <c r="BI290" i="5" s="1"/>
  <c r="BH291" i="5"/>
  <c r="BI291" i="5" s="1"/>
  <c r="BH292" i="5"/>
  <c r="BI292" i="5" s="1"/>
  <c r="BH293" i="5"/>
  <c r="BI293" i="5" s="1"/>
  <c r="BH294" i="5"/>
  <c r="BI294" i="5" s="1"/>
  <c r="BH295" i="5"/>
  <c r="BI295" i="5" s="1"/>
  <c r="BH296" i="5"/>
  <c r="BI296" i="5" s="1"/>
  <c r="BH297" i="5"/>
  <c r="BI297" i="5" s="1"/>
  <c r="BH298" i="5"/>
  <c r="BI298" i="5" s="1"/>
  <c r="BH299" i="5"/>
  <c r="BI299" i="5" s="1"/>
  <c r="BH300" i="5"/>
  <c r="BI300" i="5" s="1"/>
  <c r="BH301" i="5"/>
  <c r="BI301" i="5" s="1"/>
  <c r="BH302" i="5"/>
  <c r="BI302" i="5" s="1"/>
  <c r="BH303" i="5"/>
  <c r="BI303" i="5" s="1"/>
  <c r="BH304" i="5"/>
  <c r="BI304" i="5" s="1"/>
  <c r="BH305" i="5"/>
  <c r="BI305" i="5" s="1"/>
  <c r="BH306" i="5"/>
  <c r="BI306" i="5" s="1"/>
  <c r="BH307" i="5"/>
  <c r="BI307" i="5" s="1"/>
  <c r="BH308" i="5"/>
  <c r="BI308" i="5" s="1"/>
  <c r="BH309" i="5"/>
  <c r="BI309" i="5" s="1"/>
  <c r="BH310" i="5"/>
  <c r="BI310" i="5" s="1"/>
  <c r="BH311" i="5"/>
  <c r="BI311" i="5" s="1"/>
  <c r="BH312" i="5"/>
  <c r="BI312" i="5" s="1"/>
  <c r="BH313" i="5"/>
  <c r="BI313" i="5" s="1"/>
  <c r="BH314" i="5"/>
  <c r="BI314" i="5" s="1"/>
  <c r="BH315" i="5"/>
  <c r="BI315" i="5" s="1"/>
  <c r="BH316" i="5"/>
  <c r="BI316" i="5" s="1"/>
  <c r="BH317" i="5"/>
  <c r="BI317" i="5" s="1"/>
  <c r="BH318" i="5"/>
  <c r="BI318" i="5" s="1"/>
  <c r="BH319" i="5"/>
  <c r="BI319" i="5" s="1"/>
  <c r="BH320" i="5"/>
  <c r="BI320" i="5" s="1"/>
  <c r="BH321" i="5"/>
  <c r="BI321" i="5" s="1"/>
  <c r="BH322" i="5"/>
  <c r="BI322" i="5" s="1"/>
  <c r="BH323" i="5"/>
  <c r="BI323" i="5" s="1"/>
  <c r="BH324" i="5"/>
  <c r="BI324" i="5" s="1"/>
  <c r="BH325" i="5"/>
  <c r="BI325" i="5" s="1"/>
  <c r="BH326" i="5"/>
  <c r="BI326" i="5" s="1"/>
  <c r="BH327" i="5"/>
  <c r="BI327" i="5" s="1"/>
  <c r="BH328" i="5"/>
  <c r="BI328" i="5" s="1"/>
  <c r="BH329" i="5"/>
  <c r="BI329" i="5" s="1"/>
  <c r="BH330" i="5"/>
  <c r="BI330" i="5" s="1"/>
  <c r="BH331" i="5"/>
  <c r="BI331" i="5" s="1"/>
  <c r="BH6" i="5"/>
  <c r="BI6" i="5" s="1"/>
  <c r="E1" i="5"/>
  <c r="F1" i="5" s="1"/>
  <c r="BT361" i="5"/>
  <c r="I359"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33" i="5"/>
  <c r="P22" i="3"/>
  <c r="L15" i="3"/>
  <c r="G11" i="3"/>
  <c r="G11" i="2"/>
  <c r="BZ14" i="5"/>
  <c r="BZ15" i="5"/>
  <c r="BZ16" i="5"/>
  <c r="BZ21" i="5"/>
  <c r="BZ22" i="5"/>
  <c r="BZ23" i="5"/>
  <c r="BZ24" i="5"/>
  <c r="BZ26" i="5"/>
  <c r="BZ27" i="5"/>
  <c r="BZ29" i="5"/>
  <c r="BZ31" i="5"/>
  <c r="BZ32" i="5"/>
  <c r="BZ33" i="5"/>
  <c r="BZ36" i="5"/>
  <c r="BZ38" i="5"/>
  <c r="BZ39" i="5"/>
  <c r="BZ41" i="5"/>
  <c r="BZ46" i="5"/>
  <c r="BZ47" i="5"/>
  <c r="BZ49" i="5"/>
  <c r="BZ54" i="5"/>
  <c r="BZ59" i="5"/>
  <c r="BZ60" i="5"/>
  <c r="BZ66" i="5"/>
  <c r="BZ70" i="5"/>
  <c r="BZ72" i="5"/>
  <c r="BZ75" i="5"/>
  <c r="BZ77" i="5"/>
  <c r="BZ80" i="5"/>
  <c r="BZ82" i="5"/>
  <c r="BZ84" i="5"/>
  <c r="BZ85" i="5"/>
  <c r="BZ86" i="5"/>
  <c r="BZ94" i="5"/>
  <c r="BZ100" i="5"/>
  <c r="BZ110" i="5"/>
  <c r="BZ116" i="5"/>
  <c r="BZ118" i="5"/>
  <c r="BZ119" i="5"/>
  <c r="BZ121" i="5"/>
  <c r="BZ123" i="5"/>
  <c r="BZ126" i="5"/>
  <c r="BZ128" i="5"/>
  <c r="BZ131" i="5"/>
  <c r="BZ132" i="5"/>
  <c r="BZ135" i="5"/>
  <c r="BZ138" i="5"/>
  <c r="BZ142" i="5"/>
  <c r="BZ143" i="5"/>
  <c r="BZ144" i="5"/>
  <c r="BZ145" i="5"/>
  <c r="BZ148" i="5"/>
  <c r="BZ149" i="5"/>
  <c r="BZ150" i="5"/>
  <c r="BZ151" i="5"/>
  <c r="BZ152" i="5"/>
  <c r="BZ154" i="5"/>
  <c r="BZ155" i="5"/>
  <c r="BZ157" i="5"/>
  <c r="BZ160" i="5"/>
  <c r="BZ161" i="5"/>
  <c r="BZ165" i="5"/>
  <c r="BZ167" i="5"/>
  <c r="BZ170" i="5"/>
  <c r="BZ174" i="5"/>
  <c r="BZ175" i="5"/>
  <c r="BZ179" i="5"/>
  <c r="BZ181" i="5"/>
  <c r="BZ185" i="5"/>
  <c r="BZ188" i="5"/>
  <c r="BZ190" i="5"/>
  <c r="BZ191" i="5"/>
  <c r="BZ195" i="5"/>
  <c r="BZ197" i="5"/>
  <c r="BZ200" i="5"/>
  <c r="BZ203" i="5"/>
  <c r="BZ204" i="5"/>
  <c r="BZ205" i="5"/>
  <c r="BZ206" i="5"/>
  <c r="BZ209" i="5"/>
  <c r="BZ210" i="5"/>
  <c r="BZ211" i="5"/>
  <c r="BZ215" i="5"/>
  <c r="BZ217" i="5"/>
  <c r="BZ221" i="5"/>
  <c r="BZ226" i="5"/>
  <c r="BZ228" i="5"/>
  <c r="BZ229" i="5"/>
  <c r="BZ232" i="5"/>
  <c r="BZ235" i="5"/>
  <c r="BZ237" i="5"/>
  <c r="BZ238" i="5"/>
  <c r="BZ239" i="5"/>
  <c r="BZ243" i="5"/>
  <c r="BZ254" i="5"/>
  <c r="BZ255" i="5"/>
  <c r="BZ256" i="5"/>
  <c r="BZ257" i="5"/>
  <c r="BZ261" i="5"/>
  <c r="BZ265" i="5"/>
  <c r="BZ266" i="5"/>
  <c r="BZ267" i="5"/>
  <c r="BZ271" i="5"/>
  <c r="BZ273" i="5"/>
  <c r="BZ275" i="5"/>
  <c r="BZ276" i="5"/>
  <c r="BZ281" i="5"/>
  <c r="BZ287" i="5"/>
  <c r="BZ289" i="5"/>
  <c r="BZ291" i="5"/>
  <c r="BZ292" i="5"/>
  <c r="BZ296" i="5"/>
  <c r="BZ297" i="5"/>
  <c r="BZ298" i="5"/>
  <c r="BZ299" i="5"/>
  <c r="BZ300" i="5"/>
  <c r="BZ308" i="5"/>
  <c r="BZ315" i="5"/>
  <c r="BZ317" i="5"/>
  <c r="BZ318" i="5"/>
  <c r="BZ320" i="5"/>
  <c r="BZ321" i="5"/>
  <c r="BZ323" i="5"/>
  <c r="BZ324" i="5"/>
  <c r="BZ331" i="5"/>
  <c r="BX54" i="5"/>
  <c r="BX59" i="5"/>
  <c r="BX60" i="5"/>
  <c r="BX66" i="5"/>
  <c r="BX70" i="5"/>
  <c r="BX72" i="5"/>
  <c r="BX75" i="5"/>
  <c r="BX77" i="5"/>
  <c r="BX80" i="5"/>
  <c r="BX82" i="5"/>
  <c r="BX84" i="5"/>
  <c r="BX85" i="5"/>
  <c r="BX86" i="5"/>
  <c r="BX94" i="5"/>
  <c r="BX100" i="5"/>
  <c r="BX110" i="5"/>
  <c r="BX116" i="5"/>
  <c r="BX118" i="5"/>
  <c r="BX119" i="5"/>
  <c r="BX121" i="5"/>
  <c r="BX123" i="5"/>
  <c r="BX126" i="5"/>
  <c r="BX128" i="5"/>
  <c r="BX131" i="5"/>
  <c r="BX132" i="5"/>
  <c r="BX135" i="5"/>
  <c r="BX138" i="5"/>
  <c r="BX142" i="5"/>
  <c r="BX143" i="5"/>
  <c r="BX144" i="5"/>
  <c r="BX145" i="5"/>
  <c r="BX148" i="5"/>
  <c r="BX149" i="5"/>
  <c r="BX150" i="5"/>
  <c r="BX151" i="5"/>
  <c r="BX152" i="5"/>
  <c r="BX154" i="5"/>
  <c r="BX155" i="5"/>
  <c r="BX157" i="5"/>
  <c r="BX160" i="5"/>
  <c r="BX161" i="5"/>
  <c r="BX165" i="5"/>
  <c r="BX167" i="5"/>
  <c r="BX170" i="5"/>
  <c r="BX174" i="5"/>
  <c r="BX175" i="5"/>
  <c r="BX179" i="5"/>
  <c r="BX181" i="5"/>
  <c r="BX185" i="5"/>
  <c r="BX188" i="5"/>
  <c r="BX190" i="5"/>
  <c r="BX191" i="5"/>
  <c r="BX195" i="5"/>
  <c r="BX197" i="5"/>
  <c r="BX200" i="5"/>
  <c r="BX203" i="5"/>
  <c r="BX204" i="5"/>
  <c r="BX205" i="5"/>
  <c r="BX206" i="5"/>
  <c r="BX209" i="5"/>
  <c r="BX210" i="5"/>
  <c r="BX211" i="5"/>
  <c r="BX215" i="5"/>
  <c r="BX217" i="5"/>
  <c r="BX221" i="5"/>
  <c r="BX226" i="5"/>
  <c r="BX228" i="5"/>
  <c r="BX229" i="5"/>
  <c r="BX232" i="5"/>
  <c r="BX235" i="5"/>
  <c r="BX237" i="5"/>
  <c r="BX238" i="5"/>
  <c r="BX239" i="5"/>
  <c r="BX243" i="5"/>
  <c r="BX254" i="5"/>
  <c r="BX255" i="5"/>
  <c r="BX256" i="5"/>
  <c r="BX257" i="5"/>
  <c r="BX261" i="5"/>
  <c r="BX265" i="5"/>
  <c r="BX266" i="5"/>
  <c r="BX267" i="5"/>
  <c r="BX271" i="5"/>
  <c r="BX273" i="5"/>
  <c r="BX275" i="5"/>
  <c r="BX276" i="5"/>
  <c r="BX281" i="5"/>
  <c r="BX287" i="5"/>
  <c r="BX289" i="5"/>
  <c r="BX291" i="5"/>
  <c r="BX292" i="5"/>
  <c r="BX296" i="5"/>
  <c r="BX297" i="5"/>
  <c r="BX298" i="5"/>
  <c r="BX299" i="5"/>
  <c r="BX300" i="5"/>
  <c r="BX308" i="5"/>
  <c r="BX315" i="5"/>
  <c r="BX317" i="5"/>
  <c r="BX318" i="5"/>
  <c r="BX320" i="5"/>
  <c r="BX321" i="5"/>
  <c r="BX323" i="5"/>
  <c r="BX324" i="5"/>
  <c r="BX331" i="5"/>
  <c r="BX14" i="5"/>
  <c r="BX15" i="5"/>
  <c r="BX16" i="5"/>
  <c r="BX21" i="5"/>
  <c r="BX22" i="5"/>
  <c r="BX23" i="5"/>
  <c r="BX24" i="5"/>
  <c r="BX26" i="5"/>
  <c r="BX27" i="5"/>
  <c r="BX29" i="5"/>
  <c r="BX31" i="5"/>
  <c r="BX32" i="5"/>
  <c r="BX33" i="5"/>
  <c r="BX36" i="5"/>
  <c r="BX38" i="5"/>
  <c r="BX39" i="5"/>
  <c r="BX41" i="5"/>
  <c r="BX46" i="5"/>
  <c r="BX47" i="5"/>
  <c r="BX49" i="5"/>
  <c r="AY7" i="5"/>
  <c r="BC7" i="5"/>
  <c r="AX8" i="5"/>
  <c r="BA8" i="5"/>
  <c r="BB8" i="5"/>
  <c r="BF8" i="5"/>
  <c r="H8" i="5" s="1"/>
  <c r="BA9" i="5"/>
  <c r="BE9" i="5"/>
  <c r="AZ10" i="5"/>
  <c r="BD10" i="5"/>
  <c r="AY11" i="5"/>
  <c r="BC11" i="5"/>
  <c r="AX12" i="5"/>
  <c r="BB12" i="5"/>
  <c r="BF12" i="5"/>
  <c r="H12" i="5" s="1"/>
  <c r="BA13" i="5"/>
  <c r="BE13" i="5"/>
  <c r="AZ14" i="5"/>
  <c r="BD14" i="5"/>
  <c r="AY15" i="5"/>
  <c r="BC15" i="5"/>
  <c r="BE15" i="5"/>
  <c r="AX16" i="5"/>
  <c r="AZ16" i="5"/>
  <c r="BB16" i="5"/>
  <c r="BD16" i="5"/>
  <c r="BF16" i="5"/>
  <c r="H16" i="5" s="1"/>
  <c r="BA17" i="5"/>
  <c r="BE17" i="5"/>
  <c r="AZ18" i="5"/>
  <c r="BD18" i="5"/>
  <c r="BA19" i="5"/>
  <c r="BC19" i="5"/>
  <c r="BE19" i="5"/>
  <c r="AX20" i="5"/>
  <c r="BB20" i="5"/>
  <c r="BF20" i="5"/>
  <c r="H20" i="5" s="1"/>
  <c r="BA21" i="5"/>
  <c r="BE21" i="5"/>
  <c r="AZ22" i="5"/>
  <c r="BD22" i="5"/>
  <c r="AY23" i="5"/>
  <c r="BA23" i="5"/>
  <c r="BC23" i="5"/>
  <c r="BE23" i="5"/>
  <c r="AX24" i="5"/>
  <c r="AZ24" i="5"/>
  <c r="BB24" i="5"/>
  <c r="BD24" i="5"/>
  <c r="BF24" i="5"/>
  <c r="H24" i="5" s="1"/>
  <c r="BA25" i="5"/>
  <c r="BE25" i="5"/>
  <c r="AX26" i="5"/>
  <c r="AZ26" i="5"/>
  <c r="BB26" i="5"/>
  <c r="BD26" i="5"/>
  <c r="BF26" i="5"/>
  <c r="H26" i="5" s="1"/>
  <c r="AY27" i="5"/>
  <c r="BA27" i="5"/>
  <c r="BC27" i="5"/>
  <c r="BE27" i="5"/>
  <c r="AX28" i="5"/>
  <c r="AZ28" i="5"/>
  <c r="BD28" i="5"/>
  <c r="BF28" i="5"/>
  <c r="H28" i="5" s="1"/>
  <c r="AZ30" i="5"/>
  <c r="BA30" i="5"/>
  <c r="BD30" i="5"/>
  <c r="AY31" i="5"/>
  <c r="BC31" i="5"/>
  <c r="AX32" i="5"/>
  <c r="BB32" i="5"/>
  <c r="BE32" i="5"/>
  <c r="BF32" i="5"/>
  <c r="H32" i="5" s="1"/>
  <c r="AZ33" i="5"/>
  <c r="BA33" i="5"/>
  <c r="BE33" i="5"/>
  <c r="AZ34" i="5"/>
  <c r="BD34" i="5"/>
  <c r="BF34" i="5"/>
  <c r="H34" i="5" s="1"/>
  <c r="AY35" i="5"/>
  <c r="BC35" i="5"/>
  <c r="BA37" i="5"/>
  <c r="BE37" i="5"/>
  <c r="AZ38" i="5"/>
  <c r="BD38" i="5"/>
  <c r="AX40" i="5"/>
  <c r="BB40" i="5"/>
  <c r="BF40" i="5"/>
  <c r="H40" i="5" s="1"/>
  <c r="BA41" i="5"/>
  <c r="BE41" i="5"/>
  <c r="AZ42" i="5"/>
  <c r="BD42" i="5"/>
  <c r="AY43" i="5"/>
  <c r="BC43" i="5"/>
  <c r="AX44" i="5"/>
  <c r="BB44" i="5"/>
  <c r="BF44" i="5"/>
  <c r="H44" i="5" s="1"/>
  <c r="BA45" i="5"/>
  <c r="BE45" i="5"/>
  <c r="AZ46" i="5"/>
  <c r="BD46" i="5"/>
  <c r="AY47" i="5"/>
  <c r="BC47" i="5"/>
  <c r="AX48" i="5"/>
  <c r="BB48" i="5"/>
  <c r="BF48" i="5"/>
  <c r="H48" i="5" s="1"/>
  <c r="BA49" i="5"/>
  <c r="BE49" i="5"/>
  <c r="AY51" i="5"/>
  <c r="BC51" i="5"/>
  <c r="AX52" i="5"/>
  <c r="BB52" i="5"/>
  <c r="BE52" i="5"/>
  <c r="BF52" i="5"/>
  <c r="H52" i="5" s="1"/>
  <c r="BC53" i="5"/>
  <c r="BE53" i="5"/>
  <c r="AX54" i="5"/>
  <c r="AZ54" i="5"/>
  <c r="BB54" i="5"/>
  <c r="BD54" i="5"/>
  <c r="BF54" i="5"/>
  <c r="H54" i="5" s="1"/>
  <c r="AY55" i="5"/>
  <c r="AZ55" i="5"/>
  <c r="BC55" i="5"/>
  <c r="BD55" i="5"/>
  <c r="AX56" i="5"/>
  <c r="BB56" i="5"/>
  <c r="BF56" i="5"/>
  <c r="H56" i="5" s="1"/>
  <c r="BA57" i="5"/>
  <c r="BE57" i="5"/>
  <c r="AZ58" i="5"/>
  <c r="BD58" i="5"/>
  <c r="AY59" i="5"/>
  <c r="BC59" i="5"/>
  <c r="AX60" i="5"/>
  <c r="BB60" i="5"/>
  <c r="BF60" i="5"/>
  <c r="H60" i="5" s="1"/>
  <c r="BA61" i="5"/>
  <c r="BE61" i="5"/>
  <c r="AZ62" i="5"/>
  <c r="BD62" i="5"/>
  <c r="AY63" i="5"/>
  <c r="BC63" i="5"/>
  <c r="AX64" i="5"/>
  <c r="BB64" i="5"/>
  <c r="BF64" i="5"/>
  <c r="H64" i="5" s="1"/>
  <c r="BA65" i="5"/>
  <c r="BE65" i="5"/>
  <c r="BB71" i="5"/>
  <c r="BF71" i="5"/>
  <c r="H71" i="5" s="1"/>
  <c r="AZ75" i="5"/>
  <c r="BD75" i="5"/>
  <c r="AY76" i="5"/>
  <c r="BB76" i="5"/>
  <c r="BF76" i="5"/>
  <c r="BA77" i="5"/>
  <c r="BE77" i="5"/>
  <c r="AY98" i="5"/>
  <c r="BC98" i="5"/>
  <c r="BA99" i="5"/>
  <c r="BD99" i="5"/>
  <c r="BB100" i="5"/>
  <c r="BF100" i="5"/>
  <c r="H100" i="5" s="1"/>
  <c r="BA101" i="5"/>
  <c r="BC185" i="5"/>
  <c r="AX190" i="5"/>
  <c r="AY190" i="5"/>
  <c r="AZ190" i="5"/>
  <c r="BD190" i="5"/>
  <c r="BE190" i="5"/>
  <c r="AY192" i="5"/>
  <c r="BC192" i="5"/>
  <c r="BA194" i="5"/>
  <c r="BC194" i="5"/>
  <c r="BE194" i="5"/>
  <c r="AY196" i="5"/>
  <c r="BC196" i="5"/>
  <c r="BA198" i="5"/>
  <c r="BE198" i="5"/>
  <c r="BA199" i="5"/>
  <c r="BD199" i="5"/>
  <c r="BE199" i="5"/>
  <c r="AZ200" i="5"/>
  <c r="BC200" i="5"/>
  <c r="BF200" i="5"/>
  <c r="H200" i="5" s="1"/>
  <c r="BA201" i="5"/>
  <c r="BE201" i="5"/>
  <c r="AX203" i="5"/>
  <c r="BB203" i="5"/>
  <c r="BF203" i="5"/>
  <c r="H203" i="5" s="1"/>
  <c r="AY205" i="5"/>
  <c r="AX206" i="5"/>
  <c r="AY206" i="5"/>
  <c r="BB206" i="5"/>
  <c r="BF206" i="5"/>
  <c r="H206" i="5" s="1"/>
  <c r="AX207" i="5"/>
  <c r="AY207" i="5"/>
  <c r="BB207" i="5"/>
  <c r="BE207" i="5"/>
  <c r="BF207" i="5"/>
  <c r="H207" i="5" s="1"/>
  <c r="AX208" i="5"/>
  <c r="AY208" i="5"/>
  <c r="AZ208" i="5"/>
  <c r="BA208" i="5"/>
  <c r="BB208" i="5"/>
  <c r="BD208" i="5"/>
  <c r="BE208" i="5"/>
  <c r="AZ209" i="5"/>
  <c r="BD209" i="5"/>
  <c r="AX210" i="5"/>
  <c r="AY210" i="5"/>
  <c r="BB210" i="5"/>
  <c r="BC210" i="5"/>
  <c r="BF210" i="5"/>
  <c r="H210" i="5" s="1"/>
  <c r="AX211" i="5"/>
  <c r="BB211" i="5"/>
  <c r="BD211" i="5"/>
  <c r="BF211" i="5"/>
  <c r="H211" i="5" s="1"/>
  <c r="BA212" i="5"/>
  <c r="BE212" i="5"/>
  <c r="AX213" i="5"/>
  <c r="AZ213" i="5"/>
  <c r="BB213" i="5"/>
  <c r="BD213" i="5"/>
  <c r="BF213" i="5"/>
  <c r="H213" i="5" s="1"/>
  <c r="AY214" i="5"/>
  <c r="BA214" i="5"/>
  <c r="BC214" i="5"/>
  <c r="BE214" i="5"/>
  <c r="AX215" i="5"/>
  <c r="AY215" i="5"/>
  <c r="AZ215" i="5"/>
  <c r="BB215" i="5"/>
  <c r="BC215" i="5"/>
  <c r="BF215" i="5"/>
  <c r="AX216" i="5"/>
  <c r="AY216" i="5"/>
  <c r="BA216" i="5"/>
  <c r="BB216" i="5"/>
  <c r="BC216" i="5"/>
  <c r="BE216" i="5"/>
  <c r="BF216" i="5"/>
  <c r="H216" i="5" s="1"/>
  <c r="AX217" i="5"/>
  <c r="AZ217" i="5"/>
  <c r="BB217" i="5"/>
  <c r="BD217" i="5"/>
  <c r="BF217" i="5"/>
  <c r="H217" i="5" s="1"/>
  <c r="AY218" i="5"/>
  <c r="BA218" i="5"/>
  <c r="BC218" i="5"/>
  <c r="BE218" i="5"/>
  <c r="AY219" i="5"/>
  <c r="AZ219" i="5"/>
  <c r="BB219" i="5"/>
  <c r="BD219" i="5"/>
  <c r="BF219" i="5"/>
  <c r="H219" i="5" s="1"/>
  <c r="BA220" i="5"/>
  <c r="BE220" i="5"/>
  <c r="AX221" i="5"/>
  <c r="AZ221" i="5"/>
  <c r="BB221" i="5"/>
  <c r="BD221" i="5"/>
  <c r="BF221" i="5"/>
  <c r="H221" i="5" s="1"/>
  <c r="AY222" i="5"/>
  <c r="BA222" i="5"/>
  <c r="BC222" i="5"/>
  <c r="AX223" i="5"/>
  <c r="AZ223" i="5"/>
  <c r="BB223" i="5"/>
  <c r="BD223" i="5"/>
  <c r="BF223" i="5"/>
  <c r="H223" i="5" s="1"/>
  <c r="BA224" i="5"/>
  <c r="BE224" i="5"/>
  <c r="AX225" i="5"/>
  <c r="AZ225" i="5"/>
  <c r="BB225" i="5"/>
  <c r="BD225" i="5"/>
  <c r="BF225" i="5"/>
  <c r="H225" i="5" s="1"/>
  <c r="AY226" i="5"/>
  <c r="BA226" i="5"/>
  <c r="BC226" i="5"/>
  <c r="BE226" i="5"/>
  <c r="AX227" i="5"/>
  <c r="AZ227" i="5"/>
  <c r="BB227" i="5"/>
  <c r="BD227" i="5"/>
  <c r="BF227" i="5"/>
  <c r="H227" i="5" s="1"/>
  <c r="BA228" i="5"/>
  <c r="BE228" i="5"/>
  <c r="AX229" i="5"/>
  <c r="AZ229" i="5"/>
  <c r="BB229" i="5"/>
  <c r="BD229" i="5"/>
  <c r="BF229" i="5"/>
  <c r="H229" i="5" s="1"/>
  <c r="AY230" i="5"/>
  <c r="BC230" i="5"/>
  <c r="AX231" i="5"/>
  <c r="AZ231" i="5"/>
  <c r="BB231" i="5"/>
  <c r="BD231" i="5"/>
  <c r="BF231" i="5"/>
  <c r="H231" i="5" s="1"/>
  <c r="AX232" i="5"/>
  <c r="BA232" i="5"/>
  <c r="BB232" i="5"/>
  <c r="BC232" i="5"/>
  <c r="BE232" i="5"/>
  <c r="AX233" i="5"/>
  <c r="AY233" i="5"/>
  <c r="AZ233" i="5"/>
  <c r="BB233" i="5"/>
  <c r="BC233" i="5"/>
  <c r="BD233" i="5"/>
  <c r="AX234" i="5"/>
  <c r="AY234" i="5"/>
  <c r="BA234" i="5"/>
  <c r="BB234" i="5"/>
  <c r="BC234" i="5"/>
  <c r="AX235" i="5"/>
  <c r="AZ235" i="5"/>
  <c r="BB235" i="5"/>
  <c r="BC235" i="5"/>
  <c r="BD235" i="5"/>
  <c r="AX236" i="5"/>
  <c r="AY236" i="5"/>
  <c r="AZ236" i="5"/>
  <c r="BE236" i="5"/>
  <c r="AX237" i="5"/>
  <c r="AZ237" i="5"/>
  <c r="BA237" i="5"/>
  <c r="BC237" i="5"/>
  <c r="BD237" i="5"/>
  <c r="BF237" i="5"/>
  <c r="H237" i="5" s="1"/>
  <c r="AX238" i="5"/>
  <c r="AY238" i="5"/>
  <c r="BA238" i="5"/>
  <c r="BB238" i="5"/>
  <c r="BC238" i="5"/>
  <c r="BE238" i="5"/>
  <c r="AX239" i="5"/>
  <c r="AY239" i="5"/>
  <c r="AZ239" i="5"/>
  <c r="BB239" i="5"/>
  <c r="BD239" i="5"/>
  <c r="BF239" i="5"/>
  <c r="H239" i="5" s="1"/>
  <c r="AY240" i="5"/>
  <c r="BA240" i="5"/>
  <c r="BC240" i="5"/>
  <c r="BE240" i="5"/>
  <c r="BF240" i="5"/>
  <c r="H240" i="5" s="1"/>
  <c r="AX241" i="5"/>
  <c r="AZ241" i="5"/>
  <c r="BA241" i="5"/>
  <c r="BB241" i="5"/>
  <c r="BC241" i="5"/>
  <c r="BD241" i="5"/>
  <c r="AY242" i="5"/>
  <c r="AZ242" i="5"/>
  <c r="BA242" i="5"/>
  <c r="BC242" i="5"/>
  <c r="BD242" i="5"/>
  <c r="BE242" i="5"/>
  <c r="AX243" i="5"/>
  <c r="BA243" i="5"/>
  <c r="BB243" i="5"/>
  <c r="BE243" i="5"/>
  <c r="BF243" i="5"/>
  <c r="H243" i="5" s="1"/>
  <c r="AY244" i="5"/>
  <c r="BA244" i="5"/>
  <c r="BB244" i="5"/>
  <c r="BE244" i="5"/>
  <c r="AX245" i="5"/>
  <c r="AY245" i="5"/>
  <c r="BA245" i="5"/>
  <c r="BC245" i="5"/>
  <c r="AX246" i="5"/>
  <c r="AY246" i="5"/>
  <c r="AZ246" i="5"/>
  <c r="BB246" i="5"/>
  <c r="BF246" i="5"/>
  <c r="H246" i="5" s="1"/>
  <c r="BA247" i="5"/>
  <c r="BE247" i="5"/>
  <c r="AX248" i="5"/>
  <c r="AZ248" i="5"/>
  <c r="BD248" i="5"/>
  <c r="AY249" i="5"/>
  <c r="BC249" i="5"/>
  <c r="BF249" i="5"/>
  <c r="H249" i="5" s="1"/>
  <c r="AX250" i="5"/>
  <c r="BB250" i="5"/>
  <c r="BC250" i="5"/>
  <c r="BF250" i="5"/>
  <c r="H250" i="5" s="1"/>
  <c r="AZ251" i="5"/>
  <c r="BA251" i="5"/>
  <c r="BE251" i="5"/>
  <c r="BF251" i="5"/>
  <c r="H251" i="5" s="1"/>
  <c r="AZ252" i="5"/>
  <c r="BD252" i="5"/>
  <c r="AY253" i="5"/>
  <c r="BC253" i="5"/>
  <c r="AX254" i="5"/>
  <c r="BA254" i="5"/>
  <c r="BE254" i="5"/>
  <c r="AY255" i="5"/>
  <c r="AZ255" i="5"/>
  <c r="BA255" i="5"/>
  <c r="BC255" i="5"/>
  <c r="BD255" i="5"/>
  <c r="BE255" i="5"/>
  <c r="AX256" i="5"/>
  <c r="AY256" i="5"/>
  <c r="BB256" i="5"/>
  <c r="BC256" i="5"/>
  <c r="BF256" i="5"/>
  <c r="H256" i="5" s="1"/>
  <c r="AX257" i="5"/>
  <c r="AY257" i="5"/>
  <c r="BB257" i="5"/>
  <c r="BC257" i="5"/>
  <c r="BE257" i="5"/>
  <c r="AX258" i="5"/>
  <c r="AY258" i="5"/>
  <c r="AZ258" i="5"/>
  <c r="BB258" i="5"/>
  <c r="BD258" i="5"/>
  <c r="BF258" i="5"/>
  <c r="H258" i="5" s="1"/>
  <c r="AY259" i="5"/>
  <c r="BA259" i="5"/>
  <c r="BB259" i="5"/>
  <c r="BC259" i="5"/>
  <c r="BE259" i="5"/>
  <c r="BF259" i="5"/>
  <c r="H259" i="5" s="1"/>
  <c r="AX260" i="5"/>
  <c r="AZ260" i="5"/>
  <c r="BB260" i="5"/>
  <c r="BD260" i="5"/>
  <c r="BE260" i="5"/>
  <c r="BF260" i="5"/>
  <c r="H260" i="5" s="1"/>
  <c r="AY261" i="5"/>
  <c r="BA261" i="5"/>
  <c r="BC261" i="5"/>
  <c r="BE261" i="5"/>
  <c r="AX262" i="5"/>
  <c r="AZ262" i="5"/>
  <c r="BB262" i="5"/>
  <c r="BD262" i="5"/>
  <c r="BF262" i="5"/>
  <c r="H262" i="5" s="1"/>
  <c r="AY263" i="5"/>
  <c r="BA263" i="5"/>
  <c r="BC263" i="5"/>
  <c r="BD263" i="5"/>
  <c r="BE263" i="5"/>
  <c r="AX264" i="5"/>
  <c r="AZ264" i="5"/>
  <c r="BB264" i="5"/>
  <c r="BC264" i="5"/>
  <c r="BD264" i="5"/>
  <c r="BF264" i="5"/>
  <c r="H264" i="5" s="1"/>
  <c r="AY265" i="5"/>
  <c r="BA265" i="5"/>
  <c r="BC265" i="5"/>
  <c r="BD265" i="5"/>
  <c r="BE265" i="5"/>
  <c r="AX266" i="5"/>
  <c r="AZ266" i="5"/>
  <c r="BB266" i="5"/>
  <c r="BD266" i="5"/>
  <c r="BF266" i="5"/>
  <c r="H266" i="5" s="1"/>
  <c r="AX267" i="5"/>
  <c r="AY267" i="5"/>
  <c r="BA267" i="5"/>
  <c r="BC267" i="5"/>
  <c r="BD267" i="5"/>
  <c r="BE267" i="5"/>
  <c r="BF267" i="5"/>
  <c r="H267" i="5" s="1"/>
  <c r="AX268" i="5"/>
  <c r="AZ268" i="5"/>
  <c r="BB268" i="5"/>
  <c r="BD268" i="5"/>
  <c r="BF268" i="5"/>
  <c r="H268" i="5" s="1"/>
  <c r="AX269" i="5"/>
  <c r="BA269" i="5"/>
  <c r="BD269" i="5"/>
  <c r="BE269" i="5"/>
  <c r="AX270" i="5"/>
  <c r="AY270" i="5"/>
  <c r="AZ270" i="5"/>
  <c r="BB270" i="5"/>
  <c r="BD270" i="5"/>
  <c r="BF270" i="5"/>
  <c r="H270" i="5" s="1"/>
  <c r="AX271" i="5"/>
  <c r="AY271" i="5"/>
  <c r="BC271" i="5"/>
  <c r="AX272" i="5"/>
  <c r="AY272" i="5"/>
  <c r="AZ272" i="5"/>
  <c r="BB272" i="5"/>
  <c r="BC272" i="5"/>
  <c r="BD272" i="5"/>
  <c r="BE272" i="5"/>
  <c r="BF272" i="5"/>
  <c r="AX273" i="5"/>
  <c r="AY273" i="5"/>
  <c r="AZ273" i="5"/>
  <c r="BA273" i="5"/>
  <c r="BE273" i="5"/>
  <c r="AX274" i="5"/>
  <c r="AZ274" i="5"/>
  <c r="BB274" i="5"/>
  <c r="BC274" i="5"/>
  <c r="BF274" i="5"/>
  <c r="H274" i="5" s="1"/>
  <c r="AX275" i="5"/>
  <c r="AY275" i="5"/>
  <c r="AZ275" i="5"/>
  <c r="BA275" i="5"/>
  <c r="BB275" i="5"/>
  <c r="BC275" i="5"/>
  <c r="BE275" i="5"/>
  <c r="BF275" i="5"/>
  <c r="H275" i="5" s="1"/>
  <c r="AX276" i="5"/>
  <c r="AZ276" i="5"/>
  <c r="BA276" i="5"/>
  <c r="BB276" i="5"/>
  <c r="BD276" i="5"/>
  <c r="BE276" i="5"/>
  <c r="BF276" i="5"/>
  <c r="H276" i="5" s="1"/>
  <c r="AY277" i="5"/>
  <c r="AZ277" i="5"/>
  <c r="BA277" i="5"/>
  <c r="BC277" i="5"/>
  <c r="BD277" i="5"/>
  <c r="BE277" i="5"/>
  <c r="AX278" i="5"/>
  <c r="AY278" i="5"/>
  <c r="AZ278" i="5"/>
  <c r="BB278" i="5"/>
  <c r="BC278" i="5"/>
  <c r="BD278" i="5"/>
  <c r="BF278" i="5"/>
  <c r="H278" i="5" s="1"/>
  <c r="AX279" i="5"/>
  <c r="AY279" i="5"/>
  <c r="BA279" i="5"/>
  <c r="BB279" i="5"/>
  <c r="BC279" i="5"/>
  <c r="BE279" i="5"/>
  <c r="BF279" i="5"/>
  <c r="H279" i="5" s="1"/>
  <c r="AX280" i="5"/>
  <c r="AZ280" i="5"/>
  <c r="BA280" i="5"/>
  <c r="BB280" i="5"/>
  <c r="BD280" i="5"/>
  <c r="BE280" i="5"/>
  <c r="BF280" i="5"/>
  <c r="H280" i="5" s="1"/>
  <c r="AY281" i="5"/>
  <c r="AZ281" i="5"/>
  <c r="BA281" i="5"/>
  <c r="BC281" i="5"/>
  <c r="BD281" i="5"/>
  <c r="BE281" i="5"/>
  <c r="AX282" i="5"/>
  <c r="AY282" i="5"/>
  <c r="AZ282" i="5"/>
  <c r="BA282" i="5"/>
  <c r="BB282" i="5"/>
  <c r="BC282" i="5"/>
  <c r="BD282" i="5"/>
  <c r="BF282" i="5"/>
  <c r="H282" i="5" s="1"/>
  <c r="AX283" i="5"/>
  <c r="AY283" i="5"/>
  <c r="BA283" i="5"/>
  <c r="BB283" i="5"/>
  <c r="BC283" i="5"/>
  <c r="BE283" i="5"/>
  <c r="BF283" i="5"/>
  <c r="H283" i="5" s="1"/>
  <c r="AX284" i="5"/>
  <c r="AZ284" i="5"/>
  <c r="BA284" i="5"/>
  <c r="BB284" i="5"/>
  <c r="BD284" i="5"/>
  <c r="BE284" i="5"/>
  <c r="BF284" i="5"/>
  <c r="H284" i="5" s="1"/>
  <c r="AY285" i="5"/>
  <c r="AZ285" i="5"/>
  <c r="BA285" i="5"/>
  <c r="BC285" i="5"/>
  <c r="BE285" i="5"/>
  <c r="AX286" i="5"/>
  <c r="AZ286" i="5"/>
  <c r="BB286" i="5"/>
  <c r="BD286" i="5"/>
  <c r="BF286" i="5"/>
  <c r="H286" i="5" s="1"/>
  <c r="AX287" i="5"/>
  <c r="AY287" i="5"/>
  <c r="BA287" i="5"/>
  <c r="BB287" i="5"/>
  <c r="BC287" i="5"/>
  <c r="BE287" i="5"/>
  <c r="AX288" i="5"/>
  <c r="AZ288" i="5"/>
  <c r="BB288" i="5"/>
  <c r="BC288" i="5"/>
  <c r="BD288" i="5"/>
  <c r="BE288" i="5"/>
  <c r="BF288" i="5"/>
  <c r="H288" i="5" s="1"/>
  <c r="AY289" i="5"/>
  <c r="BA289" i="5"/>
  <c r="BB289" i="5"/>
  <c r="BC289" i="5"/>
  <c r="BE289" i="5"/>
  <c r="BF289" i="5"/>
  <c r="H289" i="5" s="1"/>
  <c r="AX290" i="5"/>
  <c r="AZ290" i="5"/>
  <c r="BB290" i="5"/>
  <c r="BC290" i="5"/>
  <c r="BD290" i="5"/>
  <c r="BF290" i="5"/>
  <c r="H290" i="5" s="1"/>
  <c r="AY291" i="5"/>
  <c r="BA291" i="5"/>
  <c r="BC291" i="5"/>
  <c r="BE291" i="5"/>
  <c r="AX292" i="5"/>
  <c r="AZ292" i="5"/>
  <c r="BB292" i="5"/>
  <c r="BD292" i="5"/>
  <c r="BF292" i="5"/>
  <c r="H292" i="5" s="1"/>
  <c r="AX293" i="5"/>
  <c r="AY293" i="5"/>
  <c r="BA293" i="5"/>
  <c r="BC293" i="5"/>
  <c r="BE293" i="5"/>
  <c r="AX294" i="5"/>
  <c r="AZ294" i="5"/>
  <c r="BB294" i="5"/>
  <c r="BC294" i="5"/>
  <c r="BD294" i="5"/>
  <c r="BF294" i="5"/>
  <c r="H294" i="5" s="1"/>
  <c r="AY295" i="5"/>
  <c r="BA295" i="5"/>
  <c r="BC295" i="5"/>
  <c r="BE295" i="5"/>
  <c r="BF295" i="5"/>
  <c r="H295" i="5" s="1"/>
  <c r="AX296" i="5"/>
  <c r="AZ296" i="5"/>
  <c r="BB296" i="5"/>
  <c r="BD296" i="5"/>
  <c r="BF296" i="5"/>
  <c r="H296" i="5" s="1"/>
  <c r="AY297" i="5"/>
  <c r="BA297" i="5"/>
  <c r="BC297" i="5"/>
  <c r="BE297" i="5"/>
  <c r="AX298" i="5"/>
  <c r="AZ298" i="5"/>
  <c r="BB298" i="5"/>
  <c r="BD298" i="5"/>
  <c r="BF298" i="5"/>
  <c r="H298" i="5" s="1"/>
  <c r="AY299" i="5"/>
  <c r="BA299" i="5"/>
  <c r="BB299" i="5"/>
  <c r="BC299" i="5"/>
  <c r="BE299" i="5"/>
  <c r="AX300" i="5"/>
  <c r="AZ300" i="5"/>
  <c r="BB300" i="5"/>
  <c r="BC300" i="5"/>
  <c r="BD300" i="5"/>
  <c r="BF300" i="5"/>
  <c r="AY301" i="5"/>
  <c r="AZ301" i="5"/>
  <c r="BA301" i="5"/>
  <c r="BD301" i="5"/>
  <c r="BE301" i="5"/>
  <c r="AX302" i="5"/>
  <c r="AZ302" i="5"/>
  <c r="BB302" i="5"/>
  <c r="BD302" i="5"/>
  <c r="BF302" i="5"/>
  <c r="H302" i="5" s="1"/>
  <c r="AX303" i="5"/>
  <c r="AY303" i="5"/>
  <c r="BC303" i="5"/>
  <c r="BD303" i="5"/>
  <c r="BE303" i="5"/>
  <c r="AX304" i="5"/>
  <c r="AY304" i="5"/>
  <c r="AZ304" i="5"/>
  <c r="BB304" i="5"/>
  <c r="BD304" i="5"/>
  <c r="BE304" i="5"/>
  <c r="BF304" i="5"/>
  <c r="H304" i="5" s="1"/>
  <c r="AY305" i="5"/>
  <c r="AZ305" i="5"/>
  <c r="BA305" i="5"/>
  <c r="BE305" i="5"/>
  <c r="AX306" i="5"/>
  <c r="AZ306" i="5"/>
  <c r="BB306" i="5"/>
  <c r="BC306" i="5"/>
  <c r="BD306" i="5"/>
  <c r="BF306" i="5"/>
  <c r="H306" i="5" s="1"/>
  <c r="AY307" i="5"/>
  <c r="AZ307" i="5"/>
  <c r="BA307" i="5"/>
  <c r="BC307" i="5"/>
  <c r="BE307" i="5"/>
  <c r="AX308" i="5"/>
  <c r="AZ308" i="5"/>
  <c r="BA308" i="5"/>
  <c r="BB308" i="5"/>
  <c r="BD308" i="5"/>
  <c r="BE308" i="5"/>
  <c r="BF308" i="5"/>
  <c r="H308" i="5" s="1"/>
  <c r="AY309" i="5"/>
  <c r="BA309" i="5"/>
  <c r="BC309" i="5"/>
  <c r="BE309" i="5"/>
  <c r="AX310" i="5"/>
  <c r="AY310" i="5"/>
  <c r="AZ310" i="5"/>
  <c r="BB310" i="5"/>
  <c r="BD310" i="5"/>
  <c r="BE310" i="5"/>
  <c r="BF310" i="5"/>
  <c r="H310" i="5" s="1"/>
  <c r="AY311" i="5"/>
  <c r="BA311" i="5"/>
  <c r="BE311" i="5"/>
  <c r="AX312" i="5"/>
  <c r="AZ312" i="5"/>
  <c r="BA312" i="5"/>
  <c r="BB312" i="5"/>
  <c r="BC312" i="5"/>
  <c r="BD312" i="5"/>
  <c r="BF312" i="5"/>
  <c r="H312" i="5" s="1"/>
  <c r="AX313" i="5"/>
  <c r="AY313" i="5"/>
  <c r="AZ313" i="5"/>
  <c r="BA313" i="5"/>
  <c r="BC313" i="5"/>
  <c r="BE313" i="5"/>
  <c r="AX314" i="5"/>
  <c r="AY314" i="5"/>
  <c r="AZ314" i="5"/>
  <c r="BB314" i="5"/>
  <c r="BD314" i="5"/>
  <c r="BF314" i="5"/>
  <c r="H314" i="5" s="1"/>
  <c r="AX315" i="5"/>
  <c r="AY315" i="5"/>
  <c r="BA315" i="5"/>
  <c r="BC315" i="5"/>
  <c r="BE315" i="5"/>
  <c r="BF315" i="5"/>
  <c r="H315" i="5" s="1"/>
  <c r="AX316" i="5"/>
  <c r="AY316" i="5"/>
  <c r="AZ316" i="5"/>
  <c r="BB316" i="5"/>
  <c r="BD316" i="5"/>
  <c r="BE316" i="5"/>
  <c r="BF316" i="5"/>
  <c r="H316" i="5" s="1"/>
  <c r="AY317" i="5"/>
  <c r="BA317" i="5"/>
  <c r="BC317" i="5"/>
  <c r="BD317" i="5"/>
  <c r="BE317" i="5"/>
  <c r="AX318" i="5"/>
  <c r="AZ318" i="5"/>
  <c r="BB318" i="5"/>
  <c r="BC318" i="5"/>
  <c r="BD318" i="5"/>
  <c r="BF318" i="5"/>
  <c r="H318" i="5" s="1"/>
  <c r="AY319" i="5"/>
  <c r="BA319" i="5"/>
  <c r="BB319" i="5"/>
  <c r="BC319" i="5"/>
  <c r="BD319" i="5"/>
  <c r="BE319" i="5"/>
  <c r="AX320" i="5"/>
  <c r="AY320" i="5"/>
  <c r="AZ320" i="5"/>
  <c r="BB320" i="5"/>
  <c r="BD320" i="5"/>
  <c r="BF320" i="5"/>
  <c r="H320" i="5" s="1"/>
  <c r="AY321" i="5"/>
  <c r="AZ321" i="5"/>
  <c r="BA321" i="5"/>
  <c r="BB321" i="5"/>
  <c r="BC321" i="5"/>
  <c r="BE321" i="5"/>
  <c r="AX322" i="5"/>
  <c r="AZ322" i="5"/>
  <c r="BA322" i="5"/>
  <c r="BB322" i="5"/>
  <c r="BD322" i="5"/>
  <c r="BF322" i="5"/>
  <c r="H322" i="5" s="1"/>
  <c r="AX323" i="5"/>
  <c r="AY323" i="5"/>
  <c r="BA323" i="5"/>
  <c r="BC323" i="5"/>
  <c r="BE323" i="5"/>
  <c r="BF323" i="5"/>
  <c r="H323" i="5" s="1"/>
  <c r="AX324" i="5"/>
  <c r="AY324" i="5"/>
  <c r="AZ324" i="5"/>
  <c r="BB324" i="5"/>
  <c r="BD324" i="5"/>
  <c r="BE324" i="5"/>
  <c r="BF324" i="5"/>
  <c r="H324" i="5" s="1"/>
  <c r="AY325" i="5"/>
  <c r="BA325" i="5"/>
  <c r="BB325" i="5"/>
  <c r="BC325" i="5"/>
  <c r="BD325" i="5"/>
  <c r="BE325" i="5"/>
  <c r="AX326" i="5"/>
  <c r="AY326" i="5"/>
  <c r="AZ326" i="5"/>
  <c r="BB326" i="5"/>
  <c r="BC326" i="5"/>
  <c r="BD326" i="5"/>
  <c r="BE326" i="5"/>
  <c r="BF326" i="5"/>
  <c r="H326" i="5" s="1"/>
  <c r="AX327" i="5"/>
  <c r="AY327" i="5"/>
  <c r="BA327" i="5"/>
  <c r="BC327" i="5"/>
  <c r="BD327" i="5"/>
  <c r="BE327" i="5"/>
  <c r="AX328" i="5"/>
  <c r="AZ328" i="5"/>
  <c r="BB328" i="5"/>
  <c r="BD328" i="5"/>
  <c r="BF328" i="5"/>
  <c r="H328" i="5" s="1"/>
  <c r="AY329" i="5"/>
  <c r="AZ329" i="5"/>
  <c r="BA329" i="5"/>
  <c r="BB329" i="5"/>
  <c r="BC329" i="5"/>
  <c r="BE329" i="5"/>
  <c r="AX330" i="5"/>
  <c r="AZ330" i="5"/>
  <c r="BB330" i="5"/>
  <c r="BD330" i="5"/>
  <c r="BF330" i="5"/>
  <c r="H330" i="5" s="1"/>
  <c r="AY331" i="5"/>
  <c r="AZ331" i="5"/>
  <c r="BC331" i="5"/>
  <c r="BE331" i="5"/>
  <c r="H76" i="5"/>
  <c r="BR361" i="5"/>
  <c r="BP361" i="5"/>
  <c r="BN361" i="5"/>
  <c r="BL361" i="5"/>
  <c r="BJ361" i="5"/>
  <c r="BS359" i="5"/>
  <c r="BQ359" i="5"/>
  <c r="BO359" i="5"/>
  <c r="BM359" i="5"/>
  <c r="BK359" i="5"/>
  <c r="BS358" i="5"/>
  <c r="BQ358" i="5"/>
  <c r="BO358" i="5"/>
  <c r="BM358" i="5"/>
  <c r="BK358" i="5"/>
  <c r="BS357" i="5"/>
  <c r="BQ357" i="5"/>
  <c r="BO357" i="5"/>
  <c r="BM357" i="5"/>
  <c r="BK357" i="5"/>
  <c r="BS356" i="5"/>
  <c r="BQ356" i="5"/>
  <c r="BO356" i="5"/>
  <c r="BM356" i="5"/>
  <c r="BK356" i="5"/>
  <c r="BS355" i="5"/>
  <c r="BQ355" i="5"/>
  <c r="BO355" i="5"/>
  <c r="BM355" i="5"/>
  <c r="BK355" i="5"/>
  <c r="BS354" i="5"/>
  <c r="BQ354" i="5"/>
  <c r="BO354" i="5"/>
  <c r="BM354" i="5"/>
  <c r="BK354" i="5"/>
  <c r="BS353" i="5"/>
  <c r="BQ353" i="5"/>
  <c r="BO353" i="5"/>
  <c r="BM353" i="5"/>
  <c r="BK353" i="5"/>
  <c r="BS352" i="5"/>
  <c r="BQ352" i="5"/>
  <c r="BO352" i="5"/>
  <c r="BM352" i="5"/>
  <c r="BK352" i="5"/>
  <c r="BS351" i="5"/>
  <c r="BQ351" i="5"/>
  <c r="BO351" i="5"/>
  <c r="BM351" i="5"/>
  <c r="BK351" i="5"/>
  <c r="BS350" i="5"/>
  <c r="BQ350" i="5"/>
  <c r="BO350" i="5"/>
  <c r="BM350" i="5"/>
  <c r="BK350" i="5"/>
  <c r="BS349" i="5"/>
  <c r="BQ349" i="5"/>
  <c r="BO349" i="5"/>
  <c r="BM349" i="5"/>
  <c r="BK349" i="5"/>
  <c r="BS348" i="5"/>
  <c r="BQ348" i="5"/>
  <c r="BO348" i="5"/>
  <c r="BM348" i="5"/>
  <c r="BK348" i="5"/>
  <c r="BS347" i="5"/>
  <c r="BQ347" i="5"/>
  <c r="BO347" i="5"/>
  <c r="BM347" i="5"/>
  <c r="BK347" i="5"/>
  <c r="BS346" i="5"/>
  <c r="BQ346" i="5"/>
  <c r="BO346" i="5"/>
  <c r="BM346" i="5"/>
  <c r="BK346" i="5"/>
  <c r="BS345" i="5"/>
  <c r="BQ345" i="5"/>
  <c r="BO345" i="5"/>
  <c r="BM345" i="5"/>
  <c r="BK345" i="5"/>
  <c r="BS344" i="5"/>
  <c r="BQ344" i="5"/>
  <c r="BO344" i="5"/>
  <c r="BM344" i="5"/>
  <c r="BK344" i="5"/>
  <c r="BS343" i="5"/>
  <c r="BQ343" i="5"/>
  <c r="BO343" i="5"/>
  <c r="BM343" i="5"/>
  <c r="BK343" i="5"/>
  <c r="BS342" i="5"/>
  <c r="BQ342" i="5"/>
  <c r="BO342" i="5"/>
  <c r="BM342" i="5"/>
  <c r="BK342" i="5"/>
  <c r="BS341" i="5"/>
  <c r="BQ341" i="5"/>
  <c r="BO341" i="5"/>
  <c r="BM341" i="5"/>
  <c r="BK341" i="5"/>
  <c r="BS340" i="5"/>
  <c r="BQ340" i="5"/>
  <c r="BO340" i="5"/>
  <c r="BM340" i="5"/>
  <c r="BK340" i="5"/>
  <c r="BS339" i="5"/>
  <c r="BQ339" i="5"/>
  <c r="BO339" i="5"/>
  <c r="BM339" i="5"/>
  <c r="BK339" i="5"/>
  <c r="BS338" i="5"/>
  <c r="BQ338" i="5"/>
  <c r="BO338" i="5"/>
  <c r="BM338" i="5"/>
  <c r="BK338" i="5"/>
  <c r="BS337" i="5"/>
  <c r="BQ337" i="5"/>
  <c r="BO337" i="5"/>
  <c r="BM337" i="5"/>
  <c r="BK337" i="5"/>
  <c r="BS336" i="5"/>
  <c r="BQ336" i="5"/>
  <c r="BO336" i="5"/>
  <c r="BM336" i="5"/>
  <c r="BK336" i="5"/>
  <c r="BS335" i="5"/>
  <c r="BQ335" i="5"/>
  <c r="BO335" i="5"/>
  <c r="BM335" i="5"/>
  <c r="BK335" i="5"/>
  <c r="BS334" i="5"/>
  <c r="BQ334" i="5"/>
  <c r="BO334" i="5"/>
  <c r="BM334" i="5"/>
  <c r="BK334" i="5"/>
  <c r="BS333" i="5"/>
  <c r="BQ333" i="5"/>
  <c r="BO333" i="5"/>
  <c r="BM333" i="5"/>
  <c r="BK333" i="5"/>
  <c r="BS331" i="5"/>
  <c r="BQ331" i="5"/>
  <c r="BO331" i="5"/>
  <c r="BM331" i="5"/>
  <c r="BK331" i="5"/>
  <c r="BF331" i="5"/>
  <c r="H331" i="5" s="1"/>
  <c r="BD331" i="5"/>
  <c r="BB331" i="5"/>
  <c r="BA331" i="5"/>
  <c r="AX331" i="5"/>
  <c r="AC331" i="5"/>
  <c r="AB331" i="5"/>
  <c r="AA331" i="5"/>
  <c r="Z331" i="5"/>
  <c r="Y331" i="5"/>
  <c r="X331" i="5"/>
  <c r="W331" i="5"/>
  <c r="V331" i="5"/>
  <c r="F331" i="5"/>
  <c r="BS330" i="5"/>
  <c r="BQ330" i="5"/>
  <c r="BO330" i="5"/>
  <c r="BM330" i="5"/>
  <c r="BK330" i="5"/>
  <c r="BE330" i="5"/>
  <c r="BC330" i="5"/>
  <c r="BA330" i="5"/>
  <c r="AY330" i="5"/>
  <c r="AC330" i="5"/>
  <c r="AB330" i="5"/>
  <c r="AA330" i="5"/>
  <c r="Z330" i="5"/>
  <c r="Y330" i="5"/>
  <c r="X330" i="5"/>
  <c r="W330" i="5"/>
  <c r="V330" i="5"/>
  <c r="F330" i="5"/>
  <c r="BS329" i="5"/>
  <c r="BQ329" i="5"/>
  <c r="BO329" i="5"/>
  <c r="BM329" i="5"/>
  <c r="BK329" i="5"/>
  <c r="BF329" i="5"/>
  <c r="H329" i="5" s="1"/>
  <c r="BD329" i="5"/>
  <c r="AX329" i="5"/>
  <c r="AC329" i="5"/>
  <c r="AB329" i="5"/>
  <c r="AA329" i="5"/>
  <c r="Z329" i="5"/>
  <c r="Y329" i="5"/>
  <c r="X329" i="5"/>
  <c r="W329" i="5"/>
  <c r="V329" i="5"/>
  <c r="F329" i="5"/>
  <c r="BS328" i="5"/>
  <c r="BQ328" i="5"/>
  <c r="BO328" i="5"/>
  <c r="BM328" i="5"/>
  <c r="BK328" i="5"/>
  <c r="BE328" i="5"/>
  <c r="BC328" i="5"/>
  <c r="BA328" i="5"/>
  <c r="AY328" i="5"/>
  <c r="AC328" i="5"/>
  <c r="AB328" i="5"/>
  <c r="AA328" i="5"/>
  <c r="Z328" i="5"/>
  <c r="Y328" i="5"/>
  <c r="X328" i="5"/>
  <c r="W328" i="5"/>
  <c r="V328" i="5"/>
  <c r="F328" i="5"/>
  <c r="BS327" i="5"/>
  <c r="BQ327" i="5"/>
  <c r="BO327" i="5"/>
  <c r="BM327" i="5"/>
  <c r="BK327" i="5"/>
  <c r="BF327" i="5"/>
  <c r="H327" i="5" s="1"/>
  <c r="BB327" i="5"/>
  <c r="AZ327" i="5"/>
  <c r="AC327" i="5"/>
  <c r="AB327" i="5"/>
  <c r="AA327" i="5"/>
  <c r="Z327" i="5"/>
  <c r="Y327" i="5"/>
  <c r="X327" i="5"/>
  <c r="W327" i="5"/>
  <c r="V327" i="5"/>
  <c r="F327" i="5"/>
  <c r="BS326" i="5"/>
  <c r="BQ326" i="5"/>
  <c r="BO326" i="5"/>
  <c r="BM326" i="5"/>
  <c r="BK326" i="5"/>
  <c r="BA326" i="5"/>
  <c r="AC326" i="5"/>
  <c r="AB326" i="5"/>
  <c r="AA326" i="5"/>
  <c r="Z326" i="5"/>
  <c r="Y326" i="5"/>
  <c r="X326" i="5"/>
  <c r="W326" i="5"/>
  <c r="V326" i="5"/>
  <c r="F326" i="5"/>
  <c r="BS325" i="5"/>
  <c r="BQ325" i="5"/>
  <c r="BO325" i="5"/>
  <c r="BM325" i="5"/>
  <c r="BK325" i="5"/>
  <c r="BF325" i="5"/>
  <c r="H325" i="5" s="1"/>
  <c r="AZ325" i="5"/>
  <c r="AX325" i="5"/>
  <c r="AC325" i="5"/>
  <c r="AB325" i="5"/>
  <c r="AA325" i="5"/>
  <c r="Z325" i="5"/>
  <c r="Y325" i="5"/>
  <c r="X325" i="5"/>
  <c r="W325" i="5"/>
  <c r="V325" i="5"/>
  <c r="F325" i="5"/>
  <c r="BS324" i="5"/>
  <c r="BQ324" i="5"/>
  <c r="BO324" i="5"/>
  <c r="BM324" i="5"/>
  <c r="BK324" i="5"/>
  <c r="BC324" i="5"/>
  <c r="BA324" i="5"/>
  <c r="AC324" i="5"/>
  <c r="AB324" i="5"/>
  <c r="AA324" i="5"/>
  <c r="Z324" i="5"/>
  <c r="Y324" i="5"/>
  <c r="X324" i="5"/>
  <c r="W324" i="5"/>
  <c r="V324" i="5"/>
  <c r="F324" i="5"/>
  <c r="BS323" i="5"/>
  <c r="BQ323" i="5"/>
  <c r="BO323" i="5"/>
  <c r="BM323" i="5"/>
  <c r="BK323" i="5"/>
  <c r="BD323" i="5"/>
  <c r="BB323" i="5"/>
  <c r="AZ323" i="5"/>
  <c r="AC323" i="5"/>
  <c r="AB323" i="5"/>
  <c r="AA323" i="5"/>
  <c r="Z323" i="5"/>
  <c r="Y323" i="5"/>
  <c r="X323" i="5"/>
  <c r="W323" i="5"/>
  <c r="V323" i="5"/>
  <c r="F323" i="5"/>
  <c r="BS322" i="5"/>
  <c r="BQ322" i="5"/>
  <c r="BO322" i="5"/>
  <c r="BM322" i="5"/>
  <c r="BK322" i="5"/>
  <c r="BE322" i="5"/>
  <c r="BC322" i="5"/>
  <c r="AY322" i="5"/>
  <c r="AC322" i="5"/>
  <c r="AB322" i="5"/>
  <c r="AA322" i="5"/>
  <c r="Z322" i="5"/>
  <c r="Y322" i="5"/>
  <c r="X322" i="5"/>
  <c r="W322" i="5"/>
  <c r="V322" i="5"/>
  <c r="F322" i="5"/>
  <c r="BS321" i="5"/>
  <c r="BQ321" i="5"/>
  <c r="BO321" i="5"/>
  <c r="BM321" i="5"/>
  <c r="BK321" i="5"/>
  <c r="BF321" i="5"/>
  <c r="H321" i="5" s="1"/>
  <c r="BD321" i="5"/>
  <c r="AX321" i="5"/>
  <c r="AC321" i="5"/>
  <c r="AB321" i="5"/>
  <c r="AA321" i="5"/>
  <c r="Z321" i="5"/>
  <c r="Y321" i="5"/>
  <c r="X321" i="5"/>
  <c r="W321" i="5"/>
  <c r="V321" i="5"/>
  <c r="F321" i="5"/>
  <c r="BS320" i="5"/>
  <c r="BQ320" i="5"/>
  <c r="BO320" i="5"/>
  <c r="BM320" i="5"/>
  <c r="BK320" i="5"/>
  <c r="BE320" i="5"/>
  <c r="BC320" i="5"/>
  <c r="BA320" i="5"/>
  <c r="AC320" i="5"/>
  <c r="AB320" i="5"/>
  <c r="AA320" i="5"/>
  <c r="Z320" i="5"/>
  <c r="Y320" i="5"/>
  <c r="X320" i="5"/>
  <c r="W320" i="5"/>
  <c r="V320" i="5"/>
  <c r="F320" i="5"/>
  <c r="BS319" i="5"/>
  <c r="BQ319" i="5"/>
  <c r="BO319" i="5"/>
  <c r="BM319" i="5"/>
  <c r="BK319" i="5"/>
  <c r="BF319" i="5"/>
  <c r="H319" i="5" s="1"/>
  <c r="AZ319" i="5"/>
  <c r="AX319" i="5"/>
  <c r="AC319" i="5"/>
  <c r="AB319" i="5"/>
  <c r="AA319" i="5"/>
  <c r="Z319" i="5"/>
  <c r="Y319" i="5"/>
  <c r="X319" i="5"/>
  <c r="W319" i="5"/>
  <c r="V319" i="5"/>
  <c r="F319" i="5"/>
  <c r="BS318" i="5"/>
  <c r="BQ318" i="5"/>
  <c r="BO318" i="5"/>
  <c r="BM318" i="5"/>
  <c r="BK318" i="5"/>
  <c r="BE318" i="5"/>
  <c r="BA318" i="5"/>
  <c r="AY318" i="5"/>
  <c r="AC318" i="5"/>
  <c r="AB318" i="5"/>
  <c r="AA318" i="5"/>
  <c r="Z318" i="5"/>
  <c r="Y318" i="5"/>
  <c r="X318" i="5"/>
  <c r="W318" i="5"/>
  <c r="V318" i="5"/>
  <c r="F318" i="5"/>
  <c r="BS317" i="5"/>
  <c r="BQ317" i="5"/>
  <c r="BO317" i="5"/>
  <c r="BM317" i="5"/>
  <c r="BK317" i="5"/>
  <c r="BF317" i="5"/>
  <c r="H317" i="5" s="1"/>
  <c r="BB317" i="5"/>
  <c r="AZ317" i="5"/>
  <c r="AX317" i="5"/>
  <c r="AC317" i="5"/>
  <c r="AB317" i="5"/>
  <c r="AA317" i="5"/>
  <c r="Z317" i="5"/>
  <c r="Y317" i="5"/>
  <c r="X317" i="5"/>
  <c r="W317" i="5"/>
  <c r="V317" i="5"/>
  <c r="F317" i="5"/>
  <c r="BS316" i="5"/>
  <c r="BQ316" i="5"/>
  <c r="BO316" i="5"/>
  <c r="BM316" i="5"/>
  <c r="BK316" i="5"/>
  <c r="BC316" i="5"/>
  <c r="BA316" i="5"/>
  <c r="AC316" i="5"/>
  <c r="AB316" i="5"/>
  <c r="AA316" i="5"/>
  <c r="Z316" i="5"/>
  <c r="Y316" i="5"/>
  <c r="X316" i="5"/>
  <c r="W316" i="5"/>
  <c r="V316" i="5"/>
  <c r="F316" i="5"/>
  <c r="BS315" i="5"/>
  <c r="BQ315" i="5"/>
  <c r="BO315" i="5"/>
  <c r="BM315" i="5"/>
  <c r="BK315" i="5"/>
  <c r="BD315" i="5"/>
  <c r="BB315" i="5"/>
  <c r="AZ315" i="5"/>
  <c r="AC315" i="5"/>
  <c r="AB315" i="5"/>
  <c r="AA315" i="5"/>
  <c r="Z315" i="5"/>
  <c r="Y315" i="5"/>
  <c r="X315" i="5"/>
  <c r="W315" i="5"/>
  <c r="V315" i="5"/>
  <c r="F315" i="5"/>
  <c r="BS314" i="5"/>
  <c r="BQ314" i="5"/>
  <c r="BO314" i="5"/>
  <c r="BM314" i="5"/>
  <c r="BK314" i="5"/>
  <c r="BE314" i="5"/>
  <c r="BC314" i="5"/>
  <c r="BA314" i="5"/>
  <c r="AC314" i="5"/>
  <c r="AB314" i="5"/>
  <c r="AA314" i="5"/>
  <c r="Z314" i="5"/>
  <c r="Y314" i="5"/>
  <c r="X314" i="5"/>
  <c r="W314" i="5"/>
  <c r="V314" i="5"/>
  <c r="F314" i="5"/>
  <c r="BS313" i="5"/>
  <c r="BQ313" i="5"/>
  <c r="BO313" i="5"/>
  <c r="BM313" i="5"/>
  <c r="BK313" i="5"/>
  <c r="BF313" i="5"/>
  <c r="H313" i="5" s="1"/>
  <c r="BD313" i="5"/>
  <c r="BB313" i="5"/>
  <c r="AC313" i="5"/>
  <c r="AB313" i="5"/>
  <c r="AA313" i="5"/>
  <c r="Z313" i="5"/>
  <c r="Y313" i="5"/>
  <c r="X313" i="5"/>
  <c r="W313" i="5"/>
  <c r="V313" i="5"/>
  <c r="F313" i="5"/>
  <c r="BS312" i="5"/>
  <c r="BQ312" i="5"/>
  <c r="BO312" i="5"/>
  <c r="BM312" i="5"/>
  <c r="BK312" i="5"/>
  <c r="BE312" i="5"/>
  <c r="AY312" i="5"/>
  <c r="AC312" i="5"/>
  <c r="AB312" i="5"/>
  <c r="AA312" i="5"/>
  <c r="Z312" i="5"/>
  <c r="Y312" i="5"/>
  <c r="X312" i="5"/>
  <c r="W312" i="5"/>
  <c r="V312" i="5"/>
  <c r="F312" i="5"/>
  <c r="BS311" i="5"/>
  <c r="BQ311" i="5"/>
  <c r="BO311" i="5"/>
  <c r="BM311" i="5"/>
  <c r="BK311" i="5"/>
  <c r="BF311" i="5"/>
  <c r="H311" i="5" s="1"/>
  <c r="BD311" i="5"/>
  <c r="BC311" i="5"/>
  <c r="BB311" i="5"/>
  <c r="AZ311" i="5"/>
  <c r="AX311" i="5"/>
  <c r="AC311" i="5"/>
  <c r="AB311" i="5"/>
  <c r="AA311" i="5"/>
  <c r="Z311" i="5"/>
  <c r="Y311" i="5"/>
  <c r="X311" i="5"/>
  <c r="W311" i="5"/>
  <c r="V311" i="5"/>
  <c r="F311" i="5"/>
  <c r="BS310" i="5"/>
  <c r="BQ310" i="5"/>
  <c r="BO310" i="5"/>
  <c r="BM310" i="5"/>
  <c r="BK310" i="5"/>
  <c r="BC310" i="5"/>
  <c r="BA310" i="5"/>
  <c r="AC310" i="5"/>
  <c r="AB310" i="5"/>
  <c r="AA310" i="5"/>
  <c r="Z310" i="5"/>
  <c r="Y310" i="5"/>
  <c r="X310" i="5"/>
  <c r="W310" i="5"/>
  <c r="V310" i="5"/>
  <c r="F310" i="5"/>
  <c r="BS309" i="5"/>
  <c r="BQ309" i="5"/>
  <c r="BO309" i="5"/>
  <c r="BM309" i="5"/>
  <c r="BK309" i="5"/>
  <c r="BF309" i="5"/>
  <c r="H309" i="5" s="1"/>
  <c r="BD309" i="5"/>
  <c r="BB309" i="5"/>
  <c r="AZ309" i="5"/>
  <c r="AX309" i="5"/>
  <c r="AC309" i="5"/>
  <c r="AB309" i="5"/>
  <c r="AA309" i="5"/>
  <c r="Z309" i="5"/>
  <c r="Y309" i="5"/>
  <c r="X309" i="5"/>
  <c r="W309" i="5"/>
  <c r="V309" i="5"/>
  <c r="F309" i="5"/>
  <c r="BS308" i="5"/>
  <c r="BQ308" i="5"/>
  <c r="BO308" i="5"/>
  <c r="BM308" i="5"/>
  <c r="BK308" i="5"/>
  <c r="BC308" i="5"/>
  <c r="AY308" i="5"/>
  <c r="AC308" i="5"/>
  <c r="AB308" i="5"/>
  <c r="AA308" i="5"/>
  <c r="Z308" i="5"/>
  <c r="Y308" i="5"/>
  <c r="X308" i="5"/>
  <c r="W308" i="5"/>
  <c r="V308" i="5"/>
  <c r="F308" i="5"/>
  <c r="BS307" i="5"/>
  <c r="BQ307" i="5"/>
  <c r="BO307" i="5"/>
  <c r="BM307" i="5"/>
  <c r="BK307" i="5"/>
  <c r="BF307" i="5"/>
  <c r="H307" i="5" s="1"/>
  <c r="BD307" i="5"/>
  <c r="BB307" i="5"/>
  <c r="AX307" i="5"/>
  <c r="AC307" i="5"/>
  <c r="AB307" i="5"/>
  <c r="AA307" i="5"/>
  <c r="Z307" i="5"/>
  <c r="Y307" i="5"/>
  <c r="X307" i="5"/>
  <c r="W307" i="5"/>
  <c r="V307" i="5"/>
  <c r="F307" i="5"/>
  <c r="BS306" i="5"/>
  <c r="BQ306" i="5"/>
  <c r="BO306" i="5"/>
  <c r="BM306" i="5"/>
  <c r="BK306" i="5"/>
  <c r="BE306" i="5"/>
  <c r="BA306" i="5"/>
  <c r="AY306" i="5"/>
  <c r="AC306" i="5"/>
  <c r="AB306" i="5"/>
  <c r="AA306" i="5"/>
  <c r="Z306" i="5"/>
  <c r="Y306" i="5"/>
  <c r="X306" i="5"/>
  <c r="W306" i="5"/>
  <c r="V306" i="5"/>
  <c r="F306" i="5"/>
  <c r="BS305" i="5"/>
  <c r="BQ305" i="5"/>
  <c r="BO305" i="5"/>
  <c r="BM305" i="5"/>
  <c r="BK305" i="5"/>
  <c r="BF305" i="5"/>
  <c r="H305" i="5" s="1"/>
  <c r="BD305" i="5"/>
  <c r="BC305" i="5"/>
  <c r="BB305" i="5"/>
  <c r="AX305" i="5"/>
  <c r="AC305" i="5"/>
  <c r="AB305" i="5"/>
  <c r="AA305" i="5"/>
  <c r="Z305" i="5"/>
  <c r="Y305" i="5"/>
  <c r="X305" i="5"/>
  <c r="W305" i="5"/>
  <c r="V305" i="5"/>
  <c r="F305" i="5"/>
  <c r="BS304" i="5"/>
  <c r="BQ304" i="5"/>
  <c r="BO304" i="5"/>
  <c r="BM304" i="5"/>
  <c r="BK304" i="5"/>
  <c r="BC304" i="5"/>
  <c r="BA304" i="5"/>
  <c r="AC304" i="5"/>
  <c r="AB304" i="5"/>
  <c r="AA304" i="5"/>
  <c r="Z304" i="5"/>
  <c r="Y304" i="5"/>
  <c r="X304" i="5"/>
  <c r="W304" i="5"/>
  <c r="V304" i="5"/>
  <c r="F304" i="5"/>
  <c r="BS303" i="5"/>
  <c r="BQ303" i="5"/>
  <c r="BO303" i="5"/>
  <c r="BM303" i="5"/>
  <c r="BK303" i="5"/>
  <c r="BF303" i="5"/>
  <c r="H303" i="5" s="1"/>
  <c r="BB303" i="5"/>
  <c r="BA303" i="5"/>
  <c r="AZ303" i="5"/>
  <c r="AC303" i="5"/>
  <c r="AB303" i="5"/>
  <c r="AA303" i="5"/>
  <c r="Z303" i="5"/>
  <c r="Y303" i="5"/>
  <c r="X303" i="5"/>
  <c r="W303" i="5"/>
  <c r="V303" i="5"/>
  <c r="F303" i="5"/>
  <c r="BS302" i="5"/>
  <c r="BQ302" i="5"/>
  <c r="BO302" i="5"/>
  <c r="BM302" i="5"/>
  <c r="BK302" i="5"/>
  <c r="BE302" i="5"/>
  <c r="BC302" i="5"/>
  <c r="BA302" i="5"/>
  <c r="AY302" i="5"/>
  <c r="AC302" i="5"/>
  <c r="AB302" i="5"/>
  <c r="AA302" i="5"/>
  <c r="Z302" i="5"/>
  <c r="Y302" i="5"/>
  <c r="X302" i="5"/>
  <c r="W302" i="5"/>
  <c r="V302" i="5"/>
  <c r="F302" i="5"/>
  <c r="BS301" i="5"/>
  <c r="BQ301" i="5"/>
  <c r="BO301" i="5"/>
  <c r="BM301" i="5"/>
  <c r="BK301" i="5"/>
  <c r="BF301" i="5"/>
  <c r="H301" i="5" s="1"/>
  <c r="BC301" i="5"/>
  <c r="BB301" i="5"/>
  <c r="AX301" i="5"/>
  <c r="AC301" i="5"/>
  <c r="AB301" i="5"/>
  <c r="AA301" i="5"/>
  <c r="Z301" i="5"/>
  <c r="Y301" i="5"/>
  <c r="X301" i="5"/>
  <c r="W301" i="5"/>
  <c r="V301" i="5"/>
  <c r="F301" i="5"/>
  <c r="BS300" i="5"/>
  <c r="BQ300" i="5"/>
  <c r="BO300" i="5"/>
  <c r="BM300" i="5"/>
  <c r="BK300" i="5"/>
  <c r="BE300" i="5"/>
  <c r="BA300" i="5"/>
  <c r="AY300" i="5"/>
  <c r="AC300" i="5"/>
  <c r="AB300" i="5"/>
  <c r="AA300" i="5"/>
  <c r="Z300" i="5"/>
  <c r="Y300" i="5"/>
  <c r="X300" i="5"/>
  <c r="W300" i="5"/>
  <c r="V300" i="5"/>
  <c r="F300" i="5"/>
  <c r="BS299" i="5"/>
  <c r="BQ299" i="5"/>
  <c r="BO299" i="5"/>
  <c r="BM299" i="5"/>
  <c r="BK299" i="5"/>
  <c r="BF299" i="5"/>
  <c r="H299" i="5" s="1"/>
  <c r="BD299" i="5"/>
  <c r="AZ299" i="5"/>
  <c r="AX299" i="5"/>
  <c r="AC299" i="5"/>
  <c r="AB299" i="5"/>
  <c r="AA299" i="5"/>
  <c r="Z299" i="5"/>
  <c r="Y299" i="5"/>
  <c r="X299" i="5"/>
  <c r="W299" i="5"/>
  <c r="V299" i="5"/>
  <c r="F299" i="5"/>
  <c r="BS298" i="5"/>
  <c r="BQ298" i="5"/>
  <c r="BO298" i="5"/>
  <c r="BM298" i="5"/>
  <c r="BK298" i="5"/>
  <c r="BE298" i="5"/>
  <c r="BC298" i="5"/>
  <c r="BA298" i="5"/>
  <c r="AY298" i="5"/>
  <c r="AC298" i="5"/>
  <c r="AB298" i="5"/>
  <c r="AA298" i="5"/>
  <c r="Z298" i="5"/>
  <c r="Y298" i="5"/>
  <c r="X298" i="5"/>
  <c r="W298" i="5"/>
  <c r="V298" i="5"/>
  <c r="F298" i="5"/>
  <c r="BS297" i="5"/>
  <c r="BQ297" i="5"/>
  <c r="BO297" i="5"/>
  <c r="BM297" i="5"/>
  <c r="BK297" i="5"/>
  <c r="BF297" i="5"/>
  <c r="H297" i="5" s="1"/>
  <c r="BD297" i="5"/>
  <c r="BB297" i="5"/>
  <c r="AZ297" i="5"/>
  <c r="AX297" i="5"/>
  <c r="AC297" i="5"/>
  <c r="AB297" i="5"/>
  <c r="AA297" i="5"/>
  <c r="Z297" i="5"/>
  <c r="Y297" i="5"/>
  <c r="X297" i="5"/>
  <c r="W297" i="5"/>
  <c r="V297" i="5"/>
  <c r="F297" i="5"/>
  <c r="BS296" i="5"/>
  <c r="BQ296" i="5"/>
  <c r="BO296" i="5"/>
  <c r="BM296" i="5"/>
  <c r="BK296" i="5"/>
  <c r="BE296" i="5"/>
  <c r="BC296" i="5"/>
  <c r="BA296" i="5"/>
  <c r="AY296" i="5"/>
  <c r="AC296" i="5"/>
  <c r="AB296" i="5"/>
  <c r="AA296" i="5"/>
  <c r="Z296" i="5"/>
  <c r="Y296" i="5"/>
  <c r="X296" i="5"/>
  <c r="W296" i="5"/>
  <c r="V296" i="5"/>
  <c r="F296" i="5"/>
  <c r="BS295" i="5"/>
  <c r="BQ295" i="5"/>
  <c r="BO295" i="5"/>
  <c r="BM295" i="5"/>
  <c r="BK295" i="5"/>
  <c r="BD295" i="5"/>
  <c r="BB295" i="5"/>
  <c r="AZ295" i="5"/>
  <c r="AX295" i="5"/>
  <c r="AC295" i="5"/>
  <c r="AB295" i="5"/>
  <c r="AA295" i="5"/>
  <c r="Z295" i="5"/>
  <c r="Y295" i="5"/>
  <c r="X295" i="5"/>
  <c r="W295" i="5"/>
  <c r="V295" i="5"/>
  <c r="F295" i="5"/>
  <c r="BS294" i="5"/>
  <c r="BQ294" i="5"/>
  <c r="BO294" i="5"/>
  <c r="BM294" i="5"/>
  <c r="BK294" i="5"/>
  <c r="BE294" i="5"/>
  <c r="BA294" i="5"/>
  <c r="AY294" i="5"/>
  <c r="AC294" i="5"/>
  <c r="AB294" i="5"/>
  <c r="AA294" i="5"/>
  <c r="Z294" i="5"/>
  <c r="Y294" i="5"/>
  <c r="X294" i="5"/>
  <c r="W294" i="5"/>
  <c r="V294" i="5"/>
  <c r="F294" i="5"/>
  <c r="BS293" i="5"/>
  <c r="BQ293" i="5"/>
  <c r="BO293" i="5"/>
  <c r="BM293" i="5"/>
  <c r="BK293" i="5"/>
  <c r="BF293" i="5"/>
  <c r="H293" i="5" s="1"/>
  <c r="BD293" i="5"/>
  <c r="BB293" i="5"/>
  <c r="AZ293" i="5"/>
  <c r="AC293" i="5"/>
  <c r="AB293" i="5"/>
  <c r="AA293" i="5"/>
  <c r="Z293" i="5"/>
  <c r="Y293" i="5"/>
  <c r="X293" i="5"/>
  <c r="W293" i="5"/>
  <c r="V293" i="5"/>
  <c r="F293" i="5"/>
  <c r="BS292" i="5"/>
  <c r="BQ292" i="5"/>
  <c r="BO292" i="5"/>
  <c r="BM292" i="5"/>
  <c r="BK292" i="5"/>
  <c r="BE292" i="5"/>
  <c r="BC292" i="5"/>
  <c r="BA292" i="5"/>
  <c r="AY292" i="5"/>
  <c r="AC292" i="5"/>
  <c r="AB292" i="5"/>
  <c r="AA292" i="5"/>
  <c r="Z292" i="5"/>
  <c r="Y292" i="5"/>
  <c r="X292" i="5"/>
  <c r="W292" i="5"/>
  <c r="V292" i="5"/>
  <c r="F292" i="5"/>
  <c r="BS291" i="5"/>
  <c r="BQ291" i="5"/>
  <c r="BO291" i="5"/>
  <c r="BM291" i="5"/>
  <c r="BK291" i="5"/>
  <c r="BF291" i="5"/>
  <c r="H291" i="5" s="1"/>
  <c r="BD291" i="5"/>
  <c r="BB291" i="5"/>
  <c r="AZ291" i="5"/>
  <c r="AX291" i="5"/>
  <c r="AC291" i="5"/>
  <c r="AB291" i="5"/>
  <c r="AA291" i="5"/>
  <c r="Z291" i="5"/>
  <c r="Y291" i="5"/>
  <c r="X291" i="5"/>
  <c r="W291" i="5"/>
  <c r="V291" i="5"/>
  <c r="F291" i="5"/>
  <c r="BS290" i="5"/>
  <c r="BQ290" i="5"/>
  <c r="BO290" i="5"/>
  <c r="BM290" i="5"/>
  <c r="BK290" i="5"/>
  <c r="BE290" i="5"/>
  <c r="BA290" i="5"/>
  <c r="AY290" i="5"/>
  <c r="AC290" i="5"/>
  <c r="AB290" i="5"/>
  <c r="AA290" i="5"/>
  <c r="Z290" i="5"/>
  <c r="Y290" i="5"/>
  <c r="X290" i="5"/>
  <c r="W290" i="5"/>
  <c r="V290" i="5"/>
  <c r="F290" i="5"/>
  <c r="BS289" i="5"/>
  <c r="BQ289" i="5"/>
  <c r="BO289" i="5"/>
  <c r="BM289" i="5"/>
  <c r="BK289" i="5"/>
  <c r="BD289" i="5"/>
  <c r="AZ289" i="5"/>
  <c r="AX289" i="5"/>
  <c r="AC289" i="5"/>
  <c r="AB289" i="5"/>
  <c r="AA289" i="5"/>
  <c r="Z289" i="5"/>
  <c r="Y289" i="5"/>
  <c r="X289" i="5"/>
  <c r="W289" i="5"/>
  <c r="V289" i="5"/>
  <c r="F289" i="5"/>
  <c r="BS288" i="5"/>
  <c r="BQ288" i="5"/>
  <c r="BO288" i="5"/>
  <c r="BM288" i="5"/>
  <c r="BK288" i="5"/>
  <c r="BA288" i="5"/>
  <c r="AY288" i="5"/>
  <c r="AC288" i="5"/>
  <c r="AB288" i="5"/>
  <c r="AA288" i="5"/>
  <c r="Z288" i="5"/>
  <c r="Y288" i="5"/>
  <c r="X288" i="5"/>
  <c r="W288" i="5"/>
  <c r="V288" i="5"/>
  <c r="F288" i="5"/>
  <c r="BS287" i="5"/>
  <c r="BQ287" i="5"/>
  <c r="BO287" i="5"/>
  <c r="BM287" i="5"/>
  <c r="BK287" i="5"/>
  <c r="BF287" i="5"/>
  <c r="H287" i="5" s="1"/>
  <c r="BD287" i="5"/>
  <c r="AZ287" i="5"/>
  <c r="AC287" i="5"/>
  <c r="AB287" i="5"/>
  <c r="AA287" i="5"/>
  <c r="Z287" i="5"/>
  <c r="Y287" i="5"/>
  <c r="X287" i="5"/>
  <c r="W287" i="5"/>
  <c r="V287" i="5"/>
  <c r="F287" i="5"/>
  <c r="BS286" i="5"/>
  <c r="BQ286" i="5"/>
  <c r="BO286" i="5"/>
  <c r="BM286" i="5"/>
  <c r="BK286" i="5"/>
  <c r="BE286" i="5"/>
  <c r="BC286" i="5"/>
  <c r="BA286" i="5"/>
  <c r="AY286" i="5"/>
  <c r="AC286" i="5"/>
  <c r="AB286" i="5"/>
  <c r="AA286" i="5"/>
  <c r="Z286" i="5"/>
  <c r="Y286" i="5"/>
  <c r="X286" i="5"/>
  <c r="W286" i="5"/>
  <c r="V286" i="5"/>
  <c r="F286" i="5"/>
  <c r="BS285" i="5"/>
  <c r="BQ285" i="5"/>
  <c r="BO285" i="5"/>
  <c r="BM285" i="5"/>
  <c r="BK285" i="5"/>
  <c r="BF285" i="5"/>
  <c r="H285" i="5" s="1"/>
  <c r="BD285" i="5"/>
  <c r="BB285" i="5"/>
  <c r="AX285" i="5"/>
  <c r="AC285" i="5"/>
  <c r="AB285" i="5"/>
  <c r="AA285" i="5"/>
  <c r="Z285" i="5"/>
  <c r="Y285" i="5"/>
  <c r="X285" i="5"/>
  <c r="W285" i="5"/>
  <c r="V285" i="5"/>
  <c r="F285" i="5"/>
  <c r="BS284" i="5"/>
  <c r="BQ284" i="5"/>
  <c r="BO284" i="5"/>
  <c r="BM284" i="5"/>
  <c r="BK284" i="5"/>
  <c r="BC284" i="5"/>
  <c r="AY284" i="5"/>
  <c r="AC284" i="5"/>
  <c r="AB284" i="5"/>
  <c r="AA284" i="5"/>
  <c r="Z284" i="5"/>
  <c r="Y284" i="5"/>
  <c r="X284" i="5"/>
  <c r="W284" i="5"/>
  <c r="V284" i="5"/>
  <c r="F284" i="5"/>
  <c r="BS283" i="5"/>
  <c r="BQ283" i="5"/>
  <c r="BO283" i="5"/>
  <c r="BM283" i="5"/>
  <c r="BK283" i="5"/>
  <c r="BD283" i="5"/>
  <c r="AZ283" i="5"/>
  <c r="AC283" i="5"/>
  <c r="AB283" i="5"/>
  <c r="AA283" i="5"/>
  <c r="Z283" i="5"/>
  <c r="Y283" i="5"/>
  <c r="X283" i="5"/>
  <c r="W283" i="5"/>
  <c r="V283" i="5"/>
  <c r="F283" i="5"/>
  <c r="BS282" i="5"/>
  <c r="BQ282" i="5"/>
  <c r="BO282" i="5"/>
  <c r="BM282" i="5"/>
  <c r="BK282" i="5"/>
  <c r="BE282" i="5"/>
  <c r="AC282" i="5"/>
  <c r="AB282" i="5"/>
  <c r="AA282" i="5"/>
  <c r="Z282" i="5"/>
  <c r="Y282" i="5"/>
  <c r="X282" i="5"/>
  <c r="W282" i="5"/>
  <c r="V282" i="5"/>
  <c r="F282" i="5"/>
  <c r="BS281" i="5"/>
  <c r="BQ281" i="5"/>
  <c r="BO281" i="5"/>
  <c r="BM281" i="5"/>
  <c r="BK281" i="5"/>
  <c r="BF281" i="5"/>
  <c r="H281" i="5" s="1"/>
  <c r="BB281" i="5"/>
  <c r="AX281" i="5"/>
  <c r="AC281" i="5"/>
  <c r="AB281" i="5"/>
  <c r="AA281" i="5"/>
  <c r="Z281" i="5"/>
  <c r="Y281" i="5"/>
  <c r="X281" i="5"/>
  <c r="W281" i="5"/>
  <c r="V281" i="5"/>
  <c r="F281" i="5"/>
  <c r="BS280" i="5"/>
  <c r="BQ280" i="5"/>
  <c r="BO280" i="5"/>
  <c r="BM280" i="5"/>
  <c r="BK280" i="5"/>
  <c r="BC280" i="5"/>
  <c r="AY280" i="5"/>
  <c r="AC280" i="5"/>
  <c r="AB280" i="5"/>
  <c r="AA280" i="5"/>
  <c r="Z280" i="5"/>
  <c r="Y280" i="5"/>
  <c r="X280" i="5"/>
  <c r="W280" i="5"/>
  <c r="V280" i="5"/>
  <c r="F280" i="5"/>
  <c r="BS279" i="5"/>
  <c r="BQ279" i="5"/>
  <c r="BO279" i="5"/>
  <c r="BM279" i="5"/>
  <c r="BK279" i="5"/>
  <c r="BD279" i="5"/>
  <c r="AZ279" i="5"/>
  <c r="AC279" i="5"/>
  <c r="AB279" i="5"/>
  <c r="AA279" i="5"/>
  <c r="Z279" i="5"/>
  <c r="Y279" i="5"/>
  <c r="X279" i="5"/>
  <c r="W279" i="5"/>
  <c r="V279" i="5"/>
  <c r="F279" i="5"/>
  <c r="BS278" i="5"/>
  <c r="BQ278" i="5"/>
  <c r="BO278" i="5"/>
  <c r="BM278" i="5"/>
  <c r="BK278" i="5"/>
  <c r="BE278" i="5"/>
  <c r="BA278" i="5"/>
  <c r="AC278" i="5"/>
  <c r="AB278" i="5"/>
  <c r="AA278" i="5"/>
  <c r="Z278" i="5"/>
  <c r="Y278" i="5"/>
  <c r="X278" i="5"/>
  <c r="W278" i="5"/>
  <c r="V278" i="5"/>
  <c r="F278" i="5"/>
  <c r="BS277" i="5"/>
  <c r="BQ277" i="5"/>
  <c r="BO277" i="5"/>
  <c r="BM277" i="5"/>
  <c r="BK277" i="5"/>
  <c r="BF277" i="5"/>
  <c r="H277" i="5" s="1"/>
  <c r="BB277" i="5"/>
  <c r="AX277" i="5"/>
  <c r="AC277" i="5"/>
  <c r="AB277" i="5"/>
  <c r="AA277" i="5"/>
  <c r="Z277" i="5"/>
  <c r="Y277" i="5"/>
  <c r="X277" i="5"/>
  <c r="W277" i="5"/>
  <c r="V277" i="5"/>
  <c r="F277" i="5"/>
  <c r="BS276" i="5"/>
  <c r="BQ276" i="5"/>
  <c r="BO276" i="5"/>
  <c r="BM276" i="5"/>
  <c r="BK276" i="5"/>
  <c r="BC276" i="5"/>
  <c r="AY276" i="5"/>
  <c r="AC276" i="5"/>
  <c r="AB276" i="5"/>
  <c r="AA276" i="5"/>
  <c r="Z276" i="5"/>
  <c r="Y276" i="5"/>
  <c r="X276" i="5"/>
  <c r="W276" i="5"/>
  <c r="V276" i="5"/>
  <c r="F276" i="5"/>
  <c r="BS275" i="5"/>
  <c r="BQ275" i="5"/>
  <c r="BO275" i="5"/>
  <c r="BM275" i="5"/>
  <c r="BK275" i="5"/>
  <c r="BD275" i="5"/>
  <c r="AC275" i="5"/>
  <c r="AB275" i="5"/>
  <c r="AA275" i="5"/>
  <c r="Z275" i="5"/>
  <c r="Y275" i="5"/>
  <c r="X275" i="5"/>
  <c r="W275" i="5"/>
  <c r="V275" i="5"/>
  <c r="F275" i="5"/>
  <c r="BS274" i="5"/>
  <c r="BQ274" i="5"/>
  <c r="BO274" i="5"/>
  <c r="BM274" i="5"/>
  <c r="BK274" i="5"/>
  <c r="BE274" i="5"/>
  <c r="BD274" i="5"/>
  <c r="BA274" i="5"/>
  <c r="AY274" i="5"/>
  <c r="AC274" i="5"/>
  <c r="AB274" i="5"/>
  <c r="AA274" i="5"/>
  <c r="Z274" i="5"/>
  <c r="Y274" i="5"/>
  <c r="X274" i="5"/>
  <c r="W274" i="5"/>
  <c r="V274" i="5"/>
  <c r="F274" i="5"/>
  <c r="BS273" i="5"/>
  <c r="BQ273" i="5"/>
  <c r="BO273" i="5"/>
  <c r="BM273" i="5"/>
  <c r="BK273" i="5"/>
  <c r="BF273" i="5"/>
  <c r="H273" i="5" s="1"/>
  <c r="BD273" i="5"/>
  <c r="BC273" i="5"/>
  <c r="BB273" i="5"/>
  <c r="AC273" i="5"/>
  <c r="AB273" i="5"/>
  <c r="AA273" i="5"/>
  <c r="Z273" i="5"/>
  <c r="Y273" i="5"/>
  <c r="X273" i="5"/>
  <c r="W273" i="5"/>
  <c r="V273" i="5"/>
  <c r="F273" i="5"/>
  <c r="BS272" i="5"/>
  <c r="BQ272" i="5"/>
  <c r="BO272" i="5"/>
  <c r="BM272" i="5"/>
  <c r="BK272" i="5"/>
  <c r="BA272" i="5"/>
  <c r="AC272" i="5"/>
  <c r="AB272" i="5"/>
  <c r="AA272" i="5"/>
  <c r="Z272" i="5"/>
  <c r="Y272" i="5"/>
  <c r="X272" i="5"/>
  <c r="W272" i="5"/>
  <c r="V272" i="5"/>
  <c r="F272" i="5"/>
  <c r="BS271" i="5"/>
  <c r="BQ271" i="5"/>
  <c r="BO271" i="5"/>
  <c r="BM271" i="5"/>
  <c r="BK271" i="5"/>
  <c r="BF271" i="5"/>
  <c r="H271" i="5" s="1"/>
  <c r="BE271" i="5"/>
  <c r="BD271" i="5"/>
  <c r="BB271" i="5"/>
  <c r="BA271" i="5"/>
  <c r="AZ271" i="5"/>
  <c r="AC271" i="5"/>
  <c r="AB271" i="5"/>
  <c r="AA271" i="5"/>
  <c r="Z271" i="5"/>
  <c r="Y271" i="5"/>
  <c r="X271" i="5"/>
  <c r="W271" i="5"/>
  <c r="V271" i="5"/>
  <c r="F271" i="5"/>
  <c r="BS270" i="5"/>
  <c r="BQ270" i="5"/>
  <c r="BO270" i="5"/>
  <c r="BM270" i="5"/>
  <c r="BK270" i="5"/>
  <c r="BE270" i="5"/>
  <c r="BC270" i="5"/>
  <c r="BA270" i="5"/>
  <c r="AC270" i="5"/>
  <c r="AB270" i="5"/>
  <c r="AA270" i="5"/>
  <c r="Z270" i="5"/>
  <c r="Y270" i="5"/>
  <c r="X270" i="5"/>
  <c r="W270" i="5"/>
  <c r="V270" i="5"/>
  <c r="F270" i="5"/>
  <c r="BS269" i="5"/>
  <c r="BQ269" i="5"/>
  <c r="BO269" i="5"/>
  <c r="BM269" i="5"/>
  <c r="BK269" i="5"/>
  <c r="BF269" i="5"/>
  <c r="H269" i="5" s="1"/>
  <c r="BC269" i="5"/>
  <c r="BB269" i="5"/>
  <c r="AZ269" i="5"/>
  <c r="AY269" i="5"/>
  <c r="AC269" i="5"/>
  <c r="AB269" i="5"/>
  <c r="AA269" i="5"/>
  <c r="Z269" i="5"/>
  <c r="Y269" i="5"/>
  <c r="X269" i="5"/>
  <c r="W269" i="5"/>
  <c r="V269" i="5"/>
  <c r="F269" i="5"/>
  <c r="BS268" i="5"/>
  <c r="BQ268" i="5"/>
  <c r="BO268" i="5"/>
  <c r="BM268" i="5"/>
  <c r="BK268" i="5"/>
  <c r="BE268" i="5"/>
  <c r="BC268" i="5"/>
  <c r="BA268" i="5"/>
  <c r="AY268" i="5"/>
  <c r="AC268" i="5"/>
  <c r="AB268" i="5"/>
  <c r="AA268" i="5"/>
  <c r="Z268" i="5"/>
  <c r="Y268" i="5"/>
  <c r="X268" i="5"/>
  <c r="W268" i="5"/>
  <c r="V268" i="5"/>
  <c r="F268" i="5"/>
  <c r="BS267" i="5"/>
  <c r="BQ267" i="5"/>
  <c r="BO267" i="5"/>
  <c r="BM267" i="5"/>
  <c r="BK267" i="5"/>
  <c r="BB267" i="5"/>
  <c r="AZ267" i="5"/>
  <c r="AC267" i="5"/>
  <c r="AB267" i="5"/>
  <c r="AA267" i="5"/>
  <c r="Z267" i="5"/>
  <c r="Y267" i="5"/>
  <c r="X267" i="5"/>
  <c r="W267" i="5"/>
  <c r="V267" i="5"/>
  <c r="F267" i="5"/>
  <c r="BS266" i="5"/>
  <c r="BQ266" i="5"/>
  <c r="BO266" i="5"/>
  <c r="BM266" i="5"/>
  <c r="BK266" i="5"/>
  <c r="BE266" i="5"/>
  <c r="BC266" i="5"/>
  <c r="BA266" i="5"/>
  <c r="AY266" i="5"/>
  <c r="AC266" i="5"/>
  <c r="AB266" i="5"/>
  <c r="AA266" i="5"/>
  <c r="Z266" i="5"/>
  <c r="Y266" i="5"/>
  <c r="X266" i="5"/>
  <c r="W266" i="5"/>
  <c r="V266" i="5"/>
  <c r="F266" i="5"/>
  <c r="BS265" i="5"/>
  <c r="BQ265" i="5"/>
  <c r="BO265" i="5"/>
  <c r="BM265" i="5"/>
  <c r="BK265" i="5"/>
  <c r="BF265" i="5"/>
  <c r="H265" i="5" s="1"/>
  <c r="BB265" i="5"/>
  <c r="AZ265" i="5"/>
  <c r="AX265" i="5"/>
  <c r="AC265" i="5"/>
  <c r="AB265" i="5"/>
  <c r="AA265" i="5"/>
  <c r="Z265" i="5"/>
  <c r="Y265" i="5"/>
  <c r="X265" i="5"/>
  <c r="W265" i="5"/>
  <c r="V265" i="5"/>
  <c r="F265" i="5"/>
  <c r="BS264" i="5"/>
  <c r="BQ264" i="5"/>
  <c r="BO264" i="5"/>
  <c r="BM264" i="5"/>
  <c r="BK264" i="5"/>
  <c r="BE264" i="5"/>
  <c r="BA264" i="5"/>
  <c r="AY264" i="5"/>
  <c r="AC264" i="5"/>
  <c r="AB264" i="5"/>
  <c r="AA264" i="5"/>
  <c r="Z264" i="5"/>
  <c r="Y264" i="5"/>
  <c r="X264" i="5"/>
  <c r="W264" i="5"/>
  <c r="V264" i="5"/>
  <c r="F264" i="5"/>
  <c r="BS263" i="5"/>
  <c r="BQ263" i="5"/>
  <c r="BO263" i="5"/>
  <c r="BM263" i="5"/>
  <c r="BK263" i="5"/>
  <c r="BF263" i="5"/>
  <c r="H263" i="5" s="1"/>
  <c r="BB263" i="5"/>
  <c r="AZ263" i="5"/>
  <c r="AX263" i="5"/>
  <c r="AC263" i="5"/>
  <c r="AB263" i="5"/>
  <c r="AA263" i="5"/>
  <c r="Z263" i="5"/>
  <c r="Y263" i="5"/>
  <c r="X263" i="5"/>
  <c r="W263" i="5"/>
  <c r="V263" i="5"/>
  <c r="F263" i="5"/>
  <c r="BS262" i="5"/>
  <c r="BQ262" i="5"/>
  <c r="BO262" i="5"/>
  <c r="BM262" i="5"/>
  <c r="BK262" i="5"/>
  <c r="BE262" i="5"/>
  <c r="BC262" i="5"/>
  <c r="BA262" i="5"/>
  <c r="AY262" i="5"/>
  <c r="AC262" i="5"/>
  <c r="AB262" i="5"/>
  <c r="AA262" i="5"/>
  <c r="Z262" i="5"/>
  <c r="Y262" i="5"/>
  <c r="X262" i="5"/>
  <c r="W262" i="5"/>
  <c r="V262" i="5"/>
  <c r="F262" i="5"/>
  <c r="BS261" i="5"/>
  <c r="BQ261" i="5"/>
  <c r="BO261" i="5"/>
  <c r="BM261" i="5"/>
  <c r="BK261" i="5"/>
  <c r="BF261" i="5"/>
  <c r="H261" i="5" s="1"/>
  <c r="BD261" i="5"/>
  <c r="BB261" i="5"/>
  <c r="AZ261" i="5"/>
  <c r="AX261" i="5"/>
  <c r="AC261" i="5"/>
  <c r="AB261" i="5"/>
  <c r="AA261" i="5"/>
  <c r="Z261" i="5"/>
  <c r="Y261" i="5"/>
  <c r="X261" i="5"/>
  <c r="W261" i="5"/>
  <c r="V261" i="5"/>
  <c r="F261" i="5"/>
  <c r="BS260" i="5"/>
  <c r="BQ260" i="5"/>
  <c r="BO260" i="5"/>
  <c r="BM260" i="5"/>
  <c r="BK260" i="5"/>
  <c r="BC260" i="5"/>
  <c r="BA260" i="5"/>
  <c r="AY260" i="5"/>
  <c r="AC260" i="5"/>
  <c r="AB260" i="5"/>
  <c r="AA260" i="5"/>
  <c r="Z260" i="5"/>
  <c r="Y260" i="5"/>
  <c r="X260" i="5"/>
  <c r="W260" i="5"/>
  <c r="V260" i="5"/>
  <c r="F260" i="5"/>
  <c r="BS259" i="5"/>
  <c r="BQ259" i="5"/>
  <c r="BO259" i="5"/>
  <c r="BM259" i="5"/>
  <c r="BK259" i="5"/>
  <c r="BD259" i="5"/>
  <c r="AZ259" i="5"/>
  <c r="AX259" i="5"/>
  <c r="AC259" i="5"/>
  <c r="AB259" i="5"/>
  <c r="AA259" i="5"/>
  <c r="Z259" i="5"/>
  <c r="Y259" i="5"/>
  <c r="X259" i="5"/>
  <c r="W259" i="5"/>
  <c r="V259" i="5"/>
  <c r="F259" i="5"/>
  <c r="BS258" i="5"/>
  <c r="BQ258" i="5"/>
  <c r="BO258" i="5"/>
  <c r="BM258" i="5"/>
  <c r="BK258" i="5"/>
  <c r="BE258" i="5"/>
  <c r="BC258" i="5"/>
  <c r="BA258" i="5"/>
  <c r="AC258" i="5"/>
  <c r="AB258" i="5"/>
  <c r="AA258" i="5"/>
  <c r="Z258" i="5"/>
  <c r="Y258" i="5"/>
  <c r="X258" i="5"/>
  <c r="W258" i="5"/>
  <c r="V258" i="5"/>
  <c r="F258" i="5"/>
  <c r="BS257" i="5"/>
  <c r="BQ257" i="5"/>
  <c r="BO257" i="5"/>
  <c r="BM257" i="5"/>
  <c r="BK257" i="5"/>
  <c r="BF257" i="5"/>
  <c r="H257" i="5" s="1"/>
  <c r="BD257" i="5"/>
  <c r="BA257" i="5"/>
  <c r="AZ257" i="5"/>
  <c r="AC257" i="5"/>
  <c r="AB257" i="5"/>
  <c r="AA257" i="5"/>
  <c r="Z257" i="5"/>
  <c r="Y257" i="5"/>
  <c r="X257" i="5"/>
  <c r="W257" i="5"/>
  <c r="V257" i="5"/>
  <c r="F257" i="5"/>
  <c r="BS256" i="5"/>
  <c r="BQ256" i="5"/>
  <c r="BO256" i="5"/>
  <c r="BM256" i="5"/>
  <c r="BK256" i="5"/>
  <c r="BE256" i="5"/>
  <c r="BD256" i="5"/>
  <c r="BA256" i="5"/>
  <c r="AZ256" i="5"/>
  <c r="AC256" i="5"/>
  <c r="AB256" i="5"/>
  <c r="AA256" i="5"/>
  <c r="Z256" i="5"/>
  <c r="Y256" i="5"/>
  <c r="X256" i="5"/>
  <c r="W256" i="5"/>
  <c r="V256" i="5"/>
  <c r="F256" i="5"/>
  <c r="BS255" i="5"/>
  <c r="BQ255" i="5"/>
  <c r="BO255" i="5"/>
  <c r="BM255" i="5"/>
  <c r="BK255" i="5"/>
  <c r="BF255" i="5"/>
  <c r="H255" i="5" s="1"/>
  <c r="BB255" i="5"/>
  <c r="AX255" i="5"/>
  <c r="AC255" i="5"/>
  <c r="AB255" i="5"/>
  <c r="AA255" i="5"/>
  <c r="Z255" i="5"/>
  <c r="Y255" i="5"/>
  <c r="X255" i="5"/>
  <c r="W255" i="5"/>
  <c r="V255" i="5"/>
  <c r="F255" i="5"/>
  <c r="BS254" i="5"/>
  <c r="BQ254" i="5"/>
  <c r="BO254" i="5"/>
  <c r="BM254" i="5"/>
  <c r="BK254" i="5"/>
  <c r="BF254" i="5"/>
  <c r="H254" i="5" s="1"/>
  <c r="BD254" i="5"/>
  <c r="BC254" i="5"/>
  <c r="BB254" i="5"/>
  <c r="AZ254" i="5"/>
  <c r="AY254" i="5"/>
  <c r="AC254" i="5"/>
  <c r="AB254" i="5"/>
  <c r="AA254" i="5"/>
  <c r="Z254" i="5"/>
  <c r="Y254" i="5"/>
  <c r="X254" i="5"/>
  <c r="W254" i="5"/>
  <c r="V254" i="5"/>
  <c r="F254" i="5"/>
  <c r="BS253" i="5"/>
  <c r="BQ253" i="5"/>
  <c r="BO253" i="5"/>
  <c r="BM253" i="5"/>
  <c r="BK253" i="5"/>
  <c r="BF253" i="5"/>
  <c r="H253" i="5" s="1"/>
  <c r="BE253" i="5"/>
  <c r="BD253" i="5"/>
  <c r="BB253" i="5"/>
  <c r="BA253" i="5"/>
  <c r="AZ253" i="5"/>
  <c r="AX253" i="5"/>
  <c r="AC253" i="5"/>
  <c r="AB253" i="5"/>
  <c r="AA253" i="5"/>
  <c r="Z253" i="5"/>
  <c r="Y253" i="5"/>
  <c r="X253" i="5"/>
  <c r="W253" i="5"/>
  <c r="V253" i="5"/>
  <c r="F253" i="5"/>
  <c r="BS252" i="5"/>
  <c r="BQ252" i="5"/>
  <c r="BO252" i="5"/>
  <c r="BM252" i="5"/>
  <c r="BK252" i="5"/>
  <c r="BF252" i="5"/>
  <c r="H252" i="5" s="1"/>
  <c r="BE252" i="5"/>
  <c r="BC252" i="5"/>
  <c r="BB252" i="5"/>
  <c r="BA252" i="5"/>
  <c r="AY252" i="5"/>
  <c r="AX252" i="5"/>
  <c r="AC252" i="5"/>
  <c r="AB252" i="5"/>
  <c r="AA252" i="5"/>
  <c r="Z252" i="5"/>
  <c r="Y252" i="5"/>
  <c r="X252" i="5"/>
  <c r="W252" i="5"/>
  <c r="V252" i="5"/>
  <c r="F252" i="5"/>
  <c r="BS251" i="5"/>
  <c r="BQ251" i="5"/>
  <c r="BO251" i="5"/>
  <c r="BM251" i="5"/>
  <c r="BK251" i="5"/>
  <c r="BD251" i="5"/>
  <c r="BC251" i="5"/>
  <c r="BB251" i="5"/>
  <c r="AY251" i="5"/>
  <c r="AX251" i="5"/>
  <c r="AC251" i="5"/>
  <c r="AB251" i="5"/>
  <c r="AA251" i="5"/>
  <c r="Z251" i="5"/>
  <c r="Y251" i="5"/>
  <c r="X251" i="5"/>
  <c r="W251" i="5"/>
  <c r="V251" i="5"/>
  <c r="F251" i="5"/>
  <c r="BS250" i="5"/>
  <c r="BQ250" i="5"/>
  <c r="BO250" i="5"/>
  <c r="BM250" i="5"/>
  <c r="BK250" i="5"/>
  <c r="BE250" i="5"/>
  <c r="BD250" i="5"/>
  <c r="BA250" i="5"/>
  <c r="AZ250" i="5"/>
  <c r="AY250" i="5"/>
  <c r="AC250" i="5"/>
  <c r="AB250" i="5"/>
  <c r="AA250" i="5"/>
  <c r="Z250" i="5"/>
  <c r="Y250" i="5"/>
  <c r="X250" i="5"/>
  <c r="W250" i="5"/>
  <c r="V250" i="5"/>
  <c r="F250" i="5"/>
  <c r="BS249" i="5"/>
  <c r="BQ249" i="5"/>
  <c r="BO249" i="5"/>
  <c r="BM249" i="5"/>
  <c r="BK249" i="5"/>
  <c r="BE249" i="5"/>
  <c r="BD249" i="5"/>
  <c r="BB249" i="5"/>
  <c r="BA249" i="5"/>
  <c r="AZ249" i="5"/>
  <c r="AX249" i="5"/>
  <c r="AC249" i="5"/>
  <c r="AB249" i="5"/>
  <c r="AA249" i="5"/>
  <c r="Z249" i="5"/>
  <c r="Y249" i="5"/>
  <c r="X249" i="5"/>
  <c r="W249" i="5"/>
  <c r="V249" i="5"/>
  <c r="F249" i="5"/>
  <c r="BS248" i="5"/>
  <c r="BQ248" i="5"/>
  <c r="BO248" i="5"/>
  <c r="BM248" i="5"/>
  <c r="BK248" i="5"/>
  <c r="BF248" i="5"/>
  <c r="H248" i="5" s="1"/>
  <c r="BE248" i="5"/>
  <c r="BC248" i="5"/>
  <c r="BB248" i="5"/>
  <c r="BA248" i="5"/>
  <c r="AY248" i="5"/>
  <c r="AC248" i="5"/>
  <c r="AB248" i="5"/>
  <c r="AA248" i="5"/>
  <c r="Z248" i="5"/>
  <c r="Y248" i="5"/>
  <c r="X248" i="5"/>
  <c r="W248" i="5"/>
  <c r="V248" i="5"/>
  <c r="F248" i="5"/>
  <c r="BS247" i="5"/>
  <c r="BQ247" i="5"/>
  <c r="BO247" i="5"/>
  <c r="BM247" i="5"/>
  <c r="BK247" i="5"/>
  <c r="BF247" i="5"/>
  <c r="H247" i="5" s="1"/>
  <c r="BD247" i="5"/>
  <c r="BC247" i="5"/>
  <c r="BB247" i="5"/>
  <c r="AZ247" i="5"/>
  <c r="AY247" i="5"/>
  <c r="AX247" i="5"/>
  <c r="AC247" i="5"/>
  <c r="AB247" i="5"/>
  <c r="AA247" i="5"/>
  <c r="Z247" i="5"/>
  <c r="Y247" i="5"/>
  <c r="X247" i="5"/>
  <c r="W247" i="5"/>
  <c r="V247" i="5"/>
  <c r="F247" i="5"/>
  <c r="BS246" i="5"/>
  <c r="BQ246" i="5"/>
  <c r="BO246" i="5"/>
  <c r="BM246" i="5"/>
  <c r="BK246" i="5"/>
  <c r="BE246" i="5"/>
  <c r="BD246" i="5"/>
  <c r="BC246" i="5"/>
  <c r="BA246" i="5"/>
  <c r="AC246" i="5"/>
  <c r="AB246" i="5"/>
  <c r="AA246" i="5"/>
  <c r="Z246" i="5"/>
  <c r="Y246" i="5"/>
  <c r="X246" i="5"/>
  <c r="W246" i="5"/>
  <c r="V246" i="5"/>
  <c r="F246" i="5"/>
  <c r="BS245" i="5"/>
  <c r="BQ245" i="5"/>
  <c r="BO245" i="5"/>
  <c r="BM245" i="5"/>
  <c r="BK245" i="5"/>
  <c r="BF245" i="5"/>
  <c r="H245" i="5" s="1"/>
  <c r="BE245" i="5"/>
  <c r="BD245" i="5"/>
  <c r="BB245" i="5"/>
  <c r="AZ245" i="5"/>
  <c r="AC245" i="5"/>
  <c r="AB245" i="5"/>
  <c r="AA245" i="5"/>
  <c r="Z245" i="5"/>
  <c r="Y245" i="5"/>
  <c r="X245" i="5"/>
  <c r="W245" i="5"/>
  <c r="V245" i="5"/>
  <c r="F245" i="5"/>
  <c r="BS244" i="5"/>
  <c r="BQ244" i="5"/>
  <c r="BO244" i="5"/>
  <c r="BM244" i="5"/>
  <c r="BK244" i="5"/>
  <c r="BF244" i="5"/>
  <c r="H244" i="5" s="1"/>
  <c r="BD244" i="5"/>
  <c r="BC244" i="5"/>
  <c r="AZ244" i="5"/>
  <c r="AX244" i="5"/>
  <c r="AC244" i="5"/>
  <c r="AB244" i="5"/>
  <c r="AA244" i="5"/>
  <c r="Z244" i="5"/>
  <c r="Y244" i="5"/>
  <c r="X244" i="5"/>
  <c r="W244" i="5"/>
  <c r="V244" i="5"/>
  <c r="F244" i="5"/>
  <c r="BS243" i="5"/>
  <c r="BQ243" i="5"/>
  <c r="BO243" i="5"/>
  <c r="BM243" i="5"/>
  <c r="BK243" i="5"/>
  <c r="BD243" i="5"/>
  <c r="BC243" i="5"/>
  <c r="AZ243" i="5"/>
  <c r="AY243" i="5"/>
  <c r="AC243" i="5"/>
  <c r="AB243" i="5"/>
  <c r="AA243" i="5"/>
  <c r="Z243" i="5"/>
  <c r="Y243" i="5"/>
  <c r="X243" i="5"/>
  <c r="W243" i="5"/>
  <c r="V243" i="5"/>
  <c r="F243" i="5"/>
  <c r="BS242" i="5"/>
  <c r="BQ242" i="5"/>
  <c r="BO242" i="5"/>
  <c r="BM242" i="5"/>
  <c r="BK242" i="5"/>
  <c r="BF242" i="5"/>
  <c r="BB242" i="5"/>
  <c r="AX242" i="5"/>
  <c r="AC242" i="5"/>
  <c r="AB242" i="5"/>
  <c r="AA242" i="5"/>
  <c r="Z242" i="5"/>
  <c r="Y242" i="5"/>
  <c r="X242" i="5"/>
  <c r="W242" i="5"/>
  <c r="V242" i="5"/>
  <c r="F242" i="5"/>
  <c r="BS241" i="5"/>
  <c r="BQ241" i="5"/>
  <c r="BO241" i="5"/>
  <c r="BM241" i="5"/>
  <c r="BK241" i="5"/>
  <c r="BF241" i="5"/>
  <c r="H241" i="5" s="1"/>
  <c r="BE241" i="5"/>
  <c r="AY241" i="5"/>
  <c r="AC241" i="5"/>
  <c r="AB241" i="5"/>
  <c r="AA241" i="5"/>
  <c r="Z241" i="5"/>
  <c r="Y241" i="5"/>
  <c r="X241" i="5"/>
  <c r="W241" i="5"/>
  <c r="V241" i="5"/>
  <c r="F241" i="5"/>
  <c r="BS240" i="5"/>
  <c r="BQ240" i="5"/>
  <c r="BO240" i="5"/>
  <c r="BM240" i="5"/>
  <c r="BK240" i="5"/>
  <c r="BD240" i="5"/>
  <c r="BB240" i="5"/>
  <c r="AZ240" i="5"/>
  <c r="AX240" i="5"/>
  <c r="AC240" i="5"/>
  <c r="AB240" i="5"/>
  <c r="AA240" i="5"/>
  <c r="Z240" i="5"/>
  <c r="Y240" i="5"/>
  <c r="X240" i="5"/>
  <c r="W240" i="5"/>
  <c r="V240" i="5"/>
  <c r="F240" i="5"/>
  <c r="BS239" i="5"/>
  <c r="BQ239" i="5"/>
  <c r="BO239" i="5"/>
  <c r="BM239" i="5"/>
  <c r="BK239" i="5"/>
  <c r="BE239" i="5"/>
  <c r="BC239" i="5"/>
  <c r="BA239" i="5"/>
  <c r="AC239" i="5"/>
  <c r="AB239" i="5"/>
  <c r="AA239" i="5"/>
  <c r="Z239" i="5"/>
  <c r="Y239" i="5"/>
  <c r="X239" i="5"/>
  <c r="W239" i="5"/>
  <c r="V239" i="5"/>
  <c r="F239" i="5"/>
  <c r="BS238" i="5"/>
  <c r="BQ238" i="5"/>
  <c r="BO238" i="5"/>
  <c r="BM238" i="5"/>
  <c r="BK238" i="5"/>
  <c r="BF238" i="5"/>
  <c r="H238" i="5" s="1"/>
  <c r="BD238" i="5"/>
  <c r="AZ238" i="5"/>
  <c r="AC238" i="5"/>
  <c r="AB238" i="5"/>
  <c r="AA238" i="5"/>
  <c r="Z238" i="5"/>
  <c r="Y238" i="5"/>
  <c r="X238" i="5"/>
  <c r="W238" i="5"/>
  <c r="V238" i="5"/>
  <c r="F238" i="5"/>
  <c r="BS237" i="5"/>
  <c r="BQ237" i="5"/>
  <c r="BO237" i="5"/>
  <c r="BM237" i="5"/>
  <c r="BK237" i="5"/>
  <c r="BE237" i="5"/>
  <c r="BB237" i="5"/>
  <c r="AY237" i="5"/>
  <c r="AC237" i="5"/>
  <c r="AB237" i="5"/>
  <c r="AA237" i="5"/>
  <c r="Z237" i="5"/>
  <c r="Y237" i="5"/>
  <c r="X237" i="5"/>
  <c r="W237" i="5"/>
  <c r="V237" i="5"/>
  <c r="F237" i="5"/>
  <c r="BS236" i="5"/>
  <c r="BQ236" i="5"/>
  <c r="BO236" i="5"/>
  <c r="BM236" i="5"/>
  <c r="BK236" i="5"/>
  <c r="BF236" i="5"/>
  <c r="H236" i="5" s="1"/>
  <c r="BD236" i="5"/>
  <c r="BC236" i="5"/>
  <c r="BB236" i="5"/>
  <c r="BA236" i="5"/>
  <c r="AC236" i="5"/>
  <c r="AB236" i="5"/>
  <c r="AA236" i="5"/>
  <c r="Z236" i="5"/>
  <c r="Y236" i="5"/>
  <c r="X236" i="5"/>
  <c r="W236" i="5"/>
  <c r="V236" i="5"/>
  <c r="F236" i="5"/>
  <c r="BS235" i="5"/>
  <c r="BQ235" i="5"/>
  <c r="BO235" i="5"/>
  <c r="BM235" i="5"/>
  <c r="BK235" i="5"/>
  <c r="BF235" i="5"/>
  <c r="H235" i="5" s="1"/>
  <c r="BE235" i="5"/>
  <c r="BA235" i="5"/>
  <c r="AY235" i="5"/>
  <c r="AC235" i="5"/>
  <c r="AB235" i="5"/>
  <c r="AA235" i="5"/>
  <c r="Z235" i="5"/>
  <c r="Y235" i="5"/>
  <c r="X235" i="5"/>
  <c r="W235" i="5"/>
  <c r="V235" i="5"/>
  <c r="F235" i="5"/>
  <c r="BS234" i="5"/>
  <c r="BQ234" i="5"/>
  <c r="BO234" i="5"/>
  <c r="BM234" i="5"/>
  <c r="BK234" i="5"/>
  <c r="BF234" i="5"/>
  <c r="BE234" i="5"/>
  <c r="BD234" i="5"/>
  <c r="AZ234" i="5"/>
  <c r="AC234" i="5"/>
  <c r="AB234" i="5"/>
  <c r="AA234" i="5"/>
  <c r="Z234" i="5"/>
  <c r="Y234" i="5"/>
  <c r="X234" i="5"/>
  <c r="W234" i="5"/>
  <c r="V234" i="5"/>
  <c r="F234" i="5"/>
  <c r="BS233" i="5"/>
  <c r="BQ233" i="5"/>
  <c r="BO233" i="5"/>
  <c r="BM233" i="5"/>
  <c r="BK233" i="5"/>
  <c r="BF233" i="5"/>
  <c r="H233" i="5" s="1"/>
  <c r="BE233" i="5"/>
  <c r="BA233" i="5"/>
  <c r="AC233" i="5"/>
  <c r="AB233" i="5"/>
  <c r="AA233" i="5"/>
  <c r="Z233" i="5"/>
  <c r="Y233" i="5"/>
  <c r="X233" i="5"/>
  <c r="W233" i="5"/>
  <c r="V233" i="5"/>
  <c r="F233" i="5"/>
  <c r="BS232" i="5"/>
  <c r="BQ232" i="5"/>
  <c r="BO232" i="5"/>
  <c r="BM232" i="5"/>
  <c r="BK232" i="5"/>
  <c r="BF232" i="5"/>
  <c r="H232" i="5" s="1"/>
  <c r="BD232" i="5"/>
  <c r="AZ232" i="5"/>
  <c r="AY232" i="5"/>
  <c r="AC232" i="5"/>
  <c r="AB232" i="5"/>
  <c r="AA232" i="5"/>
  <c r="Z232" i="5"/>
  <c r="Y232" i="5"/>
  <c r="X232" i="5"/>
  <c r="W232" i="5"/>
  <c r="V232" i="5"/>
  <c r="F232" i="5"/>
  <c r="BS231" i="5"/>
  <c r="BQ231" i="5"/>
  <c r="BO231" i="5"/>
  <c r="BM231" i="5"/>
  <c r="BK231" i="5"/>
  <c r="BE231" i="5"/>
  <c r="BC231" i="5"/>
  <c r="BA231" i="5"/>
  <c r="AY231" i="5"/>
  <c r="AC231" i="5"/>
  <c r="AB231" i="5"/>
  <c r="AA231" i="5"/>
  <c r="Z231" i="5"/>
  <c r="Y231" i="5"/>
  <c r="X231" i="5"/>
  <c r="W231" i="5"/>
  <c r="V231" i="5"/>
  <c r="F231" i="5"/>
  <c r="BS230" i="5"/>
  <c r="BQ230" i="5"/>
  <c r="BO230" i="5"/>
  <c r="BM230" i="5"/>
  <c r="BK230" i="5"/>
  <c r="BF230" i="5"/>
  <c r="H230" i="5" s="1"/>
  <c r="BE230" i="5"/>
  <c r="BD230" i="5"/>
  <c r="BB230" i="5"/>
  <c r="BA230" i="5"/>
  <c r="AZ230" i="5"/>
  <c r="AX230" i="5"/>
  <c r="AC230" i="5"/>
  <c r="AB230" i="5"/>
  <c r="AA230" i="5"/>
  <c r="Z230" i="5"/>
  <c r="Y230" i="5"/>
  <c r="X230" i="5"/>
  <c r="W230" i="5"/>
  <c r="V230" i="5"/>
  <c r="F230" i="5"/>
  <c r="BS229" i="5"/>
  <c r="BQ229" i="5"/>
  <c r="BO229" i="5"/>
  <c r="BM229" i="5"/>
  <c r="BK229" i="5"/>
  <c r="BE229" i="5"/>
  <c r="BC229" i="5"/>
  <c r="BA229" i="5"/>
  <c r="AY229" i="5"/>
  <c r="AC229" i="5"/>
  <c r="AB229" i="5"/>
  <c r="AA229" i="5"/>
  <c r="Z229" i="5"/>
  <c r="Y229" i="5"/>
  <c r="X229" i="5"/>
  <c r="W229" i="5"/>
  <c r="V229" i="5"/>
  <c r="F229" i="5"/>
  <c r="BS228" i="5"/>
  <c r="BQ228" i="5"/>
  <c r="BO228" i="5"/>
  <c r="BM228" i="5"/>
  <c r="BK228" i="5"/>
  <c r="BF228" i="5"/>
  <c r="H228" i="5" s="1"/>
  <c r="BD228" i="5"/>
  <c r="BC228" i="5"/>
  <c r="BB228" i="5"/>
  <c r="AZ228" i="5"/>
  <c r="AY228" i="5"/>
  <c r="AX228" i="5"/>
  <c r="AC228" i="5"/>
  <c r="AB228" i="5"/>
  <c r="AA228" i="5"/>
  <c r="Z228" i="5"/>
  <c r="Y228" i="5"/>
  <c r="X228" i="5"/>
  <c r="W228" i="5"/>
  <c r="V228" i="5"/>
  <c r="F228" i="5"/>
  <c r="BS227" i="5"/>
  <c r="BQ227" i="5"/>
  <c r="BO227" i="5"/>
  <c r="BM227" i="5"/>
  <c r="BK227" i="5"/>
  <c r="BE227" i="5"/>
  <c r="BC227" i="5"/>
  <c r="BA227" i="5"/>
  <c r="AY227" i="5"/>
  <c r="AC227" i="5"/>
  <c r="AB227" i="5"/>
  <c r="AA227" i="5"/>
  <c r="Z227" i="5"/>
  <c r="Y227" i="5"/>
  <c r="X227" i="5"/>
  <c r="W227" i="5"/>
  <c r="V227" i="5"/>
  <c r="F227" i="5"/>
  <c r="BS226" i="5"/>
  <c r="BQ226" i="5"/>
  <c r="BO226" i="5"/>
  <c r="BM226" i="5"/>
  <c r="BK226" i="5"/>
  <c r="BF226" i="5"/>
  <c r="H226" i="5" s="1"/>
  <c r="BD226" i="5"/>
  <c r="BB226" i="5"/>
  <c r="AZ226" i="5"/>
  <c r="AX226" i="5"/>
  <c r="AC226" i="5"/>
  <c r="AB226" i="5"/>
  <c r="AA226" i="5"/>
  <c r="Z226" i="5"/>
  <c r="Y226" i="5"/>
  <c r="X226" i="5"/>
  <c r="W226" i="5"/>
  <c r="V226" i="5"/>
  <c r="F226" i="5"/>
  <c r="BS225" i="5"/>
  <c r="BQ225" i="5"/>
  <c r="BO225" i="5"/>
  <c r="BM225" i="5"/>
  <c r="BK225" i="5"/>
  <c r="BE225" i="5"/>
  <c r="BC225" i="5"/>
  <c r="BA225" i="5"/>
  <c r="AY225" i="5"/>
  <c r="AC225" i="5"/>
  <c r="AB225" i="5"/>
  <c r="AA225" i="5"/>
  <c r="Z225" i="5"/>
  <c r="Y225" i="5"/>
  <c r="X225" i="5"/>
  <c r="W225" i="5"/>
  <c r="V225" i="5"/>
  <c r="F225" i="5"/>
  <c r="BS224" i="5"/>
  <c r="BQ224" i="5"/>
  <c r="BO224" i="5"/>
  <c r="BM224" i="5"/>
  <c r="BK224" i="5"/>
  <c r="BF224" i="5"/>
  <c r="H224" i="5" s="1"/>
  <c r="BD224" i="5"/>
  <c r="BC224" i="5"/>
  <c r="BB224" i="5"/>
  <c r="AZ224" i="5"/>
  <c r="AY224" i="5"/>
  <c r="AX224" i="5"/>
  <c r="AC224" i="5"/>
  <c r="AB224" i="5"/>
  <c r="AA224" i="5"/>
  <c r="Z224" i="5"/>
  <c r="Y224" i="5"/>
  <c r="X224" i="5"/>
  <c r="W224" i="5"/>
  <c r="V224" i="5"/>
  <c r="F224" i="5"/>
  <c r="BS223" i="5"/>
  <c r="BQ223" i="5"/>
  <c r="BO223" i="5"/>
  <c r="BM223" i="5"/>
  <c r="BK223" i="5"/>
  <c r="BE223" i="5"/>
  <c r="BC223" i="5"/>
  <c r="BA223" i="5"/>
  <c r="AY223" i="5"/>
  <c r="AC223" i="5"/>
  <c r="AB223" i="5"/>
  <c r="AA223" i="5"/>
  <c r="Z223" i="5"/>
  <c r="Y223" i="5"/>
  <c r="X223" i="5"/>
  <c r="W223" i="5"/>
  <c r="V223" i="5"/>
  <c r="F223" i="5"/>
  <c r="BS222" i="5"/>
  <c r="BQ222" i="5"/>
  <c r="BO222" i="5"/>
  <c r="BM222" i="5"/>
  <c r="BK222" i="5"/>
  <c r="BF222" i="5"/>
  <c r="H222" i="5" s="1"/>
  <c r="BE222" i="5"/>
  <c r="BD222" i="5"/>
  <c r="BB222" i="5"/>
  <c r="AZ222" i="5"/>
  <c r="AX222" i="5"/>
  <c r="AC222" i="5"/>
  <c r="AB222" i="5"/>
  <c r="AA222" i="5"/>
  <c r="Z222" i="5"/>
  <c r="Y222" i="5"/>
  <c r="X222" i="5"/>
  <c r="W222" i="5"/>
  <c r="V222" i="5"/>
  <c r="F222" i="5"/>
  <c r="BS221" i="5"/>
  <c r="BQ221" i="5"/>
  <c r="BO221" i="5"/>
  <c r="BM221" i="5"/>
  <c r="BK221" i="5"/>
  <c r="BE221" i="5"/>
  <c r="BC221" i="5"/>
  <c r="BA221" i="5"/>
  <c r="AY221" i="5"/>
  <c r="AC221" i="5"/>
  <c r="AB221" i="5"/>
  <c r="AA221" i="5"/>
  <c r="Z221" i="5"/>
  <c r="Y221" i="5"/>
  <c r="X221" i="5"/>
  <c r="W221" i="5"/>
  <c r="V221" i="5"/>
  <c r="F221" i="5"/>
  <c r="BS220" i="5"/>
  <c r="BQ220" i="5"/>
  <c r="BO220" i="5"/>
  <c r="BM220" i="5"/>
  <c r="BK220" i="5"/>
  <c r="BF220" i="5"/>
  <c r="H220" i="5" s="1"/>
  <c r="BD220" i="5"/>
  <c r="BC220" i="5"/>
  <c r="BB220" i="5"/>
  <c r="AZ220" i="5"/>
  <c r="AY220" i="5"/>
  <c r="AX220" i="5"/>
  <c r="AC220" i="5"/>
  <c r="AB220" i="5"/>
  <c r="AA220" i="5"/>
  <c r="Z220" i="5"/>
  <c r="Y220" i="5"/>
  <c r="X220" i="5"/>
  <c r="W220" i="5"/>
  <c r="V220" i="5"/>
  <c r="F220" i="5"/>
  <c r="BS219" i="5"/>
  <c r="BQ219" i="5"/>
  <c r="BO219" i="5"/>
  <c r="BM219" i="5"/>
  <c r="BK219" i="5"/>
  <c r="BE219" i="5"/>
  <c r="BC219" i="5"/>
  <c r="BA219" i="5"/>
  <c r="AX219" i="5"/>
  <c r="AC219" i="5"/>
  <c r="AB219" i="5"/>
  <c r="AA219" i="5"/>
  <c r="Z219" i="5"/>
  <c r="Y219" i="5"/>
  <c r="X219" i="5"/>
  <c r="W219" i="5"/>
  <c r="V219" i="5"/>
  <c r="F219" i="5"/>
  <c r="BS218" i="5"/>
  <c r="BQ218" i="5"/>
  <c r="BO218" i="5"/>
  <c r="BM218" i="5"/>
  <c r="BK218" i="5"/>
  <c r="BF218" i="5"/>
  <c r="H218" i="5" s="1"/>
  <c r="BD218" i="5"/>
  <c r="BB218" i="5"/>
  <c r="AZ218" i="5"/>
  <c r="AX218" i="5"/>
  <c r="AC218" i="5"/>
  <c r="AB218" i="5"/>
  <c r="AA218" i="5"/>
  <c r="Z218" i="5"/>
  <c r="Y218" i="5"/>
  <c r="X218" i="5"/>
  <c r="W218" i="5"/>
  <c r="V218" i="5"/>
  <c r="F218" i="5"/>
  <c r="BS217" i="5"/>
  <c r="BQ217" i="5"/>
  <c r="BO217" i="5"/>
  <c r="BM217" i="5"/>
  <c r="BK217" i="5"/>
  <c r="BE217" i="5"/>
  <c r="BC217" i="5"/>
  <c r="BA217" i="5"/>
  <c r="AY217" i="5"/>
  <c r="AC217" i="5"/>
  <c r="AB217" i="5"/>
  <c r="AA217" i="5"/>
  <c r="Z217" i="5"/>
  <c r="Y217" i="5"/>
  <c r="X217" i="5"/>
  <c r="W217" i="5"/>
  <c r="V217" i="5"/>
  <c r="F217" i="5"/>
  <c r="BS216" i="5"/>
  <c r="BQ216" i="5"/>
  <c r="BO216" i="5"/>
  <c r="BM216" i="5"/>
  <c r="BK216" i="5"/>
  <c r="BD216" i="5"/>
  <c r="AZ216" i="5"/>
  <c r="AC216" i="5"/>
  <c r="AB216" i="5"/>
  <c r="AA216" i="5"/>
  <c r="Z216" i="5"/>
  <c r="Y216" i="5"/>
  <c r="X216" i="5"/>
  <c r="W216" i="5"/>
  <c r="V216" i="5"/>
  <c r="F216" i="5"/>
  <c r="BS215" i="5"/>
  <c r="BQ215" i="5"/>
  <c r="BO215" i="5"/>
  <c r="BM215" i="5"/>
  <c r="BK215" i="5"/>
  <c r="BE215" i="5"/>
  <c r="BD215" i="5"/>
  <c r="BA215" i="5"/>
  <c r="AC215" i="5"/>
  <c r="AB215" i="5"/>
  <c r="AA215" i="5"/>
  <c r="Z215" i="5"/>
  <c r="Y215" i="5"/>
  <c r="X215" i="5"/>
  <c r="W215" i="5"/>
  <c r="V215" i="5"/>
  <c r="F215" i="5"/>
  <c r="BS214" i="5"/>
  <c r="BQ214" i="5"/>
  <c r="BO214" i="5"/>
  <c r="BM214" i="5"/>
  <c r="BK214" i="5"/>
  <c r="BF214" i="5"/>
  <c r="H214" i="5" s="1"/>
  <c r="BD214" i="5"/>
  <c r="BB214" i="5"/>
  <c r="AZ214" i="5"/>
  <c r="AX214" i="5"/>
  <c r="AC214" i="5"/>
  <c r="AB214" i="5"/>
  <c r="AA214" i="5"/>
  <c r="Z214" i="5"/>
  <c r="Y214" i="5"/>
  <c r="X214" i="5"/>
  <c r="W214" i="5"/>
  <c r="V214" i="5"/>
  <c r="F214" i="5"/>
  <c r="BS213" i="5"/>
  <c r="BQ213" i="5"/>
  <c r="BO213" i="5"/>
  <c r="BM213" i="5"/>
  <c r="BK213" i="5"/>
  <c r="BE213" i="5"/>
  <c r="BC213" i="5"/>
  <c r="BA213" i="5"/>
  <c r="AY213" i="5"/>
  <c r="AC213" i="5"/>
  <c r="AB213" i="5"/>
  <c r="AA213" i="5"/>
  <c r="Z213" i="5"/>
  <c r="Y213" i="5"/>
  <c r="X213" i="5"/>
  <c r="W213" i="5"/>
  <c r="V213" i="5"/>
  <c r="F213" i="5"/>
  <c r="BS212" i="5"/>
  <c r="BQ212" i="5"/>
  <c r="BO212" i="5"/>
  <c r="BM212" i="5"/>
  <c r="BK212" i="5"/>
  <c r="BF212" i="5"/>
  <c r="H212" i="5" s="1"/>
  <c r="BD212" i="5"/>
  <c r="BC212" i="5"/>
  <c r="BB212" i="5"/>
  <c r="AZ212" i="5"/>
  <c r="AY212" i="5"/>
  <c r="AX212" i="5"/>
  <c r="AC212" i="5"/>
  <c r="AB212" i="5"/>
  <c r="AA212" i="5"/>
  <c r="Z212" i="5"/>
  <c r="Y212" i="5"/>
  <c r="X212" i="5"/>
  <c r="W212" i="5"/>
  <c r="V212" i="5"/>
  <c r="F212" i="5"/>
  <c r="BS211" i="5"/>
  <c r="BQ211" i="5"/>
  <c r="BO211" i="5"/>
  <c r="BM211" i="5"/>
  <c r="BK211" i="5"/>
  <c r="BE211" i="5"/>
  <c r="BC211" i="5"/>
  <c r="BA211" i="5"/>
  <c r="AZ211" i="5"/>
  <c r="AY211" i="5"/>
  <c r="AC211" i="5"/>
  <c r="AB211" i="5"/>
  <c r="AA211" i="5"/>
  <c r="Z211" i="5"/>
  <c r="Y211" i="5"/>
  <c r="X211" i="5"/>
  <c r="W211" i="5"/>
  <c r="V211" i="5"/>
  <c r="F211" i="5"/>
  <c r="BS210" i="5"/>
  <c r="BQ210" i="5"/>
  <c r="BO210" i="5"/>
  <c r="BM210" i="5"/>
  <c r="BK210" i="5"/>
  <c r="BE210" i="5"/>
  <c r="BD210" i="5"/>
  <c r="BA210" i="5"/>
  <c r="AZ210" i="5"/>
  <c r="AC210" i="5"/>
  <c r="AB210" i="5"/>
  <c r="AA210" i="5"/>
  <c r="Z210" i="5"/>
  <c r="Y210" i="5"/>
  <c r="X210" i="5"/>
  <c r="W210" i="5"/>
  <c r="V210" i="5"/>
  <c r="F210" i="5"/>
  <c r="BS209" i="5"/>
  <c r="BQ209" i="5"/>
  <c r="BO209" i="5"/>
  <c r="BM209" i="5"/>
  <c r="BK209" i="5"/>
  <c r="BF209" i="5"/>
  <c r="H209" i="5" s="1"/>
  <c r="BE209" i="5"/>
  <c r="BC209" i="5"/>
  <c r="BB209" i="5"/>
  <c r="BA209" i="5"/>
  <c r="AY209" i="5"/>
  <c r="AX209" i="5"/>
  <c r="AC209" i="5"/>
  <c r="AB209" i="5"/>
  <c r="AA209" i="5"/>
  <c r="Z209" i="5"/>
  <c r="Y209" i="5"/>
  <c r="X209" i="5"/>
  <c r="W209" i="5"/>
  <c r="V209" i="5"/>
  <c r="F209" i="5"/>
  <c r="BS208" i="5"/>
  <c r="BQ208" i="5"/>
  <c r="BO208" i="5"/>
  <c r="BM208" i="5"/>
  <c r="BK208" i="5"/>
  <c r="BF208" i="5"/>
  <c r="H208" i="5" s="1"/>
  <c r="BC208" i="5"/>
  <c r="AC208" i="5"/>
  <c r="AB208" i="5"/>
  <c r="AA208" i="5"/>
  <c r="Z208" i="5"/>
  <c r="Y208" i="5"/>
  <c r="X208" i="5"/>
  <c r="W208" i="5"/>
  <c r="V208" i="5"/>
  <c r="F208" i="5"/>
  <c r="BS207" i="5"/>
  <c r="BQ207" i="5"/>
  <c r="BO207" i="5"/>
  <c r="BM207" i="5"/>
  <c r="BK207" i="5"/>
  <c r="BD207" i="5"/>
  <c r="BC207" i="5"/>
  <c r="BA207" i="5"/>
  <c r="AZ207" i="5"/>
  <c r="AC207" i="5"/>
  <c r="AB207" i="5"/>
  <c r="AA207" i="5"/>
  <c r="Z207" i="5"/>
  <c r="Y207" i="5"/>
  <c r="X207" i="5"/>
  <c r="W207" i="5"/>
  <c r="V207" i="5"/>
  <c r="F207" i="5"/>
  <c r="BS206" i="5"/>
  <c r="BQ206" i="5"/>
  <c r="BO206" i="5"/>
  <c r="BM206" i="5"/>
  <c r="BK206" i="5"/>
  <c r="BE206" i="5"/>
  <c r="BD206" i="5"/>
  <c r="BC206" i="5"/>
  <c r="BA206" i="5"/>
  <c r="AZ206" i="5"/>
  <c r="AC206" i="5"/>
  <c r="AB206" i="5"/>
  <c r="AA206" i="5"/>
  <c r="Z206" i="5"/>
  <c r="Y206" i="5"/>
  <c r="X206" i="5"/>
  <c r="W206" i="5"/>
  <c r="V206" i="5"/>
  <c r="F206" i="5"/>
  <c r="BS205" i="5"/>
  <c r="BQ205" i="5"/>
  <c r="BO205" i="5"/>
  <c r="BM205" i="5"/>
  <c r="BK205" i="5"/>
  <c r="BF205" i="5"/>
  <c r="H205" i="5" s="1"/>
  <c r="BE205" i="5"/>
  <c r="BD205" i="5"/>
  <c r="BC205" i="5"/>
  <c r="BB205" i="5"/>
  <c r="BA205" i="5"/>
  <c r="AZ205" i="5"/>
  <c r="AX205" i="5"/>
  <c r="AC205" i="5"/>
  <c r="AB205" i="5"/>
  <c r="AA205" i="5"/>
  <c r="Z205" i="5"/>
  <c r="Y205" i="5"/>
  <c r="X205" i="5"/>
  <c r="W205" i="5"/>
  <c r="V205" i="5"/>
  <c r="F205" i="5"/>
  <c r="BS204" i="5"/>
  <c r="BQ204" i="5"/>
  <c r="BO204" i="5"/>
  <c r="BM204" i="5"/>
  <c r="BK204" i="5"/>
  <c r="BF204" i="5"/>
  <c r="H204" i="5" s="1"/>
  <c r="BE204" i="5"/>
  <c r="BD204" i="5"/>
  <c r="BC204" i="5"/>
  <c r="BB204" i="5"/>
  <c r="BA204" i="5"/>
  <c r="AZ204" i="5"/>
  <c r="AY204" i="5"/>
  <c r="AX204" i="5"/>
  <c r="AC204" i="5"/>
  <c r="AB204" i="5"/>
  <c r="AA204" i="5"/>
  <c r="Z204" i="5"/>
  <c r="Y204" i="5"/>
  <c r="X204" i="5"/>
  <c r="W204" i="5"/>
  <c r="V204" i="5"/>
  <c r="F204" i="5"/>
  <c r="BS203" i="5"/>
  <c r="BQ203" i="5"/>
  <c r="BO203" i="5"/>
  <c r="BM203" i="5"/>
  <c r="BK203" i="5"/>
  <c r="BE203" i="5"/>
  <c r="BD203" i="5"/>
  <c r="BC203" i="5"/>
  <c r="BA203" i="5"/>
  <c r="AZ203" i="5"/>
  <c r="AY203" i="5"/>
  <c r="AC203" i="5"/>
  <c r="AB203" i="5"/>
  <c r="AA203" i="5"/>
  <c r="Z203" i="5"/>
  <c r="Y203" i="5"/>
  <c r="X203" i="5"/>
  <c r="W203" i="5"/>
  <c r="V203" i="5"/>
  <c r="F203" i="5"/>
  <c r="BS202" i="5"/>
  <c r="BQ202" i="5"/>
  <c r="BO202" i="5"/>
  <c r="BM202" i="5"/>
  <c r="BK202" i="5"/>
  <c r="BF202" i="5"/>
  <c r="H202" i="5" s="1"/>
  <c r="BE202" i="5"/>
  <c r="BD202" i="5"/>
  <c r="BC202" i="5"/>
  <c r="BB202" i="5"/>
  <c r="BA202" i="5"/>
  <c r="AZ202" i="5"/>
  <c r="AY202" i="5"/>
  <c r="AX202" i="5"/>
  <c r="AC202" i="5"/>
  <c r="AB202" i="5"/>
  <c r="AA202" i="5"/>
  <c r="Z202" i="5"/>
  <c r="Y202" i="5"/>
  <c r="X202" i="5"/>
  <c r="W202" i="5"/>
  <c r="V202" i="5"/>
  <c r="F202" i="5"/>
  <c r="BS201" i="5"/>
  <c r="BQ201" i="5"/>
  <c r="BO201" i="5"/>
  <c r="BM201" i="5"/>
  <c r="BK201" i="5"/>
  <c r="BF201" i="5"/>
  <c r="H201" i="5" s="1"/>
  <c r="BD201" i="5"/>
  <c r="BC201" i="5"/>
  <c r="BB201" i="5"/>
  <c r="AZ201" i="5"/>
  <c r="AY201" i="5"/>
  <c r="AX201" i="5"/>
  <c r="AC201" i="5"/>
  <c r="AB201" i="5"/>
  <c r="AA201" i="5"/>
  <c r="Z201" i="5"/>
  <c r="Y201" i="5"/>
  <c r="X201" i="5"/>
  <c r="W201" i="5"/>
  <c r="V201" i="5"/>
  <c r="F201" i="5"/>
  <c r="BS200" i="5"/>
  <c r="BQ200" i="5"/>
  <c r="BO200" i="5"/>
  <c r="BM200" i="5"/>
  <c r="BK200" i="5"/>
  <c r="BE200" i="5"/>
  <c r="BD200" i="5"/>
  <c r="BB200" i="5"/>
  <c r="BA200" i="5"/>
  <c r="AY200" i="5"/>
  <c r="AX200" i="5"/>
  <c r="AC200" i="5"/>
  <c r="AB200" i="5"/>
  <c r="AA200" i="5"/>
  <c r="Z200" i="5"/>
  <c r="Y200" i="5"/>
  <c r="X200" i="5"/>
  <c r="W200" i="5"/>
  <c r="V200" i="5"/>
  <c r="F200" i="5"/>
  <c r="BS199" i="5"/>
  <c r="BQ199" i="5"/>
  <c r="BO199" i="5"/>
  <c r="BM199" i="5"/>
  <c r="BK199" i="5"/>
  <c r="BF199" i="5"/>
  <c r="H199" i="5" s="1"/>
  <c r="BC199" i="5"/>
  <c r="BB199" i="5"/>
  <c r="AZ199" i="5"/>
  <c r="AY199" i="5"/>
  <c r="AX199" i="5"/>
  <c r="AC199" i="5"/>
  <c r="AB199" i="5"/>
  <c r="AA199" i="5"/>
  <c r="Z199" i="5"/>
  <c r="Y199" i="5"/>
  <c r="X199" i="5"/>
  <c r="W199" i="5"/>
  <c r="V199" i="5"/>
  <c r="F199" i="5"/>
  <c r="BS198" i="5"/>
  <c r="BQ198" i="5"/>
  <c r="BO198" i="5"/>
  <c r="BM198" i="5"/>
  <c r="BK198" i="5"/>
  <c r="BF198" i="5"/>
  <c r="H198" i="5" s="1"/>
  <c r="BD198" i="5"/>
  <c r="BC198" i="5"/>
  <c r="BB198" i="5"/>
  <c r="AZ198" i="5"/>
  <c r="AY198" i="5"/>
  <c r="AX198" i="5"/>
  <c r="AC198" i="5"/>
  <c r="AB198" i="5"/>
  <c r="AA198" i="5"/>
  <c r="Z198" i="5"/>
  <c r="Y198" i="5"/>
  <c r="X198" i="5"/>
  <c r="W198" i="5"/>
  <c r="V198" i="5"/>
  <c r="F198" i="5"/>
  <c r="BS197" i="5"/>
  <c r="BQ197" i="5"/>
  <c r="BO197" i="5"/>
  <c r="BM197" i="5"/>
  <c r="BK197" i="5"/>
  <c r="BF197" i="5"/>
  <c r="H197" i="5" s="1"/>
  <c r="BE197" i="5"/>
  <c r="BD197" i="5"/>
  <c r="BC197" i="5"/>
  <c r="BB197" i="5"/>
  <c r="BA197" i="5"/>
  <c r="AZ197" i="5"/>
  <c r="AY197" i="5"/>
  <c r="AX197" i="5"/>
  <c r="AC197" i="5"/>
  <c r="AB197" i="5"/>
  <c r="AA197" i="5"/>
  <c r="Z197" i="5"/>
  <c r="Y197" i="5"/>
  <c r="X197" i="5"/>
  <c r="W197" i="5"/>
  <c r="V197" i="5"/>
  <c r="F197" i="5"/>
  <c r="BS196" i="5"/>
  <c r="BQ196" i="5"/>
  <c r="BO196" i="5"/>
  <c r="BM196" i="5"/>
  <c r="BK196" i="5"/>
  <c r="BF196" i="5"/>
  <c r="H196" i="5" s="1"/>
  <c r="BE196" i="5"/>
  <c r="BD196" i="5"/>
  <c r="BB196" i="5"/>
  <c r="BA196" i="5"/>
  <c r="AZ196" i="5"/>
  <c r="AX196" i="5"/>
  <c r="AC196" i="5"/>
  <c r="AB196" i="5"/>
  <c r="AA196" i="5"/>
  <c r="Z196" i="5"/>
  <c r="Y196" i="5"/>
  <c r="X196" i="5"/>
  <c r="W196" i="5"/>
  <c r="V196" i="5"/>
  <c r="F196" i="5"/>
  <c r="BS195" i="5"/>
  <c r="BQ195" i="5"/>
  <c r="BO195" i="5"/>
  <c r="BM195" i="5"/>
  <c r="BK195" i="5"/>
  <c r="BF195" i="5"/>
  <c r="H195" i="5" s="1"/>
  <c r="BE195" i="5"/>
  <c r="BD195" i="5"/>
  <c r="BC195" i="5"/>
  <c r="BB195" i="5"/>
  <c r="BA195" i="5"/>
  <c r="AZ195" i="5"/>
  <c r="AY195" i="5"/>
  <c r="AX195" i="5"/>
  <c r="AC195" i="5"/>
  <c r="AB195" i="5"/>
  <c r="AA195" i="5"/>
  <c r="Z195" i="5"/>
  <c r="Y195" i="5"/>
  <c r="X195" i="5"/>
  <c r="W195" i="5"/>
  <c r="V195" i="5"/>
  <c r="F195" i="5"/>
  <c r="BS194" i="5"/>
  <c r="BQ194" i="5"/>
  <c r="BO194" i="5"/>
  <c r="BM194" i="5"/>
  <c r="BK194" i="5"/>
  <c r="BF194" i="5"/>
  <c r="H194" i="5" s="1"/>
  <c r="BD194" i="5"/>
  <c r="BB194" i="5"/>
  <c r="AZ194" i="5"/>
  <c r="AY194" i="5"/>
  <c r="AX194" i="5"/>
  <c r="AC194" i="5"/>
  <c r="AB194" i="5"/>
  <c r="AA194" i="5"/>
  <c r="Z194" i="5"/>
  <c r="Y194" i="5"/>
  <c r="X194" i="5"/>
  <c r="W194" i="5"/>
  <c r="V194" i="5"/>
  <c r="F194" i="5"/>
  <c r="BS193" i="5"/>
  <c r="BQ193" i="5"/>
  <c r="BO193" i="5"/>
  <c r="BM193" i="5"/>
  <c r="BK193" i="5"/>
  <c r="BF193" i="5"/>
  <c r="H193" i="5" s="1"/>
  <c r="BE193" i="5"/>
  <c r="BD193" i="5"/>
  <c r="BC193" i="5"/>
  <c r="BB193" i="5"/>
  <c r="BA193" i="5"/>
  <c r="AZ193" i="5"/>
  <c r="AY193" i="5"/>
  <c r="AX193" i="5"/>
  <c r="AC193" i="5"/>
  <c r="AB193" i="5"/>
  <c r="AA193" i="5"/>
  <c r="Z193" i="5"/>
  <c r="Y193" i="5"/>
  <c r="X193" i="5"/>
  <c r="W193" i="5"/>
  <c r="V193" i="5"/>
  <c r="F193" i="5"/>
  <c r="BS192" i="5"/>
  <c r="BQ192" i="5"/>
  <c r="BO192" i="5"/>
  <c r="BM192" i="5"/>
  <c r="BK192" i="5"/>
  <c r="BF192" i="5"/>
  <c r="H192" i="5" s="1"/>
  <c r="BE192" i="5"/>
  <c r="BD192" i="5"/>
  <c r="BB192" i="5"/>
  <c r="BA192" i="5"/>
  <c r="AZ192" i="5"/>
  <c r="AX192" i="5"/>
  <c r="AC192" i="5"/>
  <c r="AB192" i="5"/>
  <c r="AA192" i="5"/>
  <c r="Z192" i="5"/>
  <c r="Y192" i="5"/>
  <c r="X192" i="5"/>
  <c r="W192" i="5"/>
  <c r="V192" i="5"/>
  <c r="F192" i="5"/>
  <c r="BS191" i="5"/>
  <c r="BQ191" i="5"/>
  <c r="BO191" i="5"/>
  <c r="BM191" i="5"/>
  <c r="BK191" i="5"/>
  <c r="BF191" i="5"/>
  <c r="H191" i="5" s="1"/>
  <c r="BE191" i="5"/>
  <c r="BD191" i="5"/>
  <c r="BC191" i="5"/>
  <c r="BB191" i="5"/>
  <c r="BA191" i="5"/>
  <c r="AZ191" i="5"/>
  <c r="AY191" i="5"/>
  <c r="AX191" i="5"/>
  <c r="AC191" i="5"/>
  <c r="AB191" i="5"/>
  <c r="AA191" i="5"/>
  <c r="Z191" i="5"/>
  <c r="Y191" i="5"/>
  <c r="X191" i="5"/>
  <c r="W191" i="5"/>
  <c r="V191" i="5"/>
  <c r="F191" i="5"/>
  <c r="BS190" i="5"/>
  <c r="BQ190" i="5"/>
  <c r="BO190" i="5"/>
  <c r="BM190" i="5"/>
  <c r="BK190" i="5"/>
  <c r="BF190" i="5"/>
  <c r="H190" i="5" s="1"/>
  <c r="BC190" i="5"/>
  <c r="BB190" i="5"/>
  <c r="BA190" i="5"/>
  <c r="AC190" i="5"/>
  <c r="AB190" i="5"/>
  <c r="AA190" i="5"/>
  <c r="Z190" i="5"/>
  <c r="Y190" i="5"/>
  <c r="X190" i="5"/>
  <c r="W190" i="5"/>
  <c r="V190" i="5"/>
  <c r="F190" i="5"/>
  <c r="BS189" i="5"/>
  <c r="BQ189" i="5"/>
  <c r="BO189" i="5"/>
  <c r="BM189" i="5"/>
  <c r="BK189" i="5"/>
  <c r="BF189" i="5"/>
  <c r="H189" i="5" s="1"/>
  <c r="BE189" i="5"/>
  <c r="BD189" i="5"/>
  <c r="BC189" i="5"/>
  <c r="BB189" i="5"/>
  <c r="BA189" i="5"/>
  <c r="AZ189" i="5"/>
  <c r="AY189" i="5"/>
  <c r="AX189" i="5"/>
  <c r="AC189" i="5"/>
  <c r="AB189" i="5"/>
  <c r="AA189" i="5"/>
  <c r="Z189" i="5"/>
  <c r="Y189" i="5"/>
  <c r="X189" i="5"/>
  <c r="W189" i="5"/>
  <c r="V189" i="5"/>
  <c r="F189" i="5"/>
  <c r="BS188" i="5"/>
  <c r="BQ188" i="5"/>
  <c r="BO188" i="5"/>
  <c r="BM188" i="5"/>
  <c r="BK188" i="5"/>
  <c r="BF188" i="5"/>
  <c r="H188" i="5" s="1"/>
  <c r="BE188" i="5"/>
  <c r="BD188" i="5"/>
  <c r="BC188" i="5"/>
  <c r="BB188" i="5"/>
  <c r="BA188" i="5"/>
  <c r="AZ188" i="5"/>
  <c r="AY188" i="5"/>
  <c r="AX188" i="5"/>
  <c r="AC188" i="5"/>
  <c r="AB188" i="5"/>
  <c r="AA188" i="5"/>
  <c r="Z188" i="5"/>
  <c r="Y188" i="5"/>
  <c r="X188" i="5"/>
  <c r="W188" i="5"/>
  <c r="V188" i="5"/>
  <c r="F188" i="5"/>
  <c r="BS187" i="5"/>
  <c r="BQ187" i="5"/>
  <c r="BO187" i="5"/>
  <c r="BM187" i="5"/>
  <c r="BK187" i="5"/>
  <c r="BF187" i="5"/>
  <c r="H187" i="5" s="1"/>
  <c r="BE187" i="5"/>
  <c r="BD187" i="5"/>
  <c r="BC187" i="5"/>
  <c r="BB187" i="5"/>
  <c r="BA187" i="5"/>
  <c r="AZ187" i="5"/>
  <c r="AY187" i="5"/>
  <c r="AX187" i="5"/>
  <c r="AC187" i="5"/>
  <c r="AB187" i="5"/>
  <c r="AA187" i="5"/>
  <c r="Z187" i="5"/>
  <c r="Y187" i="5"/>
  <c r="X187" i="5"/>
  <c r="W187" i="5"/>
  <c r="V187" i="5"/>
  <c r="F187" i="5"/>
  <c r="BS186" i="5"/>
  <c r="BQ186" i="5"/>
  <c r="BO186" i="5"/>
  <c r="BM186" i="5"/>
  <c r="BK186" i="5"/>
  <c r="BF186" i="5"/>
  <c r="H186" i="5" s="1"/>
  <c r="BE186" i="5"/>
  <c r="BD186" i="5"/>
  <c r="BC186" i="5"/>
  <c r="BB186" i="5"/>
  <c r="BA186" i="5"/>
  <c r="AZ186" i="5"/>
  <c r="AY186" i="5"/>
  <c r="AX186" i="5"/>
  <c r="AC186" i="5"/>
  <c r="AB186" i="5"/>
  <c r="AA186" i="5"/>
  <c r="Z186" i="5"/>
  <c r="Y186" i="5"/>
  <c r="X186" i="5"/>
  <c r="W186" i="5"/>
  <c r="V186" i="5"/>
  <c r="F186" i="5"/>
  <c r="BS185" i="5"/>
  <c r="BQ185" i="5"/>
  <c r="BO185" i="5"/>
  <c r="BM185" i="5"/>
  <c r="BK185" i="5"/>
  <c r="BF185" i="5"/>
  <c r="H185" i="5" s="1"/>
  <c r="BE185" i="5"/>
  <c r="BD185" i="5"/>
  <c r="BB185" i="5"/>
  <c r="BA185" i="5"/>
  <c r="AZ185" i="5"/>
  <c r="AY185" i="5"/>
  <c r="AX185" i="5"/>
  <c r="AC185" i="5"/>
  <c r="AB185" i="5"/>
  <c r="AA185" i="5"/>
  <c r="Z185" i="5"/>
  <c r="Y185" i="5"/>
  <c r="X185" i="5"/>
  <c r="W185" i="5"/>
  <c r="V185" i="5"/>
  <c r="F185" i="5"/>
  <c r="BS184" i="5"/>
  <c r="BQ184" i="5"/>
  <c r="BO184" i="5"/>
  <c r="BM184" i="5"/>
  <c r="BK184" i="5"/>
  <c r="BF184" i="5"/>
  <c r="H184" i="5" s="1"/>
  <c r="BE184" i="5"/>
  <c r="BD184" i="5"/>
  <c r="BC184" i="5"/>
  <c r="BB184" i="5"/>
  <c r="BA184" i="5"/>
  <c r="AZ184" i="5"/>
  <c r="AY184" i="5"/>
  <c r="AX184" i="5"/>
  <c r="AC184" i="5"/>
  <c r="AB184" i="5"/>
  <c r="AA184" i="5"/>
  <c r="Z184" i="5"/>
  <c r="Y184" i="5"/>
  <c r="X184" i="5"/>
  <c r="W184" i="5"/>
  <c r="V184" i="5"/>
  <c r="F184" i="5"/>
  <c r="BS183" i="5"/>
  <c r="BQ183" i="5"/>
  <c r="BO183" i="5"/>
  <c r="BM183" i="5"/>
  <c r="BK183" i="5"/>
  <c r="BF183" i="5"/>
  <c r="BE183" i="5"/>
  <c r="BD183" i="5"/>
  <c r="BC183" i="5"/>
  <c r="BB183" i="5"/>
  <c r="BA183" i="5"/>
  <c r="AZ183" i="5"/>
  <c r="AY183" i="5"/>
  <c r="AX183" i="5"/>
  <c r="AC183" i="5"/>
  <c r="AB183" i="5"/>
  <c r="AA183" i="5"/>
  <c r="Z183" i="5"/>
  <c r="Y183" i="5"/>
  <c r="X183" i="5"/>
  <c r="W183" i="5"/>
  <c r="V183" i="5"/>
  <c r="F183" i="5"/>
  <c r="BS182" i="5"/>
  <c r="BQ182" i="5"/>
  <c r="BO182" i="5"/>
  <c r="BM182" i="5"/>
  <c r="BK182" i="5"/>
  <c r="BF182" i="5"/>
  <c r="H182" i="5" s="1"/>
  <c r="BE182" i="5"/>
  <c r="BD182" i="5"/>
  <c r="BC182" i="5"/>
  <c r="BB182" i="5"/>
  <c r="BA182" i="5"/>
  <c r="AZ182" i="5"/>
  <c r="AY182" i="5"/>
  <c r="AX182" i="5"/>
  <c r="AC182" i="5"/>
  <c r="AB182" i="5"/>
  <c r="AA182" i="5"/>
  <c r="Z182" i="5"/>
  <c r="Y182" i="5"/>
  <c r="X182" i="5"/>
  <c r="W182" i="5"/>
  <c r="V182" i="5"/>
  <c r="F182" i="5"/>
  <c r="BS181" i="5"/>
  <c r="BQ181" i="5"/>
  <c r="BO181" i="5"/>
  <c r="BM181" i="5"/>
  <c r="BK181" i="5"/>
  <c r="BF181" i="5"/>
  <c r="H181" i="5" s="1"/>
  <c r="BE181" i="5"/>
  <c r="BD181" i="5"/>
  <c r="BC181" i="5"/>
  <c r="BB181" i="5"/>
  <c r="BA181" i="5"/>
  <c r="AZ181" i="5"/>
  <c r="AY181" i="5"/>
  <c r="AX181" i="5"/>
  <c r="AC181" i="5"/>
  <c r="AB181" i="5"/>
  <c r="AA181" i="5"/>
  <c r="Z181" i="5"/>
  <c r="Y181" i="5"/>
  <c r="X181" i="5"/>
  <c r="W181" i="5"/>
  <c r="V181" i="5"/>
  <c r="F181" i="5"/>
  <c r="BS180" i="5"/>
  <c r="BQ180" i="5"/>
  <c r="BO180" i="5"/>
  <c r="BM180" i="5"/>
  <c r="BK180" i="5"/>
  <c r="BF180" i="5"/>
  <c r="H180" i="5" s="1"/>
  <c r="BE180" i="5"/>
  <c r="BD180" i="5"/>
  <c r="BC180" i="5"/>
  <c r="BB180" i="5"/>
  <c r="BA180" i="5"/>
  <c r="AZ180" i="5"/>
  <c r="AY180" i="5"/>
  <c r="AX180" i="5"/>
  <c r="AC180" i="5"/>
  <c r="AB180" i="5"/>
  <c r="AA180" i="5"/>
  <c r="Z180" i="5"/>
  <c r="Y180" i="5"/>
  <c r="X180" i="5"/>
  <c r="W180" i="5"/>
  <c r="V180" i="5"/>
  <c r="F180" i="5"/>
  <c r="BS179" i="5"/>
  <c r="BQ179" i="5"/>
  <c r="BO179" i="5"/>
  <c r="BM179" i="5"/>
  <c r="BK179" i="5"/>
  <c r="BF179" i="5"/>
  <c r="H179" i="5" s="1"/>
  <c r="BE179" i="5"/>
  <c r="BD179" i="5"/>
  <c r="BC179" i="5"/>
  <c r="BB179" i="5"/>
  <c r="BA179" i="5"/>
  <c r="AZ179" i="5"/>
  <c r="AY179" i="5"/>
  <c r="AX179" i="5"/>
  <c r="AC179" i="5"/>
  <c r="AB179" i="5"/>
  <c r="AA179" i="5"/>
  <c r="Z179" i="5"/>
  <c r="Y179" i="5"/>
  <c r="X179" i="5"/>
  <c r="W179" i="5"/>
  <c r="V179" i="5"/>
  <c r="F179" i="5"/>
  <c r="BS178" i="5"/>
  <c r="BQ178" i="5"/>
  <c r="BO178" i="5"/>
  <c r="BM178" i="5"/>
  <c r="BK178" i="5"/>
  <c r="BF178" i="5"/>
  <c r="H178" i="5" s="1"/>
  <c r="BE178" i="5"/>
  <c r="BD178" i="5"/>
  <c r="BC178" i="5"/>
  <c r="BB178" i="5"/>
  <c r="BA178" i="5"/>
  <c r="AZ178" i="5"/>
  <c r="AY178" i="5"/>
  <c r="AX178" i="5"/>
  <c r="AC178" i="5"/>
  <c r="AB178" i="5"/>
  <c r="AA178" i="5"/>
  <c r="Z178" i="5"/>
  <c r="Y178" i="5"/>
  <c r="X178" i="5"/>
  <c r="W178" i="5"/>
  <c r="V178" i="5"/>
  <c r="F178" i="5"/>
  <c r="BS177" i="5"/>
  <c r="BQ177" i="5"/>
  <c r="BO177" i="5"/>
  <c r="BM177" i="5"/>
  <c r="BK177" i="5"/>
  <c r="BF177" i="5"/>
  <c r="H177" i="5" s="1"/>
  <c r="BE177" i="5"/>
  <c r="BD177" i="5"/>
  <c r="BC177" i="5"/>
  <c r="BB177" i="5"/>
  <c r="BA177" i="5"/>
  <c r="AZ177" i="5"/>
  <c r="AY177" i="5"/>
  <c r="AX177" i="5"/>
  <c r="AC177" i="5"/>
  <c r="AB177" i="5"/>
  <c r="AA177" i="5"/>
  <c r="Z177" i="5"/>
  <c r="Y177" i="5"/>
  <c r="X177" i="5"/>
  <c r="W177" i="5"/>
  <c r="V177" i="5"/>
  <c r="F177" i="5"/>
  <c r="BS176" i="5"/>
  <c r="BQ176" i="5"/>
  <c r="BO176" i="5"/>
  <c r="BM176" i="5"/>
  <c r="BK176" i="5"/>
  <c r="BF176" i="5"/>
  <c r="H176" i="5" s="1"/>
  <c r="BE176" i="5"/>
  <c r="BD176" i="5"/>
  <c r="BC176" i="5"/>
  <c r="BB176" i="5"/>
  <c r="BA176" i="5"/>
  <c r="AZ176" i="5"/>
  <c r="AY176" i="5"/>
  <c r="AX176" i="5"/>
  <c r="AC176" i="5"/>
  <c r="AB176" i="5"/>
  <c r="AA176" i="5"/>
  <c r="Z176" i="5"/>
  <c r="Y176" i="5"/>
  <c r="X176" i="5"/>
  <c r="W176" i="5"/>
  <c r="V176" i="5"/>
  <c r="F176" i="5"/>
  <c r="BS175" i="5"/>
  <c r="BQ175" i="5"/>
  <c r="BO175" i="5"/>
  <c r="BM175" i="5"/>
  <c r="BK175" i="5"/>
  <c r="BF175" i="5"/>
  <c r="H175" i="5" s="1"/>
  <c r="BE175" i="5"/>
  <c r="BD175" i="5"/>
  <c r="BC175" i="5"/>
  <c r="BB175" i="5"/>
  <c r="BA175" i="5"/>
  <c r="AZ175" i="5"/>
  <c r="AY175" i="5"/>
  <c r="AX175" i="5"/>
  <c r="AC175" i="5"/>
  <c r="AB175" i="5"/>
  <c r="AA175" i="5"/>
  <c r="Z175" i="5"/>
  <c r="Y175" i="5"/>
  <c r="X175" i="5"/>
  <c r="W175" i="5"/>
  <c r="V175" i="5"/>
  <c r="F175" i="5"/>
  <c r="BS174" i="5"/>
  <c r="BQ174" i="5"/>
  <c r="BO174" i="5"/>
  <c r="BM174" i="5"/>
  <c r="BK174" i="5"/>
  <c r="BF174" i="5"/>
  <c r="H174" i="5" s="1"/>
  <c r="BE174" i="5"/>
  <c r="BD174" i="5"/>
  <c r="BC174" i="5"/>
  <c r="BB174" i="5"/>
  <c r="BA174" i="5"/>
  <c r="AZ174" i="5"/>
  <c r="AY174" i="5"/>
  <c r="AX174" i="5"/>
  <c r="AC174" i="5"/>
  <c r="AB174" i="5"/>
  <c r="AA174" i="5"/>
  <c r="Z174" i="5"/>
  <c r="Y174" i="5"/>
  <c r="X174" i="5"/>
  <c r="W174" i="5"/>
  <c r="V174" i="5"/>
  <c r="F174" i="5"/>
  <c r="BS173" i="5"/>
  <c r="BQ173" i="5"/>
  <c r="BO173" i="5"/>
  <c r="BM173" i="5"/>
  <c r="BK173" i="5"/>
  <c r="BF173" i="5"/>
  <c r="H173" i="5" s="1"/>
  <c r="BE173" i="5"/>
  <c r="BD173" i="5"/>
  <c r="BC173" i="5"/>
  <c r="BB173" i="5"/>
  <c r="BA173" i="5"/>
  <c r="AZ173" i="5"/>
  <c r="AY173" i="5"/>
  <c r="AX173" i="5"/>
  <c r="AC173" i="5"/>
  <c r="AB173" i="5"/>
  <c r="AA173" i="5"/>
  <c r="Z173" i="5"/>
  <c r="Y173" i="5"/>
  <c r="X173" i="5"/>
  <c r="W173" i="5"/>
  <c r="V173" i="5"/>
  <c r="F173" i="5"/>
  <c r="BS172" i="5"/>
  <c r="BQ172" i="5"/>
  <c r="BO172" i="5"/>
  <c r="BM172" i="5"/>
  <c r="BK172" i="5"/>
  <c r="BF172" i="5"/>
  <c r="H172" i="5" s="1"/>
  <c r="BE172" i="5"/>
  <c r="BD172" i="5"/>
  <c r="BC172" i="5"/>
  <c r="BB172" i="5"/>
  <c r="BA172" i="5"/>
  <c r="AZ172" i="5"/>
  <c r="AY172" i="5"/>
  <c r="AX172" i="5"/>
  <c r="AC172" i="5"/>
  <c r="AB172" i="5"/>
  <c r="AA172" i="5"/>
  <c r="Z172" i="5"/>
  <c r="Y172" i="5"/>
  <c r="X172" i="5"/>
  <c r="W172" i="5"/>
  <c r="V172" i="5"/>
  <c r="F172" i="5"/>
  <c r="BS171" i="5"/>
  <c r="BQ171" i="5"/>
  <c r="BO171" i="5"/>
  <c r="BM171" i="5"/>
  <c r="BK171" i="5"/>
  <c r="BF171" i="5"/>
  <c r="H171" i="5" s="1"/>
  <c r="BE171" i="5"/>
  <c r="BD171" i="5"/>
  <c r="BC171" i="5"/>
  <c r="BB171" i="5"/>
  <c r="BA171" i="5"/>
  <c r="AZ171" i="5"/>
  <c r="AY171" i="5"/>
  <c r="AX171" i="5"/>
  <c r="AC171" i="5"/>
  <c r="AB171" i="5"/>
  <c r="AA171" i="5"/>
  <c r="Z171" i="5"/>
  <c r="Y171" i="5"/>
  <c r="X171" i="5"/>
  <c r="W171" i="5"/>
  <c r="V171" i="5"/>
  <c r="F171" i="5"/>
  <c r="BS170" i="5"/>
  <c r="BQ170" i="5"/>
  <c r="BO170" i="5"/>
  <c r="BM170" i="5"/>
  <c r="BK170" i="5"/>
  <c r="BF170" i="5"/>
  <c r="H170" i="5" s="1"/>
  <c r="BE170" i="5"/>
  <c r="BD170" i="5"/>
  <c r="BC170" i="5"/>
  <c r="BB170" i="5"/>
  <c r="BA170" i="5"/>
  <c r="AZ170" i="5"/>
  <c r="AY170" i="5"/>
  <c r="AX170" i="5"/>
  <c r="AC170" i="5"/>
  <c r="AB170" i="5"/>
  <c r="AA170" i="5"/>
  <c r="Z170" i="5"/>
  <c r="Y170" i="5"/>
  <c r="X170" i="5"/>
  <c r="W170" i="5"/>
  <c r="V170" i="5"/>
  <c r="F170" i="5"/>
  <c r="BS169" i="5"/>
  <c r="BQ169" i="5"/>
  <c r="BO169" i="5"/>
  <c r="BM169" i="5"/>
  <c r="BK169" i="5"/>
  <c r="BF169" i="5"/>
  <c r="H169" i="5" s="1"/>
  <c r="BE169" i="5"/>
  <c r="BD169" i="5"/>
  <c r="BC169" i="5"/>
  <c r="BB169" i="5"/>
  <c r="BA169" i="5"/>
  <c r="AZ169" i="5"/>
  <c r="AY169" i="5"/>
  <c r="AX169" i="5"/>
  <c r="AC169" i="5"/>
  <c r="AB169" i="5"/>
  <c r="AA169" i="5"/>
  <c r="Z169" i="5"/>
  <c r="Y169" i="5"/>
  <c r="X169" i="5"/>
  <c r="W169" i="5"/>
  <c r="V169" i="5"/>
  <c r="F169" i="5"/>
  <c r="BS168" i="5"/>
  <c r="BQ168" i="5"/>
  <c r="BO168" i="5"/>
  <c r="BM168" i="5"/>
  <c r="BK168" i="5"/>
  <c r="BF168" i="5"/>
  <c r="H168" i="5" s="1"/>
  <c r="BE168" i="5"/>
  <c r="BD168" i="5"/>
  <c r="BC168" i="5"/>
  <c r="BB168" i="5"/>
  <c r="BA168" i="5"/>
  <c r="AZ168" i="5"/>
  <c r="AY168" i="5"/>
  <c r="AX168" i="5"/>
  <c r="AC168" i="5"/>
  <c r="AB168" i="5"/>
  <c r="AA168" i="5"/>
  <c r="Z168" i="5"/>
  <c r="Y168" i="5"/>
  <c r="X168" i="5"/>
  <c r="W168" i="5"/>
  <c r="V168" i="5"/>
  <c r="F168" i="5"/>
  <c r="BS167" i="5"/>
  <c r="BQ167" i="5"/>
  <c r="BO167" i="5"/>
  <c r="BM167" i="5"/>
  <c r="BK167" i="5"/>
  <c r="BF167" i="5"/>
  <c r="H167" i="5" s="1"/>
  <c r="BE167" i="5"/>
  <c r="BD167" i="5"/>
  <c r="BC167" i="5"/>
  <c r="BB167" i="5"/>
  <c r="BA167" i="5"/>
  <c r="AZ167" i="5"/>
  <c r="AY167" i="5"/>
  <c r="AX167" i="5"/>
  <c r="AC167" i="5"/>
  <c r="AB167" i="5"/>
  <c r="AA167" i="5"/>
  <c r="Z167" i="5"/>
  <c r="Y167" i="5"/>
  <c r="X167" i="5"/>
  <c r="W167" i="5"/>
  <c r="V167" i="5"/>
  <c r="F167" i="5"/>
  <c r="BS166" i="5"/>
  <c r="BQ166" i="5"/>
  <c r="BO166" i="5"/>
  <c r="BM166" i="5"/>
  <c r="BK166" i="5"/>
  <c r="BF166" i="5"/>
  <c r="H166" i="5" s="1"/>
  <c r="BE166" i="5"/>
  <c r="BD166" i="5"/>
  <c r="BC166" i="5"/>
  <c r="BB166" i="5"/>
  <c r="BA166" i="5"/>
  <c r="AZ166" i="5"/>
  <c r="AY166" i="5"/>
  <c r="AX166" i="5"/>
  <c r="AC166" i="5"/>
  <c r="AB166" i="5"/>
  <c r="AA166" i="5"/>
  <c r="Z166" i="5"/>
  <c r="Y166" i="5"/>
  <c r="X166" i="5"/>
  <c r="W166" i="5"/>
  <c r="V166" i="5"/>
  <c r="F166" i="5"/>
  <c r="BS165" i="5"/>
  <c r="BQ165" i="5"/>
  <c r="BO165" i="5"/>
  <c r="BM165" i="5"/>
  <c r="BK165" i="5"/>
  <c r="BF165" i="5"/>
  <c r="H165" i="5" s="1"/>
  <c r="BE165" i="5"/>
  <c r="BD165" i="5"/>
  <c r="BC165" i="5"/>
  <c r="BB165" i="5"/>
  <c r="BA165" i="5"/>
  <c r="AZ165" i="5"/>
  <c r="AY165" i="5"/>
  <c r="AX165" i="5"/>
  <c r="AC165" i="5"/>
  <c r="AB165" i="5"/>
  <c r="AA165" i="5"/>
  <c r="Z165" i="5"/>
  <c r="Y165" i="5"/>
  <c r="X165" i="5"/>
  <c r="W165" i="5"/>
  <c r="V165" i="5"/>
  <c r="F165" i="5"/>
  <c r="BS164" i="5"/>
  <c r="BQ164" i="5"/>
  <c r="BO164" i="5"/>
  <c r="BM164" i="5"/>
  <c r="BK164" i="5"/>
  <c r="BF164" i="5"/>
  <c r="H164" i="5" s="1"/>
  <c r="BE164" i="5"/>
  <c r="BD164" i="5"/>
  <c r="BC164" i="5"/>
  <c r="BB164" i="5"/>
  <c r="BA164" i="5"/>
  <c r="AZ164" i="5"/>
  <c r="AY164" i="5"/>
  <c r="AX164" i="5"/>
  <c r="AC164" i="5"/>
  <c r="AB164" i="5"/>
  <c r="AA164" i="5"/>
  <c r="Z164" i="5"/>
  <c r="Y164" i="5"/>
  <c r="X164" i="5"/>
  <c r="W164" i="5"/>
  <c r="V164" i="5"/>
  <c r="F164" i="5"/>
  <c r="BS163" i="5"/>
  <c r="BQ163" i="5"/>
  <c r="BO163" i="5"/>
  <c r="BM163" i="5"/>
  <c r="BK163" i="5"/>
  <c r="BF163" i="5"/>
  <c r="H163" i="5" s="1"/>
  <c r="BE163" i="5"/>
  <c r="BD163" i="5"/>
  <c r="BC163" i="5"/>
  <c r="BB163" i="5"/>
  <c r="BA163" i="5"/>
  <c r="AZ163" i="5"/>
  <c r="AY163" i="5"/>
  <c r="AX163" i="5"/>
  <c r="AC163" i="5"/>
  <c r="AB163" i="5"/>
  <c r="AA163" i="5"/>
  <c r="Z163" i="5"/>
  <c r="Y163" i="5"/>
  <c r="X163" i="5"/>
  <c r="W163" i="5"/>
  <c r="V163" i="5"/>
  <c r="F163" i="5"/>
  <c r="BS162" i="5"/>
  <c r="BQ162" i="5"/>
  <c r="BO162" i="5"/>
  <c r="BM162" i="5"/>
  <c r="BK162" i="5"/>
  <c r="BF162" i="5"/>
  <c r="H162" i="5" s="1"/>
  <c r="BE162" i="5"/>
  <c r="BD162" i="5"/>
  <c r="BC162" i="5"/>
  <c r="BB162" i="5"/>
  <c r="BA162" i="5"/>
  <c r="AZ162" i="5"/>
  <c r="AY162" i="5"/>
  <c r="AX162" i="5"/>
  <c r="AC162" i="5"/>
  <c r="AB162" i="5"/>
  <c r="AA162" i="5"/>
  <c r="Z162" i="5"/>
  <c r="Y162" i="5"/>
  <c r="X162" i="5"/>
  <c r="W162" i="5"/>
  <c r="V162" i="5"/>
  <c r="F162" i="5"/>
  <c r="BS161" i="5"/>
  <c r="BQ161" i="5"/>
  <c r="BO161" i="5"/>
  <c r="BM161" i="5"/>
  <c r="BK161" i="5"/>
  <c r="BF161" i="5"/>
  <c r="H161" i="5" s="1"/>
  <c r="BE161" i="5"/>
  <c r="BD161" i="5"/>
  <c r="BC161" i="5"/>
  <c r="BB161" i="5"/>
  <c r="BA161" i="5"/>
  <c r="AZ161" i="5"/>
  <c r="AY161" i="5"/>
  <c r="AX161" i="5"/>
  <c r="AC161" i="5"/>
  <c r="AB161" i="5"/>
  <c r="AA161" i="5"/>
  <c r="Z161" i="5"/>
  <c r="Y161" i="5"/>
  <c r="X161" i="5"/>
  <c r="W161" i="5"/>
  <c r="V161" i="5"/>
  <c r="F161" i="5"/>
  <c r="BS160" i="5"/>
  <c r="BQ160" i="5"/>
  <c r="BO160" i="5"/>
  <c r="BM160" i="5"/>
  <c r="BK160" i="5"/>
  <c r="BF160" i="5"/>
  <c r="H160" i="5" s="1"/>
  <c r="BE160" i="5"/>
  <c r="BD160" i="5"/>
  <c r="BC160" i="5"/>
  <c r="BB160" i="5"/>
  <c r="BA160" i="5"/>
  <c r="AZ160" i="5"/>
  <c r="AY160" i="5"/>
  <c r="AX160" i="5"/>
  <c r="AC160" i="5"/>
  <c r="AB160" i="5"/>
  <c r="AA160" i="5"/>
  <c r="Z160" i="5"/>
  <c r="Y160" i="5"/>
  <c r="X160" i="5"/>
  <c r="W160" i="5"/>
  <c r="V160" i="5"/>
  <c r="F160" i="5"/>
  <c r="BS159" i="5"/>
  <c r="BQ159" i="5"/>
  <c r="BO159" i="5"/>
  <c r="BM159" i="5"/>
  <c r="BK159" i="5"/>
  <c r="BF159" i="5"/>
  <c r="H159" i="5" s="1"/>
  <c r="BE159" i="5"/>
  <c r="BD159" i="5"/>
  <c r="BC159" i="5"/>
  <c r="BB159" i="5"/>
  <c r="BA159" i="5"/>
  <c r="AZ159" i="5"/>
  <c r="AY159" i="5"/>
  <c r="AX159" i="5"/>
  <c r="AC159" i="5"/>
  <c r="AB159" i="5"/>
  <c r="AA159" i="5"/>
  <c r="Z159" i="5"/>
  <c r="Y159" i="5"/>
  <c r="X159" i="5"/>
  <c r="W159" i="5"/>
  <c r="V159" i="5"/>
  <c r="F159" i="5"/>
  <c r="BS158" i="5"/>
  <c r="BQ158" i="5"/>
  <c r="BO158" i="5"/>
  <c r="BM158" i="5"/>
  <c r="BK158" i="5"/>
  <c r="BF158" i="5"/>
  <c r="H158" i="5" s="1"/>
  <c r="BE158" i="5"/>
  <c r="BD158" i="5"/>
  <c r="BC158" i="5"/>
  <c r="BB158" i="5"/>
  <c r="BA158" i="5"/>
  <c r="AZ158" i="5"/>
  <c r="AY158" i="5"/>
  <c r="AX158" i="5"/>
  <c r="AC158" i="5"/>
  <c r="AB158" i="5"/>
  <c r="AA158" i="5"/>
  <c r="Z158" i="5"/>
  <c r="Y158" i="5"/>
  <c r="X158" i="5"/>
  <c r="W158" i="5"/>
  <c r="V158" i="5"/>
  <c r="F158" i="5"/>
  <c r="BS157" i="5"/>
  <c r="BQ157" i="5"/>
  <c r="BO157" i="5"/>
  <c r="BM157" i="5"/>
  <c r="BK157" i="5"/>
  <c r="BF157" i="5"/>
  <c r="H157" i="5" s="1"/>
  <c r="BE157" i="5"/>
  <c r="BD157" i="5"/>
  <c r="BC157" i="5"/>
  <c r="BB157" i="5"/>
  <c r="BA157" i="5"/>
  <c r="AZ157" i="5"/>
  <c r="AY157" i="5"/>
  <c r="AX157" i="5"/>
  <c r="AC157" i="5"/>
  <c r="AB157" i="5"/>
  <c r="AA157" i="5"/>
  <c r="Z157" i="5"/>
  <c r="Y157" i="5"/>
  <c r="X157" i="5"/>
  <c r="W157" i="5"/>
  <c r="V157" i="5"/>
  <c r="F157" i="5"/>
  <c r="BS156" i="5"/>
  <c r="BQ156" i="5"/>
  <c r="BO156" i="5"/>
  <c r="BM156" i="5"/>
  <c r="BK156" i="5"/>
  <c r="BF156" i="5"/>
  <c r="H156" i="5" s="1"/>
  <c r="BE156" i="5"/>
  <c r="BD156" i="5"/>
  <c r="BC156" i="5"/>
  <c r="BB156" i="5"/>
  <c r="BA156" i="5"/>
  <c r="AZ156" i="5"/>
  <c r="AY156" i="5"/>
  <c r="AX156" i="5"/>
  <c r="AC156" i="5"/>
  <c r="AB156" i="5"/>
  <c r="AA156" i="5"/>
  <c r="Z156" i="5"/>
  <c r="Y156" i="5"/>
  <c r="X156" i="5"/>
  <c r="W156" i="5"/>
  <c r="V156" i="5"/>
  <c r="F156" i="5"/>
  <c r="BS155" i="5"/>
  <c r="BQ155" i="5"/>
  <c r="BO155" i="5"/>
  <c r="BM155" i="5"/>
  <c r="BK155" i="5"/>
  <c r="BF155" i="5"/>
  <c r="H155" i="5" s="1"/>
  <c r="BE155" i="5"/>
  <c r="BD155" i="5"/>
  <c r="BC155" i="5"/>
  <c r="BB155" i="5"/>
  <c r="BA155" i="5"/>
  <c r="AZ155" i="5"/>
  <c r="AY155" i="5"/>
  <c r="AX155" i="5"/>
  <c r="AC155" i="5"/>
  <c r="AB155" i="5"/>
  <c r="AA155" i="5"/>
  <c r="Z155" i="5"/>
  <c r="Y155" i="5"/>
  <c r="X155" i="5"/>
  <c r="W155" i="5"/>
  <c r="V155" i="5"/>
  <c r="F155" i="5"/>
  <c r="BS154" i="5"/>
  <c r="BQ154" i="5"/>
  <c r="BO154" i="5"/>
  <c r="BM154" i="5"/>
  <c r="BK154" i="5"/>
  <c r="BF154" i="5"/>
  <c r="H154" i="5" s="1"/>
  <c r="BE154" i="5"/>
  <c r="BD154" i="5"/>
  <c r="BC154" i="5"/>
  <c r="BB154" i="5"/>
  <c r="BA154" i="5"/>
  <c r="AZ154" i="5"/>
  <c r="AY154" i="5"/>
  <c r="AX154" i="5"/>
  <c r="AC154" i="5"/>
  <c r="AB154" i="5"/>
  <c r="AA154" i="5"/>
  <c r="Z154" i="5"/>
  <c r="Y154" i="5"/>
  <c r="X154" i="5"/>
  <c r="W154" i="5"/>
  <c r="V154" i="5"/>
  <c r="F154" i="5"/>
  <c r="BS153" i="5"/>
  <c r="BQ153" i="5"/>
  <c r="BO153" i="5"/>
  <c r="BM153" i="5"/>
  <c r="BK153" i="5"/>
  <c r="BF153" i="5"/>
  <c r="H153" i="5" s="1"/>
  <c r="BE153" i="5"/>
  <c r="BD153" i="5"/>
  <c r="BC153" i="5"/>
  <c r="BB153" i="5"/>
  <c r="BA153" i="5"/>
  <c r="AZ153" i="5"/>
  <c r="AY153" i="5"/>
  <c r="AX153" i="5"/>
  <c r="AC153" i="5"/>
  <c r="AB153" i="5"/>
  <c r="AA153" i="5"/>
  <c r="Z153" i="5"/>
  <c r="Y153" i="5"/>
  <c r="X153" i="5"/>
  <c r="W153" i="5"/>
  <c r="V153" i="5"/>
  <c r="F153" i="5"/>
  <c r="BS152" i="5"/>
  <c r="BQ152" i="5"/>
  <c r="BO152" i="5"/>
  <c r="BM152" i="5"/>
  <c r="BK152" i="5"/>
  <c r="BF152" i="5"/>
  <c r="H152" i="5" s="1"/>
  <c r="BE152" i="5"/>
  <c r="BD152" i="5"/>
  <c r="BC152" i="5"/>
  <c r="BB152" i="5"/>
  <c r="BA152" i="5"/>
  <c r="AZ152" i="5"/>
  <c r="AY152" i="5"/>
  <c r="AX152" i="5"/>
  <c r="AC152" i="5"/>
  <c r="AB152" i="5"/>
  <c r="AA152" i="5"/>
  <c r="Z152" i="5"/>
  <c r="Y152" i="5"/>
  <c r="X152" i="5"/>
  <c r="W152" i="5"/>
  <c r="V152" i="5"/>
  <c r="F152" i="5"/>
  <c r="BS151" i="5"/>
  <c r="BQ151" i="5"/>
  <c r="BO151" i="5"/>
  <c r="BM151" i="5"/>
  <c r="BK151" i="5"/>
  <c r="BF151" i="5"/>
  <c r="H151" i="5" s="1"/>
  <c r="BE151" i="5"/>
  <c r="BD151" i="5"/>
  <c r="BC151" i="5"/>
  <c r="BB151" i="5"/>
  <c r="BA151" i="5"/>
  <c r="AZ151" i="5"/>
  <c r="AY151" i="5"/>
  <c r="AX151" i="5"/>
  <c r="AC151" i="5"/>
  <c r="AB151" i="5"/>
  <c r="AA151" i="5"/>
  <c r="Z151" i="5"/>
  <c r="Y151" i="5"/>
  <c r="X151" i="5"/>
  <c r="W151" i="5"/>
  <c r="V151" i="5"/>
  <c r="F151" i="5"/>
  <c r="BS150" i="5"/>
  <c r="BQ150" i="5"/>
  <c r="BO150" i="5"/>
  <c r="BM150" i="5"/>
  <c r="BK150" i="5"/>
  <c r="BF150" i="5"/>
  <c r="H150" i="5" s="1"/>
  <c r="BE150" i="5"/>
  <c r="BD150" i="5"/>
  <c r="BC150" i="5"/>
  <c r="BB150" i="5"/>
  <c r="BA150" i="5"/>
  <c r="AZ150" i="5"/>
  <c r="AY150" i="5"/>
  <c r="AX150" i="5"/>
  <c r="AC150" i="5"/>
  <c r="AB150" i="5"/>
  <c r="AA150" i="5"/>
  <c r="Z150" i="5"/>
  <c r="Y150" i="5"/>
  <c r="X150" i="5"/>
  <c r="W150" i="5"/>
  <c r="V150" i="5"/>
  <c r="F150" i="5"/>
  <c r="BS149" i="5"/>
  <c r="BQ149" i="5"/>
  <c r="BO149" i="5"/>
  <c r="BM149" i="5"/>
  <c r="BK149" i="5"/>
  <c r="BF149" i="5"/>
  <c r="H149" i="5" s="1"/>
  <c r="BE149" i="5"/>
  <c r="BD149" i="5"/>
  <c r="BC149" i="5"/>
  <c r="BB149" i="5"/>
  <c r="BA149" i="5"/>
  <c r="AZ149" i="5"/>
  <c r="AY149" i="5"/>
  <c r="AX149" i="5"/>
  <c r="AC149" i="5"/>
  <c r="AB149" i="5"/>
  <c r="AA149" i="5"/>
  <c r="Z149" i="5"/>
  <c r="Y149" i="5"/>
  <c r="X149" i="5"/>
  <c r="W149" i="5"/>
  <c r="V149" i="5"/>
  <c r="F149" i="5"/>
  <c r="BS148" i="5"/>
  <c r="BQ148" i="5"/>
  <c r="BO148" i="5"/>
  <c r="BM148" i="5"/>
  <c r="BK148" i="5"/>
  <c r="BF148" i="5"/>
  <c r="H148" i="5" s="1"/>
  <c r="BE148" i="5"/>
  <c r="BD148" i="5"/>
  <c r="BC148" i="5"/>
  <c r="BB148" i="5"/>
  <c r="BA148" i="5"/>
  <c r="AZ148" i="5"/>
  <c r="AY148" i="5"/>
  <c r="AX148" i="5"/>
  <c r="AC148" i="5"/>
  <c r="AB148" i="5"/>
  <c r="AA148" i="5"/>
  <c r="Z148" i="5"/>
  <c r="Y148" i="5"/>
  <c r="X148" i="5"/>
  <c r="W148" i="5"/>
  <c r="V148" i="5"/>
  <c r="F148" i="5"/>
  <c r="BS147" i="5"/>
  <c r="BQ147" i="5"/>
  <c r="BO147" i="5"/>
  <c r="BM147" i="5"/>
  <c r="BK147" i="5"/>
  <c r="BF147" i="5"/>
  <c r="H147" i="5" s="1"/>
  <c r="BE147" i="5"/>
  <c r="BD147" i="5"/>
  <c r="BC147" i="5"/>
  <c r="BB147" i="5"/>
  <c r="BA147" i="5"/>
  <c r="AZ147" i="5"/>
  <c r="AY147" i="5"/>
  <c r="AX147" i="5"/>
  <c r="AC147" i="5"/>
  <c r="AB147" i="5"/>
  <c r="AA147" i="5"/>
  <c r="Z147" i="5"/>
  <c r="Y147" i="5"/>
  <c r="X147" i="5"/>
  <c r="W147" i="5"/>
  <c r="V147" i="5"/>
  <c r="F147" i="5"/>
  <c r="BS146" i="5"/>
  <c r="BQ146" i="5"/>
  <c r="BO146" i="5"/>
  <c r="BM146" i="5"/>
  <c r="BK146" i="5"/>
  <c r="BF146" i="5"/>
  <c r="H146" i="5" s="1"/>
  <c r="BE146" i="5"/>
  <c r="BD146" i="5"/>
  <c r="BC146" i="5"/>
  <c r="BB146" i="5"/>
  <c r="BA146" i="5"/>
  <c r="AZ146" i="5"/>
  <c r="AY146" i="5"/>
  <c r="AX146" i="5"/>
  <c r="AC146" i="5"/>
  <c r="AB146" i="5"/>
  <c r="AA146" i="5"/>
  <c r="Z146" i="5"/>
  <c r="Y146" i="5"/>
  <c r="X146" i="5"/>
  <c r="W146" i="5"/>
  <c r="V146" i="5"/>
  <c r="F146" i="5"/>
  <c r="BS145" i="5"/>
  <c r="BQ145" i="5"/>
  <c r="BO145" i="5"/>
  <c r="BM145" i="5"/>
  <c r="BK145" i="5"/>
  <c r="BF145" i="5"/>
  <c r="H145" i="5" s="1"/>
  <c r="BE145" i="5"/>
  <c r="BD145" i="5"/>
  <c r="BC145" i="5"/>
  <c r="BB145" i="5"/>
  <c r="BA145" i="5"/>
  <c r="AZ145" i="5"/>
  <c r="AY145" i="5"/>
  <c r="AX145" i="5"/>
  <c r="AC145" i="5"/>
  <c r="AB145" i="5"/>
  <c r="AA145" i="5"/>
  <c r="Z145" i="5"/>
  <c r="Y145" i="5"/>
  <c r="X145" i="5"/>
  <c r="W145" i="5"/>
  <c r="V145" i="5"/>
  <c r="F145" i="5"/>
  <c r="BS144" i="5"/>
  <c r="BQ144" i="5"/>
  <c r="BO144" i="5"/>
  <c r="BM144" i="5"/>
  <c r="BK144" i="5"/>
  <c r="BF144" i="5"/>
  <c r="H144" i="5" s="1"/>
  <c r="BE144" i="5"/>
  <c r="BD144" i="5"/>
  <c r="BC144" i="5"/>
  <c r="BB144" i="5"/>
  <c r="BA144" i="5"/>
  <c r="AZ144" i="5"/>
  <c r="AY144" i="5"/>
  <c r="AX144" i="5"/>
  <c r="AC144" i="5"/>
  <c r="AB144" i="5"/>
  <c r="AA144" i="5"/>
  <c r="Z144" i="5"/>
  <c r="Y144" i="5"/>
  <c r="X144" i="5"/>
  <c r="W144" i="5"/>
  <c r="V144" i="5"/>
  <c r="F144" i="5"/>
  <c r="BS143" i="5"/>
  <c r="BQ143" i="5"/>
  <c r="BO143" i="5"/>
  <c r="BM143" i="5"/>
  <c r="BK143" i="5"/>
  <c r="BF143" i="5"/>
  <c r="H143" i="5" s="1"/>
  <c r="BE143" i="5"/>
  <c r="BD143" i="5"/>
  <c r="BC143" i="5"/>
  <c r="BB143" i="5"/>
  <c r="BA143" i="5"/>
  <c r="AZ143" i="5"/>
  <c r="AY143" i="5"/>
  <c r="AX143" i="5"/>
  <c r="AC143" i="5"/>
  <c r="AB143" i="5"/>
  <c r="AA143" i="5"/>
  <c r="Z143" i="5"/>
  <c r="Y143" i="5"/>
  <c r="X143" i="5"/>
  <c r="W143" i="5"/>
  <c r="V143" i="5"/>
  <c r="F143" i="5"/>
  <c r="BS142" i="5"/>
  <c r="BQ142" i="5"/>
  <c r="BO142" i="5"/>
  <c r="BM142" i="5"/>
  <c r="BK142" i="5"/>
  <c r="BF142" i="5"/>
  <c r="H142" i="5" s="1"/>
  <c r="BE142" i="5"/>
  <c r="BD142" i="5"/>
  <c r="BC142" i="5"/>
  <c r="BB142" i="5"/>
  <c r="BA142" i="5"/>
  <c r="AZ142" i="5"/>
  <c r="AY142" i="5"/>
  <c r="AX142" i="5"/>
  <c r="AC142" i="5"/>
  <c r="AB142" i="5"/>
  <c r="AA142" i="5"/>
  <c r="Z142" i="5"/>
  <c r="Y142" i="5"/>
  <c r="X142" i="5"/>
  <c r="W142" i="5"/>
  <c r="V142" i="5"/>
  <c r="F142" i="5"/>
  <c r="BS141" i="5"/>
  <c r="BQ141" i="5"/>
  <c r="BO141" i="5"/>
  <c r="BM141" i="5"/>
  <c r="BK141" i="5"/>
  <c r="BF141" i="5"/>
  <c r="H141" i="5" s="1"/>
  <c r="BE141" i="5"/>
  <c r="BD141" i="5"/>
  <c r="BC141" i="5"/>
  <c r="BB141" i="5"/>
  <c r="BA141" i="5"/>
  <c r="AZ141" i="5"/>
  <c r="AY141" i="5"/>
  <c r="AX141" i="5"/>
  <c r="AC141" i="5"/>
  <c r="AB141" i="5"/>
  <c r="AA141" i="5"/>
  <c r="Z141" i="5"/>
  <c r="Y141" i="5"/>
  <c r="X141" i="5"/>
  <c r="W141" i="5"/>
  <c r="V141" i="5"/>
  <c r="F141" i="5"/>
  <c r="BS140" i="5"/>
  <c r="BQ140" i="5"/>
  <c r="BO140" i="5"/>
  <c r="BM140" i="5"/>
  <c r="BK140" i="5"/>
  <c r="BF140" i="5"/>
  <c r="H140" i="5" s="1"/>
  <c r="BE140" i="5"/>
  <c r="BD140" i="5"/>
  <c r="BC140" i="5"/>
  <c r="BB140" i="5"/>
  <c r="BA140" i="5"/>
  <c r="AZ140" i="5"/>
  <c r="AY140" i="5"/>
  <c r="AX140" i="5"/>
  <c r="AC140" i="5"/>
  <c r="AB140" i="5"/>
  <c r="J10" i="2" s="1"/>
  <c r="AA140" i="5"/>
  <c r="Z140" i="5"/>
  <c r="H10" i="2" s="1"/>
  <c r="Y140" i="5"/>
  <c r="G10" i="2" s="1"/>
  <c r="X140" i="5"/>
  <c r="F10" i="2" s="1"/>
  <c r="W140" i="5"/>
  <c r="V140" i="5"/>
  <c r="D10" i="2" s="1"/>
  <c r="F140" i="5"/>
  <c r="BS139" i="5"/>
  <c r="BQ139" i="5"/>
  <c r="BO139" i="5"/>
  <c r="BM139" i="5"/>
  <c r="BK139" i="5"/>
  <c r="BF139" i="5"/>
  <c r="H139" i="5" s="1"/>
  <c r="BE139" i="5"/>
  <c r="BD139" i="5"/>
  <c r="BC139" i="5"/>
  <c r="BB139" i="5"/>
  <c r="BA139" i="5"/>
  <c r="AZ139" i="5"/>
  <c r="AY139" i="5"/>
  <c r="AX139" i="5"/>
  <c r="AC139" i="5"/>
  <c r="AB139" i="5"/>
  <c r="AA139" i="5"/>
  <c r="Z139" i="5"/>
  <c r="Y139" i="5"/>
  <c r="X139" i="5"/>
  <c r="W139" i="5"/>
  <c r="V139" i="5"/>
  <c r="F139" i="5"/>
  <c r="BS138" i="5"/>
  <c r="BQ138" i="5"/>
  <c r="BO138" i="5"/>
  <c r="BM138" i="5"/>
  <c r="BK138" i="5"/>
  <c r="BF138" i="5"/>
  <c r="H138" i="5" s="1"/>
  <c r="BE138" i="5"/>
  <c r="BD138" i="5"/>
  <c r="BC138" i="5"/>
  <c r="BB138" i="5"/>
  <c r="BA138" i="5"/>
  <c r="AZ138" i="5"/>
  <c r="AY138" i="5"/>
  <c r="AX138" i="5"/>
  <c r="AC138" i="5"/>
  <c r="AB138" i="5"/>
  <c r="AA138" i="5"/>
  <c r="Z138" i="5"/>
  <c r="Y138" i="5"/>
  <c r="X138" i="5"/>
  <c r="W138" i="5"/>
  <c r="V138" i="5"/>
  <c r="F138" i="5"/>
  <c r="BS137" i="5"/>
  <c r="BQ137" i="5"/>
  <c r="BO137" i="5"/>
  <c r="BM137" i="5"/>
  <c r="BK137" i="5"/>
  <c r="BF137" i="5"/>
  <c r="H137" i="5" s="1"/>
  <c r="BE137" i="5"/>
  <c r="BD137" i="5"/>
  <c r="BC137" i="5"/>
  <c r="BB137" i="5"/>
  <c r="BA137" i="5"/>
  <c r="AZ137" i="5"/>
  <c r="AY137" i="5"/>
  <c r="AX137" i="5"/>
  <c r="AC137" i="5"/>
  <c r="AB137" i="5"/>
  <c r="AA137" i="5"/>
  <c r="Z137" i="5"/>
  <c r="Y137" i="5"/>
  <c r="X137" i="5"/>
  <c r="W137" i="5"/>
  <c r="V137" i="5"/>
  <c r="F137" i="5"/>
  <c r="BS136" i="5"/>
  <c r="BQ136" i="5"/>
  <c r="BO136" i="5"/>
  <c r="BM136" i="5"/>
  <c r="BK136" i="5"/>
  <c r="BF136" i="5"/>
  <c r="H136" i="5" s="1"/>
  <c r="BE136" i="5"/>
  <c r="BD136" i="5"/>
  <c r="BC136" i="5"/>
  <c r="BB136" i="5"/>
  <c r="BA136" i="5"/>
  <c r="AZ136" i="5"/>
  <c r="AY136" i="5"/>
  <c r="AX136" i="5"/>
  <c r="AC136" i="5"/>
  <c r="AB136" i="5"/>
  <c r="AA136" i="5"/>
  <c r="Z136" i="5"/>
  <c r="Y136" i="5"/>
  <c r="X136" i="5"/>
  <c r="W136" i="5"/>
  <c r="V136" i="5"/>
  <c r="F136" i="5"/>
  <c r="BS135" i="5"/>
  <c r="BQ135" i="5"/>
  <c r="BO135" i="5"/>
  <c r="BM135" i="5"/>
  <c r="BK135" i="5"/>
  <c r="BF135" i="5"/>
  <c r="H135" i="5" s="1"/>
  <c r="BE135" i="5"/>
  <c r="BD135" i="5"/>
  <c r="BC135" i="5"/>
  <c r="BB135" i="5"/>
  <c r="BA135" i="5"/>
  <c r="AZ135" i="5"/>
  <c r="AY135" i="5"/>
  <c r="AX135" i="5"/>
  <c r="AC135" i="5"/>
  <c r="AB135" i="5"/>
  <c r="AA135" i="5"/>
  <c r="Z135" i="5"/>
  <c r="Y135" i="5"/>
  <c r="X135" i="5"/>
  <c r="W135" i="5"/>
  <c r="V135" i="5"/>
  <c r="F135" i="5"/>
  <c r="BS134" i="5"/>
  <c r="BQ134" i="5"/>
  <c r="BO134" i="5"/>
  <c r="BM134" i="5"/>
  <c r="BK134" i="5"/>
  <c r="BF134" i="5"/>
  <c r="H134" i="5" s="1"/>
  <c r="BE134" i="5"/>
  <c r="BD134" i="5"/>
  <c r="BC134" i="5"/>
  <c r="BB134" i="5"/>
  <c r="BA134" i="5"/>
  <c r="AZ134" i="5"/>
  <c r="AY134" i="5"/>
  <c r="AX134" i="5"/>
  <c r="AC134" i="5"/>
  <c r="AB134" i="5"/>
  <c r="AA134" i="5"/>
  <c r="Z134" i="5"/>
  <c r="Y134" i="5"/>
  <c r="X134" i="5"/>
  <c r="W134" i="5"/>
  <c r="V134" i="5"/>
  <c r="F134" i="5"/>
  <c r="BS133" i="5"/>
  <c r="BQ133" i="5"/>
  <c r="BO133" i="5"/>
  <c r="BM133" i="5"/>
  <c r="BK133" i="5"/>
  <c r="BF133" i="5"/>
  <c r="H133" i="5" s="1"/>
  <c r="BE133" i="5"/>
  <c r="BD133" i="5"/>
  <c r="BC133" i="5"/>
  <c r="BB133" i="5"/>
  <c r="BA133" i="5"/>
  <c r="AZ133" i="5"/>
  <c r="AY133" i="5"/>
  <c r="AX133" i="5"/>
  <c r="AC133" i="5"/>
  <c r="AB133" i="5"/>
  <c r="AA133" i="5"/>
  <c r="Z133" i="5"/>
  <c r="Y133" i="5"/>
  <c r="X133" i="5"/>
  <c r="W133" i="5"/>
  <c r="V133" i="5"/>
  <c r="F133" i="5"/>
  <c r="BS132" i="5"/>
  <c r="BQ132" i="5"/>
  <c r="BO132" i="5"/>
  <c r="BM132" i="5"/>
  <c r="BK132" i="5"/>
  <c r="BF132" i="5"/>
  <c r="H132" i="5" s="1"/>
  <c r="BE132" i="5"/>
  <c r="BD132" i="5"/>
  <c r="BC132" i="5"/>
  <c r="BB132" i="5"/>
  <c r="BA132" i="5"/>
  <c r="AZ132" i="5"/>
  <c r="AY132" i="5"/>
  <c r="AX132" i="5"/>
  <c r="AC132" i="5"/>
  <c r="AB132" i="5"/>
  <c r="AA132" i="5"/>
  <c r="Z132" i="5"/>
  <c r="Y132" i="5"/>
  <c r="X132" i="5"/>
  <c r="W132" i="5"/>
  <c r="V132" i="5"/>
  <c r="F132" i="5"/>
  <c r="BS131" i="5"/>
  <c r="BQ131" i="5"/>
  <c r="BO131" i="5"/>
  <c r="BM131" i="5"/>
  <c r="BK131" i="5"/>
  <c r="BF131" i="5"/>
  <c r="H131" i="5" s="1"/>
  <c r="BE131" i="5"/>
  <c r="BD131" i="5"/>
  <c r="BC131" i="5"/>
  <c r="BB131" i="5"/>
  <c r="BA131" i="5"/>
  <c r="AZ131" i="5"/>
  <c r="AY131" i="5"/>
  <c r="AX131" i="5"/>
  <c r="AC131" i="5"/>
  <c r="AB131" i="5"/>
  <c r="AA131" i="5"/>
  <c r="Z131" i="5"/>
  <c r="Y131" i="5"/>
  <c r="X131" i="5"/>
  <c r="W131" i="5"/>
  <c r="V131" i="5"/>
  <c r="F131" i="5"/>
  <c r="BS130" i="5"/>
  <c r="BQ130" i="5"/>
  <c r="BO130" i="5"/>
  <c r="BM130" i="5"/>
  <c r="BK130" i="5"/>
  <c r="BF130" i="5"/>
  <c r="H130" i="5" s="1"/>
  <c r="BE130" i="5"/>
  <c r="BD130" i="5"/>
  <c r="BC130" i="5"/>
  <c r="BB130" i="5"/>
  <c r="BA130" i="5"/>
  <c r="AZ130" i="5"/>
  <c r="AY130" i="5"/>
  <c r="AX130" i="5"/>
  <c r="AC130" i="5"/>
  <c r="AB130" i="5"/>
  <c r="AA130" i="5"/>
  <c r="Z130" i="5"/>
  <c r="Y130" i="5"/>
  <c r="X130" i="5"/>
  <c r="W130" i="5"/>
  <c r="V130" i="5"/>
  <c r="F130" i="5"/>
  <c r="BS129" i="5"/>
  <c r="BQ129" i="5"/>
  <c r="BO129" i="5"/>
  <c r="BM129" i="5"/>
  <c r="BK129" i="5"/>
  <c r="BF129" i="5"/>
  <c r="H129" i="5" s="1"/>
  <c r="BE129" i="5"/>
  <c r="BD129" i="5"/>
  <c r="BC129" i="5"/>
  <c r="BB129" i="5"/>
  <c r="BA129" i="5"/>
  <c r="AZ129" i="5"/>
  <c r="AY129" i="5"/>
  <c r="AX129" i="5"/>
  <c r="AC129" i="5"/>
  <c r="AB129" i="5"/>
  <c r="AA129" i="5"/>
  <c r="Z129" i="5"/>
  <c r="Y129" i="5"/>
  <c r="X129" i="5"/>
  <c r="W129" i="5"/>
  <c r="V129" i="5"/>
  <c r="F129" i="5"/>
  <c r="BS128" i="5"/>
  <c r="BQ128" i="5"/>
  <c r="BO128" i="5"/>
  <c r="BM128" i="5"/>
  <c r="BK128" i="5"/>
  <c r="BF128" i="5"/>
  <c r="H128" i="5" s="1"/>
  <c r="BE128" i="5"/>
  <c r="BD128" i="5"/>
  <c r="BC128" i="5"/>
  <c r="BB128" i="5"/>
  <c r="BA128" i="5"/>
  <c r="AZ128" i="5"/>
  <c r="AY128" i="5"/>
  <c r="AX128" i="5"/>
  <c r="AC128" i="5"/>
  <c r="AB128" i="5"/>
  <c r="AA128" i="5"/>
  <c r="Z128" i="5"/>
  <c r="Y128" i="5"/>
  <c r="X128" i="5"/>
  <c r="W128" i="5"/>
  <c r="V128" i="5"/>
  <c r="F128" i="5"/>
  <c r="BS127" i="5"/>
  <c r="BQ127" i="5"/>
  <c r="BO127" i="5"/>
  <c r="BM127" i="5"/>
  <c r="BK127" i="5"/>
  <c r="BF127" i="5"/>
  <c r="H127" i="5" s="1"/>
  <c r="BE127" i="5"/>
  <c r="BD127" i="5"/>
  <c r="BC127" i="5"/>
  <c r="BB127" i="5"/>
  <c r="BA127" i="5"/>
  <c r="AZ127" i="5"/>
  <c r="AY127" i="5"/>
  <c r="AX127" i="5"/>
  <c r="AC127" i="5"/>
  <c r="AB127" i="5"/>
  <c r="AA127" i="5"/>
  <c r="Z127" i="5"/>
  <c r="Y127" i="5"/>
  <c r="X127" i="5"/>
  <c r="W127" i="5"/>
  <c r="V127" i="5"/>
  <c r="F127" i="5"/>
  <c r="BS126" i="5"/>
  <c r="BQ126" i="5"/>
  <c r="BO126" i="5"/>
  <c r="BM126" i="5"/>
  <c r="BK126" i="5"/>
  <c r="BF126" i="5"/>
  <c r="H126" i="5" s="1"/>
  <c r="BE126" i="5"/>
  <c r="BD126" i="5"/>
  <c r="BC126" i="5"/>
  <c r="BB126" i="5"/>
  <c r="BA126" i="5"/>
  <c r="AZ126" i="5"/>
  <c r="AY126" i="5"/>
  <c r="AX126" i="5"/>
  <c r="AC126" i="5"/>
  <c r="AB126" i="5"/>
  <c r="AA126" i="5"/>
  <c r="Z126" i="5"/>
  <c r="Y126" i="5"/>
  <c r="X126" i="5"/>
  <c r="W126" i="5"/>
  <c r="V126" i="5"/>
  <c r="F126" i="5"/>
  <c r="BS125" i="5"/>
  <c r="BQ125" i="5"/>
  <c r="BO125" i="5"/>
  <c r="BM125" i="5"/>
  <c r="BK125" i="5"/>
  <c r="BF125" i="5"/>
  <c r="H125" i="5" s="1"/>
  <c r="BE125" i="5"/>
  <c r="BD125" i="5"/>
  <c r="BC125" i="5"/>
  <c r="BB125" i="5"/>
  <c r="BA125" i="5"/>
  <c r="AZ125" i="5"/>
  <c r="AY125" i="5"/>
  <c r="AX125" i="5"/>
  <c r="AC125" i="5"/>
  <c r="AB125" i="5"/>
  <c r="AA125" i="5"/>
  <c r="Z125" i="5"/>
  <c r="Y125" i="5"/>
  <c r="X125" i="5"/>
  <c r="W125" i="5"/>
  <c r="V125" i="5"/>
  <c r="F125" i="5"/>
  <c r="BS124" i="5"/>
  <c r="BQ124" i="5"/>
  <c r="BO124" i="5"/>
  <c r="BM124" i="5"/>
  <c r="BK124" i="5"/>
  <c r="BF124" i="5"/>
  <c r="H124" i="5" s="1"/>
  <c r="BE124" i="5"/>
  <c r="BD124" i="5"/>
  <c r="BC124" i="5"/>
  <c r="BB124" i="5"/>
  <c r="BA124" i="5"/>
  <c r="AZ124" i="5"/>
  <c r="AY124" i="5"/>
  <c r="AX124" i="5"/>
  <c r="AC124" i="5"/>
  <c r="AB124" i="5"/>
  <c r="AA124" i="5"/>
  <c r="Z124" i="5"/>
  <c r="Y124" i="5"/>
  <c r="X124" i="5"/>
  <c r="W124" i="5"/>
  <c r="V124" i="5"/>
  <c r="F124" i="5"/>
  <c r="BS123" i="5"/>
  <c r="BQ123" i="5"/>
  <c r="BO123" i="5"/>
  <c r="BM123" i="5"/>
  <c r="BK123" i="5"/>
  <c r="BF123" i="5"/>
  <c r="H123" i="5" s="1"/>
  <c r="BE123" i="5"/>
  <c r="BD123" i="5"/>
  <c r="BC123" i="5"/>
  <c r="BB123" i="5"/>
  <c r="BA123" i="5"/>
  <c r="AZ123" i="5"/>
  <c r="AY123" i="5"/>
  <c r="AX123" i="5"/>
  <c r="AC123" i="5"/>
  <c r="AB123" i="5"/>
  <c r="AA123" i="5"/>
  <c r="Z123" i="5"/>
  <c r="Y123" i="5"/>
  <c r="X123" i="5"/>
  <c r="W123" i="5"/>
  <c r="V123" i="5"/>
  <c r="F123" i="5"/>
  <c r="BS122" i="5"/>
  <c r="BQ122" i="5"/>
  <c r="BO122" i="5"/>
  <c r="BM122" i="5"/>
  <c r="BK122" i="5"/>
  <c r="BF122" i="5"/>
  <c r="H122" i="5" s="1"/>
  <c r="BE122" i="5"/>
  <c r="BD122" i="5"/>
  <c r="BC122" i="5"/>
  <c r="BB122" i="5"/>
  <c r="BA122" i="5"/>
  <c r="AZ122" i="5"/>
  <c r="AY122" i="5"/>
  <c r="AX122" i="5"/>
  <c r="AC122" i="5"/>
  <c r="AB122" i="5"/>
  <c r="AA122" i="5"/>
  <c r="Z122" i="5"/>
  <c r="Y122" i="5"/>
  <c r="X122" i="5"/>
  <c r="W122" i="5"/>
  <c r="V122" i="5"/>
  <c r="F122" i="5"/>
  <c r="BS121" i="5"/>
  <c r="BQ121" i="5"/>
  <c r="BO121" i="5"/>
  <c r="BM121" i="5"/>
  <c r="BK121" i="5"/>
  <c r="BF121" i="5"/>
  <c r="H121" i="5" s="1"/>
  <c r="BE121" i="5"/>
  <c r="BD121" i="5"/>
  <c r="BC121" i="5"/>
  <c r="BB121" i="5"/>
  <c r="BA121" i="5"/>
  <c r="AZ121" i="5"/>
  <c r="AY121" i="5"/>
  <c r="AX121" i="5"/>
  <c r="AC121" i="5"/>
  <c r="AB121" i="5"/>
  <c r="AA121" i="5"/>
  <c r="Z121" i="5"/>
  <c r="Y121" i="5"/>
  <c r="X121" i="5"/>
  <c r="W121" i="5"/>
  <c r="V121" i="5"/>
  <c r="F121" i="5"/>
  <c r="BS120" i="5"/>
  <c r="BQ120" i="5"/>
  <c r="BO120" i="5"/>
  <c r="BM120" i="5"/>
  <c r="BK120" i="5"/>
  <c r="BF120" i="5"/>
  <c r="H120" i="5" s="1"/>
  <c r="BE120" i="5"/>
  <c r="BD120" i="5"/>
  <c r="BC120" i="5"/>
  <c r="BB120" i="5"/>
  <c r="BA120" i="5"/>
  <c r="AZ120" i="5"/>
  <c r="AY120" i="5"/>
  <c r="AX120" i="5"/>
  <c r="AC120" i="5"/>
  <c r="AB120" i="5"/>
  <c r="AA120" i="5"/>
  <c r="Z120" i="5"/>
  <c r="Y120" i="5"/>
  <c r="X120" i="5"/>
  <c r="W120" i="5"/>
  <c r="V120" i="5"/>
  <c r="F120" i="5"/>
  <c r="BS119" i="5"/>
  <c r="BQ119" i="5"/>
  <c r="BO119" i="5"/>
  <c r="BM119" i="5"/>
  <c r="BK119" i="5"/>
  <c r="BF119" i="5"/>
  <c r="H119" i="5" s="1"/>
  <c r="BE119" i="5"/>
  <c r="BD119" i="5"/>
  <c r="BC119" i="5"/>
  <c r="BB119" i="5"/>
  <c r="BA119" i="5"/>
  <c r="AZ119" i="5"/>
  <c r="AY119" i="5"/>
  <c r="AX119" i="5"/>
  <c r="AC119" i="5"/>
  <c r="AB119" i="5"/>
  <c r="AA119" i="5"/>
  <c r="Z119" i="5"/>
  <c r="Y119" i="5"/>
  <c r="X119" i="5"/>
  <c r="W119" i="5"/>
  <c r="V119" i="5"/>
  <c r="F119" i="5"/>
  <c r="BS118" i="5"/>
  <c r="BQ118" i="5"/>
  <c r="BO118" i="5"/>
  <c r="BM118" i="5"/>
  <c r="BK118" i="5"/>
  <c r="BF118" i="5"/>
  <c r="H118" i="5" s="1"/>
  <c r="BE118" i="5"/>
  <c r="BD118" i="5"/>
  <c r="BC118" i="5"/>
  <c r="BB118" i="5"/>
  <c r="BA118" i="5"/>
  <c r="AZ118" i="5"/>
  <c r="AY118" i="5"/>
  <c r="AX118" i="5"/>
  <c r="AC118" i="5"/>
  <c r="AB118" i="5"/>
  <c r="AA118" i="5"/>
  <c r="Z118" i="5"/>
  <c r="Y118" i="5"/>
  <c r="X118" i="5"/>
  <c r="W118" i="5"/>
  <c r="V118" i="5"/>
  <c r="F118" i="5"/>
  <c r="BS117" i="5"/>
  <c r="BQ117" i="5"/>
  <c r="BO117" i="5"/>
  <c r="BM117" i="5"/>
  <c r="BK117" i="5"/>
  <c r="BF117" i="5"/>
  <c r="H117" i="5" s="1"/>
  <c r="BE117" i="5"/>
  <c r="BD117" i="5"/>
  <c r="BC117" i="5"/>
  <c r="BB117" i="5"/>
  <c r="BA117" i="5"/>
  <c r="AZ117" i="5"/>
  <c r="AY117" i="5"/>
  <c r="AX117" i="5"/>
  <c r="AC117" i="5"/>
  <c r="AB117" i="5"/>
  <c r="AA117" i="5"/>
  <c r="Z117" i="5"/>
  <c r="Y117" i="5"/>
  <c r="X117" i="5"/>
  <c r="W117" i="5"/>
  <c r="V117" i="5"/>
  <c r="F117" i="5"/>
  <c r="BS116" i="5"/>
  <c r="BQ116" i="5"/>
  <c r="BO116" i="5"/>
  <c r="BM116" i="5"/>
  <c r="BK116" i="5"/>
  <c r="BF116" i="5"/>
  <c r="H116" i="5" s="1"/>
  <c r="BE116" i="5"/>
  <c r="BD116" i="5"/>
  <c r="BC116" i="5"/>
  <c r="BB116" i="5"/>
  <c r="BA116" i="5"/>
  <c r="AZ116" i="5"/>
  <c r="AY116" i="5"/>
  <c r="AX116" i="5"/>
  <c r="AC116" i="5"/>
  <c r="AB116" i="5"/>
  <c r="AA116" i="5"/>
  <c r="Z116" i="5"/>
  <c r="Y116" i="5"/>
  <c r="X116" i="5"/>
  <c r="W116" i="5"/>
  <c r="V116" i="5"/>
  <c r="F116" i="5"/>
  <c r="BS115" i="5"/>
  <c r="BQ115" i="5"/>
  <c r="BO115" i="5"/>
  <c r="BM115" i="5"/>
  <c r="BK115" i="5"/>
  <c r="BF115" i="5"/>
  <c r="H115" i="5" s="1"/>
  <c r="BE115" i="5"/>
  <c r="BD115" i="5"/>
  <c r="BC115" i="5"/>
  <c r="BB115" i="5"/>
  <c r="BA115" i="5"/>
  <c r="AZ115" i="5"/>
  <c r="AY115" i="5"/>
  <c r="AX115" i="5"/>
  <c r="AC115" i="5"/>
  <c r="AB115" i="5"/>
  <c r="AA115" i="5"/>
  <c r="Z115" i="5"/>
  <c r="Y115" i="5"/>
  <c r="X115" i="5"/>
  <c r="W115" i="5"/>
  <c r="V115" i="5"/>
  <c r="F115" i="5"/>
  <c r="BS114" i="5"/>
  <c r="BQ114" i="5"/>
  <c r="BO114" i="5"/>
  <c r="BM114" i="5"/>
  <c r="BK114" i="5"/>
  <c r="BF114" i="5"/>
  <c r="H114" i="5" s="1"/>
  <c r="BE114" i="5"/>
  <c r="BD114" i="5"/>
  <c r="BC114" i="5"/>
  <c r="BB114" i="5"/>
  <c r="BA114" i="5"/>
  <c r="AZ114" i="5"/>
  <c r="AY114" i="5"/>
  <c r="AX114" i="5"/>
  <c r="AC114" i="5"/>
  <c r="AB114" i="5"/>
  <c r="AA114" i="5"/>
  <c r="Z114" i="5"/>
  <c r="Y114" i="5"/>
  <c r="X114" i="5"/>
  <c r="W114" i="5"/>
  <c r="V114" i="5"/>
  <c r="F114" i="5"/>
  <c r="BS113" i="5"/>
  <c r="BQ113" i="5"/>
  <c r="BO113" i="5"/>
  <c r="BM113" i="5"/>
  <c r="BK113" i="5"/>
  <c r="BF113" i="5"/>
  <c r="H113" i="5" s="1"/>
  <c r="BE113" i="5"/>
  <c r="BD113" i="5"/>
  <c r="BC113" i="5"/>
  <c r="BB113" i="5"/>
  <c r="BA113" i="5"/>
  <c r="AZ113" i="5"/>
  <c r="AY113" i="5"/>
  <c r="AX113" i="5"/>
  <c r="AC113" i="5"/>
  <c r="AB113" i="5"/>
  <c r="AA113" i="5"/>
  <c r="Z113" i="5"/>
  <c r="Y113" i="5"/>
  <c r="X113" i="5"/>
  <c r="W113" i="5"/>
  <c r="V113" i="5"/>
  <c r="F113" i="5"/>
  <c r="BS112" i="5"/>
  <c r="BQ112" i="5"/>
  <c r="BO112" i="5"/>
  <c r="BM112" i="5"/>
  <c r="BK112" i="5"/>
  <c r="BF112" i="5"/>
  <c r="H112" i="5" s="1"/>
  <c r="BE112" i="5"/>
  <c r="BD112" i="5"/>
  <c r="BC112" i="5"/>
  <c r="BB112" i="5"/>
  <c r="BA112" i="5"/>
  <c r="AZ112" i="5"/>
  <c r="AY112" i="5"/>
  <c r="AX112" i="5"/>
  <c r="AC112" i="5"/>
  <c r="AB112" i="5"/>
  <c r="AA112" i="5"/>
  <c r="Z112" i="5"/>
  <c r="Y112" i="5"/>
  <c r="X112" i="5"/>
  <c r="W112" i="5"/>
  <c r="V112" i="5"/>
  <c r="F112" i="5"/>
  <c r="BS111" i="5"/>
  <c r="BQ111" i="5"/>
  <c r="BO111" i="5"/>
  <c r="BM111" i="5"/>
  <c r="BK111" i="5"/>
  <c r="BF111" i="5"/>
  <c r="H111" i="5" s="1"/>
  <c r="BE111" i="5"/>
  <c r="BD111" i="5"/>
  <c r="BC111" i="5"/>
  <c r="BB111" i="5"/>
  <c r="BA111" i="5"/>
  <c r="AZ111" i="5"/>
  <c r="AY111" i="5"/>
  <c r="AX111" i="5"/>
  <c r="AC111" i="5"/>
  <c r="AB111" i="5"/>
  <c r="AA111" i="5"/>
  <c r="Z111" i="5"/>
  <c r="Y111" i="5"/>
  <c r="X111" i="5"/>
  <c r="W111" i="5"/>
  <c r="V111" i="5"/>
  <c r="F111" i="5"/>
  <c r="BS110" i="5"/>
  <c r="BQ110" i="5"/>
  <c r="BO110" i="5"/>
  <c r="BM110" i="5"/>
  <c r="BK110" i="5"/>
  <c r="BF110" i="5"/>
  <c r="H110" i="5" s="1"/>
  <c r="BE110" i="5"/>
  <c r="BD110" i="5"/>
  <c r="BC110" i="5"/>
  <c r="BB110" i="5"/>
  <c r="BA110" i="5"/>
  <c r="AZ110" i="5"/>
  <c r="AY110" i="5"/>
  <c r="AX110" i="5"/>
  <c r="AC110" i="5"/>
  <c r="AB110" i="5"/>
  <c r="AA110" i="5"/>
  <c r="Z110" i="5"/>
  <c r="Y110" i="5"/>
  <c r="X110" i="5"/>
  <c r="W110" i="5"/>
  <c r="V110" i="5"/>
  <c r="F110" i="5"/>
  <c r="BS109" i="5"/>
  <c r="BQ109" i="5"/>
  <c r="BO109" i="5"/>
  <c r="BM109" i="5"/>
  <c r="BK109" i="5"/>
  <c r="BF109" i="5"/>
  <c r="H109" i="5" s="1"/>
  <c r="BE109" i="5"/>
  <c r="BD109" i="5"/>
  <c r="BC109" i="5"/>
  <c r="BB109" i="5"/>
  <c r="BA109" i="5"/>
  <c r="AZ109" i="5"/>
  <c r="AY109" i="5"/>
  <c r="AX109" i="5"/>
  <c r="AC109" i="5"/>
  <c r="AB109" i="5"/>
  <c r="AA109" i="5"/>
  <c r="Z109" i="5"/>
  <c r="Y109" i="5"/>
  <c r="X109" i="5"/>
  <c r="W109" i="5"/>
  <c r="V109" i="5"/>
  <c r="F109" i="5"/>
  <c r="BS108" i="5"/>
  <c r="BQ108" i="5"/>
  <c r="BO108" i="5"/>
  <c r="BM108" i="5"/>
  <c r="BK108" i="5"/>
  <c r="BF108" i="5"/>
  <c r="H108" i="5" s="1"/>
  <c r="BE108" i="5"/>
  <c r="BD108" i="5"/>
  <c r="BC108" i="5"/>
  <c r="BB108" i="5"/>
  <c r="BA108" i="5"/>
  <c r="AZ108" i="5"/>
  <c r="AY108" i="5"/>
  <c r="AX108" i="5"/>
  <c r="AC108" i="5"/>
  <c r="AB108" i="5"/>
  <c r="AA108" i="5"/>
  <c r="Z108" i="5"/>
  <c r="Y108" i="5"/>
  <c r="X108" i="5"/>
  <c r="W108" i="5"/>
  <c r="V108" i="5"/>
  <c r="F108" i="5"/>
  <c r="BS107" i="5"/>
  <c r="BQ107" i="5"/>
  <c r="BO107" i="5"/>
  <c r="BM107" i="5"/>
  <c r="BK107" i="5"/>
  <c r="BF107" i="5"/>
  <c r="H107" i="5" s="1"/>
  <c r="BE107" i="5"/>
  <c r="BD107" i="5"/>
  <c r="BC107" i="5"/>
  <c r="BB107" i="5"/>
  <c r="BA107" i="5"/>
  <c r="AZ107" i="5"/>
  <c r="AY107" i="5"/>
  <c r="AX107" i="5"/>
  <c r="AC107" i="5"/>
  <c r="AB107" i="5"/>
  <c r="AA107" i="5"/>
  <c r="Z107" i="5"/>
  <c r="Y107" i="5"/>
  <c r="X107" i="5"/>
  <c r="W107" i="5"/>
  <c r="V107" i="5"/>
  <c r="F107" i="5"/>
  <c r="BS106" i="5"/>
  <c r="BQ106" i="5"/>
  <c r="BO106" i="5"/>
  <c r="BM106" i="5"/>
  <c r="BK106" i="5"/>
  <c r="BF106" i="5"/>
  <c r="H106" i="5" s="1"/>
  <c r="BE106" i="5"/>
  <c r="BD106" i="5"/>
  <c r="BC106" i="5"/>
  <c r="BB106" i="5"/>
  <c r="BA106" i="5"/>
  <c r="AZ106" i="5"/>
  <c r="AY106" i="5"/>
  <c r="AX106" i="5"/>
  <c r="AC106" i="5"/>
  <c r="AB106" i="5"/>
  <c r="AA106" i="5"/>
  <c r="Z106" i="5"/>
  <c r="Y106" i="5"/>
  <c r="X106" i="5"/>
  <c r="W106" i="5"/>
  <c r="V106" i="5"/>
  <c r="F106" i="5"/>
  <c r="BS105" i="5"/>
  <c r="BQ105" i="5"/>
  <c r="BO105" i="5"/>
  <c r="BM105" i="5"/>
  <c r="BK105" i="5"/>
  <c r="BF105" i="5"/>
  <c r="H105" i="5" s="1"/>
  <c r="BE105" i="5"/>
  <c r="BD105" i="5"/>
  <c r="BC105" i="5"/>
  <c r="BB105" i="5"/>
  <c r="BA105" i="5"/>
  <c r="AZ105" i="5"/>
  <c r="AY105" i="5"/>
  <c r="AX105" i="5"/>
  <c r="AC105" i="5"/>
  <c r="AB105" i="5"/>
  <c r="AA105" i="5"/>
  <c r="Z105" i="5"/>
  <c r="Y105" i="5"/>
  <c r="X105" i="5"/>
  <c r="W105" i="5"/>
  <c r="V105" i="5"/>
  <c r="F105" i="5"/>
  <c r="BS104" i="5"/>
  <c r="BQ104" i="5"/>
  <c r="BO104" i="5"/>
  <c r="BM104" i="5"/>
  <c r="BK104" i="5"/>
  <c r="BF104" i="5"/>
  <c r="H104" i="5" s="1"/>
  <c r="BE104" i="5"/>
  <c r="BD104" i="5"/>
  <c r="BC104" i="5"/>
  <c r="BB104" i="5"/>
  <c r="BA104" i="5"/>
  <c r="AZ104" i="5"/>
  <c r="AY104" i="5"/>
  <c r="AX104" i="5"/>
  <c r="AC104" i="5"/>
  <c r="AB104" i="5"/>
  <c r="AA104" i="5"/>
  <c r="Z104" i="5"/>
  <c r="Y104" i="5"/>
  <c r="X104" i="5"/>
  <c r="W104" i="5"/>
  <c r="V104" i="5"/>
  <c r="F104" i="5"/>
  <c r="BS103" i="5"/>
  <c r="BQ103" i="5"/>
  <c r="BO103" i="5"/>
  <c r="BM103" i="5"/>
  <c r="BK103" i="5"/>
  <c r="BF103" i="5"/>
  <c r="BE103" i="5"/>
  <c r="BD103" i="5"/>
  <c r="BC103" i="5"/>
  <c r="BB103" i="5"/>
  <c r="BA103" i="5"/>
  <c r="AZ103" i="5"/>
  <c r="AY103" i="5"/>
  <c r="AX103" i="5"/>
  <c r="AC103" i="5"/>
  <c r="AB103" i="5"/>
  <c r="AA103" i="5"/>
  <c r="Z103" i="5"/>
  <c r="Y103" i="5"/>
  <c r="X103" i="5"/>
  <c r="W103" i="5"/>
  <c r="V103" i="5"/>
  <c r="F103" i="5"/>
  <c r="BS102" i="5"/>
  <c r="BQ102" i="5"/>
  <c r="BO102" i="5"/>
  <c r="BM102" i="5"/>
  <c r="BK102" i="5"/>
  <c r="BF102" i="5"/>
  <c r="H102" i="5" s="1"/>
  <c r="BE102" i="5"/>
  <c r="BD102" i="5"/>
  <c r="BC102" i="5"/>
  <c r="BB102" i="5"/>
  <c r="BA102" i="5"/>
  <c r="AZ102" i="5"/>
  <c r="AY102" i="5"/>
  <c r="AX102" i="5"/>
  <c r="AC102" i="5"/>
  <c r="AB102" i="5"/>
  <c r="AA102" i="5"/>
  <c r="Z102" i="5"/>
  <c r="Y102" i="5"/>
  <c r="X102" i="5"/>
  <c r="W102" i="5"/>
  <c r="V102" i="5"/>
  <c r="F102" i="5"/>
  <c r="BS101" i="5"/>
  <c r="BQ101" i="5"/>
  <c r="BO101" i="5"/>
  <c r="BM101" i="5"/>
  <c r="BK101" i="5"/>
  <c r="BF101" i="5"/>
  <c r="H101" i="5" s="1"/>
  <c r="BE101" i="5"/>
  <c r="BD101" i="5"/>
  <c r="BC101" i="5"/>
  <c r="BB101" i="5"/>
  <c r="AZ101" i="5"/>
  <c r="AY101" i="5"/>
  <c r="AX101" i="5"/>
  <c r="AC101" i="5"/>
  <c r="AB101" i="5"/>
  <c r="AA101" i="5"/>
  <c r="Z101" i="5"/>
  <c r="Y101" i="5"/>
  <c r="X101" i="5"/>
  <c r="W101" i="5"/>
  <c r="V101" i="5"/>
  <c r="F101" i="5"/>
  <c r="BS100" i="5"/>
  <c r="BQ100" i="5"/>
  <c r="BO100" i="5"/>
  <c r="BM100" i="5"/>
  <c r="BK100" i="5"/>
  <c r="BE100" i="5"/>
  <c r="BD100" i="5"/>
  <c r="BC100" i="5"/>
  <c r="BA100" i="5"/>
  <c r="AZ100" i="5"/>
  <c r="AY100" i="5"/>
  <c r="AX100" i="5"/>
  <c r="AC100" i="5"/>
  <c r="AB100" i="5"/>
  <c r="AA100" i="5"/>
  <c r="Z100" i="5"/>
  <c r="Y100" i="5"/>
  <c r="X100" i="5"/>
  <c r="W100" i="5"/>
  <c r="V100" i="5"/>
  <c r="F100" i="5"/>
  <c r="BS99" i="5"/>
  <c r="BQ99" i="5"/>
  <c r="BO99" i="5"/>
  <c r="BM99" i="5"/>
  <c r="BK99" i="5"/>
  <c r="BF99" i="5"/>
  <c r="H99" i="5" s="1"/>
  <c r="BE99" i="5"/>
  <c r="BC99" i="5"/>
  <c r="BB99" i="5"/>
  <c r="AZ99" i="5"/>
  <c r="AY99" i="5"/>
  <c r="AX99" i="5"/>
  <c r="AC99" i="5"/>
  <c r="AB99" i="5"/>
  <c r="AA99" i="5"/>
  <c r="Z99" i="5"/>
  <c r="Y99" i="5"/>
  <c r="X99" i="5"/>
  <c r="W99" i="5"/>
  <c r="V99" i="5"/>
  <c r="F99" i="5"/>
  <c r="BS98" i="5"/>
  <c r="BQ98" i="5"/>
  <c r="BO98" i="5"/>
  <c r="BM98" i="5"/>
  <c r="BK98" i="5"/>
  <c r="BF98" i="5"/>
  <c r="H98" i="5" s="1"/>
  <c r="BE98" i="5"/>
  <c r="BD98" i="5"/>
  <c r="BB98" i="5"/>
  <c r="BA98" i="5"/>
  <c r="AZ98" i="5"/>
  <c r="AX98" i="5"/>
  <c r="AC98" i="5"/>
  <c r="AB98" i="5"/>
  <c r="AA98" i="5"/>
  <c r="Z98" i="5"/>
  <c r="Y98" i="5"/>
  <c r="X98" i="5"/>
  <c r="W98" i="5"/>
  <c r="V98" i="5"/>
  <c r="F98" i="5"/>
  <c r="BS97" i="5"/>
  <c r="BQ97" i="5"/>
  <c r="BO97" i="5"/>
  <c r="BM97" i="5"/>
  <c r="BK97" i="5"/>
  <c r="BF97" i="5"/>
  <c r="H97" i="5" s="1"/>
  <c r="BE97" i="5"/>
  <c r="BD97" i="5"/>
  <c r="BC97" i="5"/>
  <c r="BB97" i="5"/>
  <c r="BA97" i="5"/>
  <c r="AZ97" i="5"/>
  <c r="AY97" i="5"/>
  <c r="AX97" i="5"/>
  <c r="AC97" i="5"/>
  <c r="AB97" i="5"/>
  <c r="AA97" i="5"/>
  <c r="Z97" i="5"/>
  <c r="Y97" i="5"/>
  <c r="X97" i="5"/>
  <c r="W97" i="5"/>
  <c r="V97" i="5"/>
  <c r="F97" i="5"/>
  <c r="BS96" i="5"/>
  <c r="BQ96" i="5"/>
  <c r="BO96" i="5"/>
  <c r="BM96" i="5"/>
  <c r="BK96" i="5"/>
  <c r="BF96" i="5"/>
  <c r="H96" i="5" s="1"/>
  <c r="BE96" i="5"/>
  <c r="BD96" i="5"/>
  <c r="BC96" i="5"/>
  <c r="BB96" i="5"/>
  <c r="BA96" i="5"/>
  <c r="AZ96" i="5"/>
  <c r="AY96" i="5"/>
  <c r="AX96" i="5"/>
  <c r="AC96" i="5"/>
  <c r="AB96" i="5"/>
  <c r="AA96" i="5"/>
  <c r="Z96" i="5"/>
  <c r="Y96" i="5"/>
  <c r="X96" i="5"/>
  <c r="W96" i="5"/>
  <c r="V96" i="5"/>
  <c r="F96" i="5"/>
  <c r="BS95" i="5"/>
  <c r="BQ95" i="5"/>
  <c r="BO95" i="5"/>
  <c r="BM95" i="5"/>
  <c r="BK95" i="5"/>
  <c r="BF95" i="5"/>
  <c r="H95" i="5" s="1"/>
  <c r="BE95" i="5"/>
  <c r="BD95" i="5"/>
  <c r="BC95" i="5"/>
  <c r="BB95" i="5"/>
  <c r="BA95" i="5"/>
  <c r="AZ95" i="5"/>
  <c r="AY95" i="5"/>
  <c r="AX95" i="5"/>
  <c r="AC95" i="5"/>
  <c r="AB95" i="5"/>
  <c r="AA95" i="5"/>
  <c r="Z95" i="5"/>
  <c r="Y95" i="5"/>
  <c r="X95" i="5"/>
  <c r="W95" i="5"/>
  <c r="V95" i="5"/>
  <c r="F95" i="5"/>
  <c r="BS94" i="5"/>
  <c r="BQ94" i="5"/>
  <c r="BO94" i="5"/>
  <c r="BM94" i="5"/>
  <c r="BK94" i="5"/>
  <c r="BF94" i="5"/>
  <c r="H94" i="5" s="1"/>
  <c r="BE94" i="5"/>
  <c r="BD94" i="5"/>
  <c r="BC94" i="5"/>
  <c r="BB94" i="5"/>
  <c r="BA94" i="5"/>
  <c r="AZ94" i="5"/>
  <c r="AY94" i="5"/>
  <c r="AX94" i="5"/>
  <c r="AC94" i="5"/>
  <c r="AB94" i="5"/>
  <c r="AA94" i="5"/>
  <c r="Z94" i="5"/>
  <c r="Y94" i="5"/>
  <c r="X94" i="5"/>
  <c r="W94" i="5"/>
  <c r="V94" i="5"/>
  <c r="F94" i="5"/>
  <c r="BS93" i="5"/>
  <c r="BQ93" i="5"/>
  <c r="BO93" i="5"/>
  <c r="BM93" i="5"/>
  <c r="BK93" i="5"/>
  <c r="BF93" i="5"/>
  <c r="H93" i="5" s="1"/>
  <c r="BE93" i="5"/>
  <c r="BD93" i="5"/>
  <c r="BC93" i="5"/>
  <c r="BB93" i="5"/>
  <c r="BA93" i="5"/>
  <c r="AZ93" i="5"/>
  <c r="AY93" i="5"/>
  <c r="AX93" i="5"/>
  <c r="AC93" i="5"/>
  <c r="AB93" i="5"/>
  <c r="AA93" i="5"/>
  <c r="Z93" i="5"/>
  <c r="Y93" i="5"/>
  <c r="X93" i="5"/>
  <c r="W93" i="5"/>
  <c r="V93" i="5"/>
  <c r="F93" i="5"/>
  <c r="BS92" i="5"/>
  <c r="BQ92" i="5"/>
  <c r="BO92" i="5"/>
  <c r="BM92" i="5"/>
  <c r="BK92" i="5"/>
  <c r="BF92" i="5"/>
  <c r="H92" i="5" s="1"/>
  <c r="BE92" i="5"/>
  <c r="BD92" i="5"/>
  <c r="BC92" i="5"/>
  <c r="BB92" i="5"/>
  <c r="BA92" i="5"/>
  <c r="AZ92" i="5"/>
  <c r="AY92" i="5"/>
  <c r="AX92" i="5"/>
  <c r="AC92" i="5"/>
  <c r="AB92" i="5"/>
  <c r="AA92" i="5"/>
  <c r="Z92" i="5"/>
  <c r="Y92" i="5"/>
  <c r="X92" i="5"/>
  <c r="W92" i="5"/>
  <c r="V92" i="5"/>
  <c r="F92" i="5"/>
  <c r="BS91" i="5"/>
  <c r="BQ91" i="5"/>
  <c r="BO91" i="5"/>
  <c r="BM91" i="5"/>
  <c r="BK91" i="5"/>
  <c r="BF91" i="5"/>
  <c r="H91" i="5" s="1"/>
  <c r="BE91" i="5"/>
  <c r="BD91" i="5"/>
  <c r="BC91" i="5"/>
  <c r="BB91" i="5"/>
  <c r="BA91" i="5"/>
  <c r="AZ91" i="5"/>
  <c r="AY91" i="5"/>
  <c r="AX91" i="5"/>
  <c r="AC91" i="5"/>
  <c r="AB91" i="5"/>
  <c r="AA91" i="5"/>
  <c r="Z91" i="5"/>
  <c r="Y91" i="5"/>
  <c r="X91" i="5"/>
  <c r="W91" i="5"/>
  <c r="V91" i="5"/>
  <c r="F91" i="5"/>
  <c r="BS90" i="5"/>
  <c r="BQ90" i="5"/>
  <c r="BO90" i="5"/>
  <c r="BM90" i="5"/>
  <c r="BK90" i="5"/>
  <c r="BF90" i="5"/>
  <c r="H90" i="5" s="1"/>
  <c r="BE90" i="5"/>
  <c r="BD90" i="5"/>
  <c r="BC90" i="5"/>
  <c r="BB90" i="5"/>
  <c r="BA90" i="5"/>
  <c r="AZ90" i="5"/>
  <c r="AY90" i="5"/>
  <c r="AX90" i="5"/>
  <c r="AC90" i="5"/>
  <c r="AB90" i="5"/>
  <c r="AA90" i="5"/>
  <c r="Z90" i="5"/>
  <c r="Y90" i="5"/>
  <c r="X90" i="5"/>
  <c r="W90" i="5"/>
  <c r="V90" i="5"/>
  <c r="F90" i="5"/>
  <c r="BS89" i="5"/>
  <c r="BQ89" i="5"/>
  <c r="BO89" i="5"/>
  <c r="BM89" i="5"/>
  <c r="BK89" i="5"/>
  <c r="BF89" i="5"/>
  <c r="H89" i="5" s="1"/>
  <c r="BE89" i="5"/>
  <c r="BD89" i="5"/>
  <c r="BC89" i="5"/>
  <c r="BB89" i="5"/>
  <c r="BA89" i="5"/>
  <c r="AZ89" i="5"/>
  <c r="AY89" i="5"/>
  <c r="AX89" i="5"/>
  <c r="AC89" i="5"/>
  <c r="AB89" i="5"/>
  <c r="AA89" i="5"/>
  <c r="Z89" i="5"/>
  <c r="Y89" i="5"/>
  <c r="X89" i="5"/>
  <c r="W89" i="5"/>
  <c r="V89" i="5"/>
  <c r="F89" i="5"/>
  <c r="BS88" i="5"/>
  <c r="BQ88" i="5"/>
  <c r="BO88" i="5"/>
  <c r="BM88" i="5"/>
  <c r="BK88" i="5"/>
  <c r="BF88" i="5"/>
  <c r="H88" i="5" s="1"/>
  <c r="BE88" i="5"/>
  <c r="BD88" i="5"/>
  <c r="BC88" i="5"/>
  <c r="BB88" i="5"/>
  <c r="BA88" i="5"/>
  <c r="AZ88" i="5"/>
  <c r="AY88" i="5"/>
  <c r="AX88" i="5"/>
  <c r="AC88" i="5"/>
  <c r="AB88" i="5"/>
  <c r="AA88" i="5"/>
  <c r="Z88" i="5"/>
  <c r="Y88" i="5"/>
  <c r="X88" i="5"/>
  <c r="W88" i="5"/>
  <c r="V88" i="5"/>
  <c r="F88" i="5"/>
  <c r="BS87" i="5"/>
  <c r="BQ87" i="5"/>
  <c r="BO87" i="5"/>
  <c r="BM87" i="5"/>
  <c r="BK87" i="5"/>
  <c r="BF87" i="5"/>
  <c r="H87" i="5" s="1"/>
  <c r="BE87" i="5"/>
  <c r="BD87" i="5"/>
  <c r="BC87" i="5"/>
  <c r="BB87" i="5"/>
  <c r="BA87" i="5"/>
  <c r="AZ87" i="5"/>
  <c r="AY87" i="5"/>
  <c r="AX87" i="5"/>
  <c r="AC87" i="5"/>
  <c r="AB87" i="5"/>
  <c r="AA87" i="5"/>
  <c r="Z87" i="5"/>
  <c r="Y87" i="5"/>
  <c r="X87" i="5"/>
  <c r="W87" i="5"/>
  <c r="V87" i="5"/>
  <c r="F87" i="5"/>
  <c r="BS86" i="5"/>
  <c r="BQ86" i="5"/>
  <c r="BO86" i="5"/>
  <c r="BM86" i="5"/>
  <c r="BK86" i="5"/>
  <c r="BF86" i="5"/>
  <c r="BE86" i="5"/>
  <c r="BD86" i="5"/>
  <c r="BC86" i="5"/>
  <c r="BB86" i="5"/>
  <c r="BA86" i="5"/>
  <c r="AZ86" i="5"/>
  <c r="AY86" i="5"/>
  <c r="AX86" i="5"/>
  <c r="AC86" i="5"/>
  <c r="AB86" i="5"/>
  <c r="AA86" i="5"/>
  <c r="Z86" i="5"/>
  <c r="Y86" i="5"/>
  <c r="X86" i="5"/>
  <c r="W86" i="5"/>
  <c r="V86" i="5"/>
  <c r="F86" i="5"/>
  <c r="BS85" i="5"/>
  <c r="BQ85" i="5"/>
  <c r="BO85" i="5"/>
  <c r="BM85" i="5"/>
  <c r="BK85" i="5"/>
  <c r="BF85" i="5"/>
  <c r="H85" i="5" s="1"/>
  <c r="BE85" i="5"/>
  <c r="BD85" i="5"/>
  <c r="BC85" i="5"/>
  <c r="BB85" i="5"/>
  <c r="BA85" i="5"/>
  <c r="AZ85" i="5"/>
  <c r="AY85" i="5"/>
  <c r="AX85" i="5"/>
  <c r="AC85" i="5"/>
  <c r="AB85" i="5"/>
  <c r="AA85" i="5"/>
  <c r="Z85" i="5"/>
  <c r="Y85" i="5"/>
  <c r="X85" i="5"/>
  <c r="W85" i="5"/>
  <c r="V85" i="5"/>
  <c r="F85" i="5"/>
  <c r="BS84" i="5"/>
  <c r="BQ84" i="5"/>
  <c r="BO84" i="5"/>
  <c r="BM84" i="5"/>
  <c r="BK84" i="5"/>
  <c r="BF84" i="5"/>
  <c r="H84" i="5" s="1"/>
  <c r="BE84" i="5"/>
  <c r="BD84" i="5"/>
  <c r="BC84" i="5"/>
  <c r="BB84" i="5"/>
  <c r="BA84" i="5"/>
  <c r="AZ84" i="5"/>
  <c r="AY84" i="5"/>
  <c r="AX84" i="5"/>
  <c r="AC84" i="5"/>
  <c r="AB84" i="5"/>
  <c r="AA84" i="5"/>
  <c r="Z84" i="5"/>
  <c r="Y84" i="5"/>
  <c r="X84" i="5"/>
  <c r="W84" i="5"/>
  <c r="V84" i="5"/>
  <c r="F84" i="5"/>
  <c r="BS83" i="5"/>
  <c r="BQ83" i="5"/>
  <c r="BO83" i="5"/>
  <c r="BM83" i="5"/>
  <c r="BK83" i="5"/>
  <c r="BF83" i="5"/>
  <c r="H83" i="5" s="1"/>
  <c r="BE83" i="5"/>
  <c r="BD83" i="5"/>
  <c r="BC83" i="5"/>
  <c r="BB83" i="5"/>
  <c r="BA83" i="5"/>
  <c r="AZ83" i="5"/>
  <c r="AY83" i="5"/>
  <c r="AX83" i="5"/>
  <c r="AC83" i="5"/>
  <c r="AB83" i="5"/>
  <c r="AA83" i="5"/>
  <c r="Z83" i="5"/>
  <c r="Y83" i="5"/>
  <c r="X83" i="5"/>
  <c r="W83" i="5"/>
  <c r="V83" i="5"/>
  <c r="F83" i="5"/>
  <c r="BS82" i="5"/>
  <c r="BQ82" i="5"/>
  <c r="BO82" i="5"/>
  <c r="BM82" i="5"/>
  <c r="BK82" i="5"/>
  <c r="BF82" i="5"/>
  <c r="H82" i="5" s="1"/>
  <c r="BE82" i="5"/>
  <c r="BD82" i="5"/>
  <c r="BC82" i="5"/>
  <c r="BB82" i="5"/>
  <c r="BA82" i="5"/>
  <c r="AZ82" i="5"/>
  <c r="AY82" i="5"/>
  <c r="AX82" i="5"/>
  <c r="AC82" i="5"/>
  <c r="AB82" i="5"/>
  <c r="AA82" i="5"/>
  <c r="Z82" i="5"/>
  <c r="Y82" i="5"/>
  <c r="X82" i="5"/>
  <c r="W82" i="5"/>
  <c r="V82" i="5"/>
  <c r="F82" i="5"/>
  <c r="BS81" i="5"/>
  <c r="BQ81" i="5"/>
  <c r="BO81" i="5"/>
  <c r="BM81" i="5"/>
  <c r="BK81" i="5"/>
  <c r="BF81" i="5"/>
  <c r="H81" i="5" s="1"/>
  <c r="BE81" i="5"/>
  <c r="BD81" i="5"/>
  <c r="BC81" i="5"/>
  <c r="BB81" i="5"/>
  <c r="BA81" i="5"/>
  <c r="AZ81" i="5"/>
  <c r="AY81" i="5"/>
  <c r="AX81" i="5"/>
  <c r="AC81" i="5"/>
  <c r="AB81" i="5"/>
  <c r="AA81" i="5"/>
  <c r="Z81" i="5"/>
  <c r="Y81" i="5"/>
  <c r="X81" i="5"/>
  <c r="W81" i="5"/>
  <c r="V81" i="5"/>
  <c r="F81" i="5"/>
  <c r="BS80" i="5"/>
  <c r="BQ80" i="5"/>
  <c r="BO80" i="5"/>
  <c r="BM80" i="5"/>
  <c r="BK80" i="5"/>
  <c r="BF80" i="5"/>
  <c r="H80" i="5" s="1"/>
  <c r="BE80" i="5"/>
  <c r="BD80" i="5"/>
  <c r="BC80" i="5"/>
  <c r="BB80" i="5"/>
  <c r="BA80" i="5"/>
  <c r="AZ80" i="5"/>
  <c r="AY80" i="5"/>
  <c r="AX80" i="5"/>
  <c r="AC80" i="5"/>
  <c r="AB80" i="5"/>
  <c r="AA80" i="5"/>
  <c r="Z80" i="5"/>
  <c r="Y80" i="5"/>
  <c r="X80" i="5"/>
  <c r="W80" i="5"/>
  <c r="V80" i="5"/>
  <c r="F80" i="5"/>
  <c r="BS79" i="5"/>
  <c r="BQ79" i="5"/>
  <c r="BO79" i="5"/>
  <c r="BM79" i="5"/>
  <c r="BK79" i="5"/>
  <c r="BF79" i="5"/>
  <c r="H79" i="5" s="1"/>
  <c r="BE79" i="5"/>
  <c r="BD79" i="5"/>
  <c r="BC79" i="5"/>
  <c r="BB79" i="5"/>
  <c r="BA79" i="5"/>
  <c r="AZ79" i="5"/>
  <c r="AY79" i="5"/>
  <c r="AX79" i="5"/>
  <c r="AC79" i="5"/>
  <c r="AB79" i="5"/>
  <c r="AA79" i="5"/>
  <c r="Z79" i="5"/>
  <c r="Y79" i="5"/>
  <c r="X79" i="5"/>
  <c r="W79" i="5"/>
  <c r="V79" i="5"/>
  <c r="F79" i="5"/>
  <c r="BS78" i="5"/>
  <c r="BQ78" i="5"/>
  <c r="BO78" i="5"/>
  <c r="BM78" i="5"/>
  <c r="BK78" i="5"/>
  <c r="BF78" i="5"/>
  <c r="H78" i="5" s="1"/>
  <c r="BE78" i="5"/>
  <c r="BD78" i="5"/>
  <c r="BC78" i="5"/>
  <c r="BB78" i="5"/>
  <c r="BA78" i="5"/>
  <c r="AZ78" i="5"/>
  <c r="AY78" i="5"/>
  <c r="AX78" i="5"/>
  <c r="AC78" i="5"/>
  <c r="AB78" i="5"/>
  <c r="AA78" i="5"/>
  <c r="Z78" i="5"/>
  <c r="Y78" i="5"/>
  <c r="X78" i="5"/>
  <c r="W78" i="5"/>
  <c r="V78" i="5"/>
  <c r="F78" i="5"/>
  <c r="BS77" i="5"/>
  <c r="BQ77" i="5"/>
  <c r="BO77" i="5"/>
  <c r="BM77" i="5"/>
  <c r="BK77" i="5"/>
  <c r="BF77" i="5"/>
  <c r="H77" i="5" s="1"/>
  <c r="BD77" i="5"/>
  <c r="BC77" i="5"/>
  <c r="BB77" i="5"/>
  <c r="AZ77" i="5"/>
  <c r="AY77" i="5"/>
  <c r="AX77" i="5"/>
  <c r="AC77" i="5"/>
  <c r="AB77" i="5"/>
  <c r="AA77" i="5"/>
  <c r="Z77" i="5"/>
  <c r="Y77" i="5"/>
  <c r="X77" i="5"/>
  <c r="W77" i="5"/>
  <c r="V77" i="5"/>
  <c r="F77" i="5"/>
  <c r="BS76" i="5"/>
  <c r="BQ76" i="5"/>
  <c r="BO76" i="5"/>
  <c r="BM76" i="5"/>
  <c r="BK76" i="5"/>
  <c r="BE76" i="5"/>
  <c r="BD76" i="5"/>
  <c r="BC76" i="5"/>
  <c r="BA76" i="5"/>
  <c r="AZ76" i="5"/>
  <c r="AX76" i="5"/>
  <c r="AC76" i="5"/>
  <c r="AB76" i="5"/>
  <c r="AA76" i="5"/>
  <c r="Z76" i="5"/>
  <c r="Y76" i="5"/>
  <c r="X76" i="5"/>
  <c r="W76" i="5"/>
  <c r="V76" i="5"/>
  <c r="F76" i="5"/>
  <c r="BS75" i="5"/>
  <c r="BQ75" i="5"/>
  <c r="BO75" i="5"/>
  <c r="BM75" i="5"/>
  <c r="BK75" i="5"/>
  <c r="BF75" i="5"/>
  <c r="H75" i="5" s="1"/>
  <c r="BE75" i="5"/>
  <c r="BC75" i="5"/>
  <c r="BB75" i="5"/>
  <c r="BA75" i="5"/>
  <c r="AY75" i="5"/>
  <c r="AX75" i="5"/>
  <c r="AC75" i="5"/>
  <c r="AB75" i="5"/>
  <c r="AA75" i="5"/>
  <c r="Z75" i="5"/>
  <c r="Y75" i="5"/>
  <c r="X75" i="5"/>
  <c r="W75" i="5"/>
  <c r="V75" i="5"/>
  <c r="F75" i="5"/>
  <c r="BS74" i="5"/>
  <c r="BQ74" i="5"/>
  <c r="BO74" i="5"/>
  <c r="BM74" i="5"/>
  <c r="BK74" i="5"/>
  <c r="BF74" i="5"/>
  <c r="H74" i="5" s="1"/>
  <c r="BE74" i="5"/>
  <c r="BD74" i="5"/>
  <c r="BC74" i="5"/>
  <c r="BB74" i="5"/>
  <c r="BA74" i="5"/>
  <c r="AZ74" i="5"/>
  <c r="AY74" i="5"/>
  <c r="AX74" i="5"/>
  <c r="AC74" i="5"/>
  <c r="AB74" i="5"/>
  <c r="AA74" i="5"/>
  <c r="Z74" i="5"/>
  <c r="Y74" i="5"/>
  <c r="X74" i="5"/>
  <c r="W74" i="5"/>
  <c r="V74" i="5"/>
  <c r="F74" i="5"/>
  <c r="BS73" i="5"/>
  <c r="BQ73" i="5"/>
  <c r="BO73" i="5"/>
  <c r="BM73" i="5"/>
  <c r="BK73" i="5"/>
  <c r="BF73" i="5"/>
  <c r="H73" i="5" s="1"/>
  <c r="BE73" i="5"/>
  <c r="BD73" i="5"/>
  <c r="BC73" i="5"/>
  <c r="BB73" i="5"/>
  <c r="BA73" i="5"/>
  <c r="AZ73" i="5"/>
  <c r="AY73" i="5"/>
  <c r="AX73" i="5"/>
  <c r="AC73" i="5"/>
  <c r="AB73" i="5"/>
  <c r="AA73" i="5"/>
  <c r="Z73" i="5"/>
  <c r="Y73" i="5"/>
  <c r="X73" i="5"/>
  <c r="W73" i="5"/>
  <c r="V73" i="5"/>
  <c r="F73" i="5"/>
  <c r="BS72" i="5"/>
  <c r="BQ72" i="5"/>
  <c r="BO72" i="5"/>
  <c r="BM72" i="5"/>
  <c r="BK72" i="5"/>
  <c r="BF72" i="5"/>
  <c r="H72" i="5" s="1"/>
  <c r="BE72" i="5"/>
  <c r="BD72" i="5"/>
  <c r="BC72" i="5"/>
  <c r="BB72" i="5"/>
  <c r="BA72" i="5"/>
  <c r="AZ72" i="5"/>
  <c r="AY72" i="5"/>
  <c r="AX72" i="5"/>
  <c r="AC72" i="5"/>
  <c r="AB72" i="5"/>
  <c r="AA72" i="5"/>
  <c r="Z72" i="5"/>
  <c r="Y72" i="5"/>
  <c r="X72" i="5"/>
  <c r="W72" i="5"/>
  <c r="V72" i="5"/>
  <c r="F72" i="5"/>
  <c r="BS71" i="5"/>
  <c r="BQ71" i="5"/>
  <c r="BO71" i="5"/>
  <c r="BM71" i="5"/>
  <c r="BK71" i="5"/>
  <c r="BE71" i="5"/>
  <c r="BD71" i="5"/>
  <c r="BC71" i="5"/>
  <c r="BA71" i="5"/>
  <c r="AZ71" i="5"/>
  <c r="AY71" i="5"/>
  <c r="AX71" i="5"/>
  <c r="AC71" i="5"/>
  <c r="AB71" i="5"/>
  <c r="AA71" i="5"/>
  <c r="Z71" i="5"/>
  <c r="Y71" i="5"/>
  <c r="X71" i="5"/>
  <c r="W71" i="5"/>
  <c r="V71" i="5"/>
  <c r="F71" i="5"/>
  <c r="BS70" i="5"/>
  <c r="BQ70" i="5"/>
  <c r="BO70" i="5"/>
  <c r="BM70" i="5"/>
  <c r="BK70" i="5"/>
  <c r="BF70" i="5"/>
  <c r="H70" i="5" s="1"/>
  <c r="BE70" i="5"/>
  <c r="BD70" i="5"/>
  <c r="BC70" i="5"/>
  <c r="BB70" i="5"/>
  <c r="BA70" i="5"/>
  <c r="AZ70" i="5"/>
  <c r="AY70" i="5"/>
  <c r="AX70" i="5"/>
  <c r="AC70" i="5"/>
  <c r="AB70" i="5"/>
  <c r="AA70" i="5"/>
  <c r="Z70" i="5"/>
  <c r="Y70" i="5"/>
  <c r="X70" i="5"/>
  <c r="W70" i="5"/>
  <c r="V70" i="5"/>
  <c r="F70" i="5"/>
  <c r="BS69" i="5"/>
  <c r="BQ69" i="5"/>
  <c r="BO69" i="5"/>
  <c r="BM69" i="5"/>
  <c r="BK69" i="5"/>
  <c r="BF69" i="5"/>
  <c r="H69" i="5" s="1"/>
  <c r="BE69" i="5"/>
  <c r="BD69" i="5"/>
  <c r="BC69" i="5"/>
  <c r="BB69" i="5"/>
  <c r="BA69" i="5"/>
  <c r="AZ69" i="5"/>
  <c r="AY69" i="5"/>
  <c r="AX69" i="5"/>
  <c r="AC69" i="5"/>
  <c r="AB69" i="5"/>
  <c r="AA69" i="5"/>
  <c r="Z69" i="5"/>
  <c r="Y69" i="5"/>
  <c r="X69" i="5"/>
  <c r="W69" i="5"/>
  <c r="V69" i="5"/>
  <c r="F69" i="5"/>
  <c r="BS68" i="5"/>
  <c r="BQ68" i="5"/>
  <c r="BO68" i="5"/>
  <c r="BM68" i="5"/>
  <c r="BK68" i="5"/>
  <c r="BF68" i="5"/>
  <c r="H68" i="5" s="1"/>
  <c r="BE68" i="5"/>
  <c r="BD68" i="5"/>
  <c r="BC68" i="5"/>
  <c r="BB68" i="5"/>
  <c r="BA68" i="5"/>
  <c r="AZ68" i="5"/>
  <c r="AY68" i="5"/>
  <c r="AX68" i="5"/>
  <c r="AC68" i="5"/>
  <c r="AB68" i="5"/>
  <c r="AA68" i="5"/>
  <c r="Z68" i="5"/>
  <c r="Y68" i="5"/>
  <c r="X68" i="5"/>
  <c r="W68" i="5"/>
  <c r="V68" i="5"/>
  <c r="F68" i="5"/>
  <c r="BS67" i="5"/>
  <c r="BQ67" i="5"/>
  <c r="BO67" i="5"/>
  <c r="BM67" i="5"/>
  <c r="BK67" i="5"/>
  <c r="BF67" i="5"/>
  <c r="H67" i="5" s="1"/>
  <c r="BE67" i="5"/>
  <c r="BD67" i="5"/>
  <c r="BC67" i="5"/>
  <c r="BB67" i="5"/>
  <c r="BA67" i="5"/>
  <c r="AZ67" i="5"/>
  <c r="AY67" i="5"/>
  <c r="AX67" i="5"/>
  <c r="AC67" i="5"/>
  <c r="AB67" i="5"/>
  <c r="AA67" i="5"/>
  <c r="Z67" i="5"/>
  <c r="Y67" i="5"/>
  <c r="X67" i="5"/>
  <c r="W67" i="5"/>
  <c r="V67" i="5"/>
  <c r="F67" i="5"/>
  <c r="BS66" i="5"/>
  <c r="BQ66" i="5"/>
  <c r="BO66" i="5"/>
  <c r="BM66" i="5"/>
  <c r="BK66" i="5"/>
  <c r="BF66" i="5"/>
  <c r="H66" i="5" s="1"/>
  <c r="BE66" i="5"/>
  <c r="BD66" i="5"/>
  <c r="BC66" i="5"/>
  <c r="BB66" i="5"/>
  <c r="BA66" i="5"/>
  <c r="AZ66" i="5"/>
  <c r="AY66" i="5"/>
  <c r="AX66" i="5"/>
  <c r="AC66" i="5"/>
  <c r="AB66" i="5"/>
  <c r="AA66" i="5"/>
  <c r="Z66" i="5"/>
  <c r="Y66" i="5"/>
  <c r="X66" i="5"/>
  <c r="W66" i="5"/>
  <c r="V66" i="5"/>
  <c r="F66" i="5"/>
  <c r="BS65" i="5"/>
  <c r="BQ65" i="5"/>
  <c r="BO65" i="5"/>
  <c r="BM65" i="5"/>
  <c r="BK65" i="5"/>
  <c r="BF65" i="5"/>
  <c r="H65" i="5" s="1"/>
  <c r="BD65" i="5"/>
  <c r="BC65" i="5"/>
  <c r="BB65" i="5"/>
  <c r="AZ65" i="5"/>
  <c r="AY65" i="5"/>
  <c r="AX65" i="5"/>
  <c r="AC65" i="5"/>
  <c r="AB65" i="5"/>
  <c r="AA65" i="5"/>
  <c r="Z65" i="5"/>
  <c r="Y65" i="5"/>
  <c r="X65" i="5"/>
  <c r="W65" i="5"/>
  <c r="V65" i="5"/>
  <c r="F65" i="5"/>
  <c r="BS64" i="5"/>
  <c r="BQ64" i="5"/>
  <c r="BO64" i="5"/>
  <c r="BM64" i="5"/>
  <c r="BK64" i="5"/>
  <c r="BE64" i="5"/>
  <c r="BD64" i="5"/>
  <c r="BC64" i="5"/>
  <c r="BA64" i="5"/>
  <c r="AZ64" i="5"/>
  <c r="AY64" i="5"/>
  <c r="AC64" i="5"/>
  <c r="AB64" i="5"/>
  <c r="AA64" i="5"/>
  <c r="Z64" i="5"/>
  <c r="Y64" i="5"/>
  <c r="X64" i="5"/>
  <c r="W64" i="5"/>
  <c r="V64" i="5"/>
  <c r="F64" i="5"/>
  <c r="BS63" i="5"/>
  <c r="BQ63" i="5"/>
  <c r="BO63" i="5"/>
  <c r="BM63" i="5"/>
  <c r="BK63" i="5"/>
  <c r="BF63" i="5"/>
  <c r="H63" i="5" s="1"/>
  <c r="BE63" i="5"/>
  <c r="BD63" i="5"/>
  <c r="BB63" i="5"/>
  <c r="BA63" i="5"/>
  <c r="AZ63" i="5"/>
  <c r="AX63" i="5"/>
  <c r="AC63" i="5"/>
  <c r="AB63" i="5"/>
  <c r="AA63" i="5"/>
  <c r="Z63" i="5"/>
  <c r="Y63" i="5"/>
  <c r="X63" i="5"/>
  <c r="W63" i="5"/>
  <c r="V63" i="5"/>
  <c r="F63" i="5"/>
  <c r="BS62" i="5"/>
  <c r="BQ62" i="5"/>
  <c r="BO62" i="5"/>
  <c r="BM62" i="5"/>
  <c r="BK62" i="5"/>
  <c r="BF62" i="5"/>
  <c r="H62" i="5" s="1"/>
  <c r="BE62" i="5"/>
  <c r="BC62" i="5"/>
  <c r="BB62" i="5"/>
  <c r="BA62" i="5"/>
  <c r="AY62" i="5"/>
  <c r="AX62" i="5"/>
  <c r="AC62" i="5"/>
  <c r="AB62" i="5"/>
  <c r="AA62" i="5"/>
  <c r="Z62" i="5"/>
  <c r="Y62" i="5"/>
  <c r="X62" i="5"/>
  <c r="W62" i="5"/>
  <c r="V62" i="5"/>
  <c r="F62" i="5"/>
  <c r="BS61" i="5"/>
  <c r="BQ61" i="5"/>
  <c r="BO61" i="5"/>
  <c r="BM61" i="5"/>
  <c r="BK61" i="5"/>
  <c r="BF61" i="5"/>
  <c r="H61" i="5" s="1"/>
  <c r="BD61" i="5"/>
  <c r="BC61" i="5"/>
  <c r="BB61" i="5"/>
  <c r="AZ61" i="5"/>
  <c r="AY61" i="5"/>
  <c r="AX61" i="5"/>
  <c r="AC61" i="5"/>
  <c r="AB61" i="5"/>
  <c r="AA61" i="5"/>
  <c r="Z61" i="5"/>
  <c r="Y61" i="5"/>
  <c r="X61" i="5"/>
  <c r="W61" i="5"/>
  <c r="V61" i="5"/>
  <c r="F61" i="5"/>
  <c r="BS60" i="5"/>
  <c r="BQ60" i="5"/>
  <c r="BO60" i="5"/>
  <c r="BM60" i="5"/>
  <c r="BK60" i="5"/>
  <c r="BE60" i="5"/>
  <c r="BD60" i="5"/>
  <c r="BC60" i="5"/>
  <c r="BA60" i="5"/>
  <c r="AZ60" i="5"/>
  <c r="AY60" i="5"/>
  <c r="AC60" i="5"/>
  <c r="AB60" i="5"/>
  <c r="AA60" i="5"/>
  <c r="Z60" i="5"/>
  <c r="Y60" i="5"/>
  <c r="X60" i="5"/>
  <c r="W60" i="5"/>
  <c r="V60" i="5"/>
  <c r="F60" i="5"/>
  <c r="BS59" i="5"/>
  <c r="BQ59" i="5"/>
  <c r="BO59" i="5"/>
  <c r="BM59" i="5"/>
  <c r="BK59" i="5"/>
  <c r="BF59" i="5"/>
  <c r="H59" i="5" s="1"/>
  <c r="BE59" i="5"/>
  <c r="BD59" i="5"/>
  <c r="BB59" i="5"/>
  <c r="BA59" i="5"/>
  <c r="AZ59" i="5"/>
  <c r="AX59" i="5"/>
  <c r="AC59" i="5"/>
  <c r="AB59" i="5"/>
  <c r="AA59" i="5"/>
  <c r="Z59" i="5"/>
  <c r="Y59" i="5"/>
  <c r="X59" i="5"/>
  <c r="W59" i="5"/>
  <c r="V59" i="5"/>
  <c r="F59" i="5"/>
  <c r="BS58" i="5"/>
  <c r="BQ58" i="5"/>
  <c r="BO58" i="5"/>
  <c r="BM58" i="5"/>
  <c r="BK58" i="5"/>
  <c r="BF58" i="5"/>
  <c r="H58" i="5" s="1"/>
  <c r="BE58" i="5"/>
  <c r="BC58" i="5"/>
  <c r="BB58" i="5"/>
  <c r="BA58" i="5"/>
  <c r="AY58" i="5"/>
  <c r="AX58" i="5"/>
  <c r="AC58" i="5"/>
  <c r="AB58" i="5"/>
  <c r="AA58" i="5"/>
  <c r="Z58" i="5"/>
  <c r="Y58" i="5"/>
  <c r="X58" i="5"/>
  <c r="W58" i="5"/>
  <c r="V58" i="5"/>
  <c r="F58" i="5"/>
  <c r="BS57" i="5"/>
  <c r="BQ57" i="5"/>
  <c r="BO57" i="5"/>
  <c r="BM57" i="5"/>
  <c r="BK57" i="5"/>
  <c r="BF57" i="5"/>
  <c r="H57" i="5" s="1"/>
  <c r="BD57" i="5"/>
  <c r="BC57" i="5"/>
  <c r="BB57" i="5"/>
  <c r="AZ57" i="5"/>
  <c r="AY57" i="5"/>
  <c r="AX57" i="5"/>
  <c r="AC57" i="5"/>
  <c r="AB57" i="5"/>
  <c r="AA57" i="5"/>
  <c r="Z57" i="5"/>
  <c r="Y57" i="5"/>
  <c r="X57" i="5"/>
  <c r="W57" i="5"/>
  <c r="V57" i="5"/>
  <c r="F57" i="5"/>
  <c r="BS56" i="5"/>
  <c r="BQ56" i="5"/>
  <c r="BO56" i="5"/>
  <c r="BM56" i="5"/>
  <c r="BK56" i="5"/>
  <c r="BE56" i="5"/>
  <c r="BD56" i="5"/>
  <c r="BC56" i="5"/>
  <c r="BA56" i="5"/>
  <c r="AZ56" i="5"/>
  <c r="AY56" i="5"/>
  <c r="AC56" i="5"/>
  <c r="AB56" i="5"/>
  <c r="AA56" i="5"/>
  <c r="Z56" i="5"/>
  <c r="Y56" i="5"/>
  <c r="X56" i="5"/>
  <c r="W56" i="5"/>
  <c r="V56" i="5"/>
  <c r="F56" i="5"/>
  <c r="BS55" i="5"/>
  <c r="BQ55" i="5"/>
  <c r="BO55" i="5"/>
  <c r="BM55" i="5"/>
  <c r="BK55" i="5"/>
  <c r="BF55" i="5"/>
  <c r="H55" i="5" s="1"/>
  <c r="BE55" i="5"/>
  <c r="BB55" i="5"/>
  <c r="BA55" i="5"/>
  <c r="AX55" i="5"/>
  <c r="AC55" i="5"/>
  <c r="AB55" i="5"/>
  <c r="AA55" i="5"/>
  <c r="Z55" i="5"/>
  <c r="Y55" i="5"/>
  <c r="X55" i="5"/>
  <c r="W55" i="5"/>
  <c r="V55" i="5"/>
  <c r="F55" i="5"/>
  <c r="BS54" i="5"/>
  <c r="BQ54" i="5"/>
  <c r="BO54" i="5"/>
  <c r="BM54" i="5"/>
  <c r="BK54" i="5"/>
  <c r="BE54" i="5"/>
  <c r="BC54" i="5"/>
  <c r="BA54" i="5"/>
  <c r="AY54" i="5"/>
  <c r="AC54" i="5"/>
  <c r="AB54" i="5"/>
  <c r="AA54" i="5"/>
  <c r="Z54" i="5"/>
  <c r="Y54" i="5"/>
  <c r="X54" i="5"/>
  <c r="W54" i="5"/>
  <c r="V54" i="5"/>
  <c r="F54" i="5"/>
  <c r="BS53" i="5"/>
  <c r="BQ53" i="5"/>
  <c r="BO53" i="5"/>
  <c r="BM53" i="5"/>
  <c r="BK53" i="5"/>
  <c r="BF53" i="5"/>
  <c r="H53" i="5" s="1"/>
  <c r="BD53" i="5"/>
  <c r="BB53" i="5"/>
  <c r="BA53" i="5"/>
  <c r="AZ53" i="5"/>
  <c r="AY53" i="5"/>
  <c r="AX53" i="5"/>
  <c r="AC53" i="5"/>
  <c r="AB53" i="5"/>
  <c r="AA53" i="5"/>
  <c r="Z53" i="5"/>
  <c r="Y53" i="5"/>
  <c r="X53" i="5"/>
  <c r="W53" i="5"/>
  <c r="V53" i="5"/>
  <c r="F53" i="5"/>
  <c r="BS52" i="5"/>
  <c r="BQ52" i="5"/>
  <c r="BO52" i="5"/>
  <c r="BM52" i="5"/>
  <c r="BK52" i="5"/>
  <c r="BD52" i="5"/>
  <c r="BC52" i="5"/>
  <c r="BA52" i="5"/>
  <c r="AZ52" i="5"/>
  <c r="AY52" i="5"/>
  <c r="AC52" i="5"/>
  <c r="AB52" i="5"/>
  <c r="AA52" i="5"/>
  <c r="Z52" i="5"/>
  <c r="Y52" i="5"/>
  <c r="X52" i="5"/>
  <c r="W52" i="5"/>
  <c r="V52" i="5"/>
  <c r="F52" i="5"/>
  <c r="BS51" i="5"/>
  <c r="BQ51" i="5"/>
  <c r="BO51" i="5"/>
  <c r="BM51" i="5"/>
  <c r="BK51" i="5"/>
  <c r="BF51" i="5"/>
  <c r="H51" i="5" s="1"/>
  <c r="BE51" i="5"/>
  <c r="BD51" i="5"/>
  <c r="BB51" i="5"/>
  <c r="BA51" i="5"/>
  <c r="AZ51" i="5"/>
  <c r="AX51" i="5"/>
  <c r="AC51" i="5"/>
  <c r="AB51" i="5"/>
  <c r="AA51" i="5"/>
  <c r="Z51" i="5"/>
  <c r="Y51" i="5"/>
  <c r="X51" i="5"/>
  <c r="W51" i="5"/>
  <c r="V51" i="5"/>
  <c r="F51" i="5"/>
  <c r="BS50" i="5"/>
  <c r="BQ50" i="5"/>
  <c r="BO50" i="5"/>
  <c r="BM50" i="5"/>
  <c r="BK50" i="5"/>
  <c r="BF50" i="5"/>
  <c r="H50" i="5" s="1"/>
  <c r="BE50" i="5"/>
  <c r="BD50" i="5"/>
  <c r="BC50" i="5"/>
  <c r="BB50" i="5"/>
  <c r="BA50" i="5"/>
  <c r="AZ50" i="5"/>
  <c r="AY50" i="5"/>
  <c r="AX50" i="5"/>
  <c r="AC50" i="5"/>
  <c r="AB50" i="5"/>
  <c r="AA50" i="5"/>
  <c r="Z50" i="5"/>
  <c r="Y50" i="5"/>
  <c r="X50" i="5"/>
  <c r="W50" i="5"/>
  <c r="V50" i="5"/>
  <c r="F50" i="5"/>
  <c r="BS49" i="5"/>
  <c r="BQ49" i="5"/>
  <c r="BO49" i="5"/>
  <c r="BM49" i="5"/>
  <c r="BK49" i="5"/>
  <c r="BF49" i="5"/>
  <c r="H49" i="5" s="1"/>
  <c r="BD49" i="5"/>
  <c r="BC49" i="5"/>
  <c r="BB49" i="5"/>
  <c r="AZ49" i="5"/>
  <c r="AY49" i="5"/>
  <c r="AX49" i="5"/>
  <c r="AC49" i="5"/>
  <c r="AB49" i="5"/>
  <c r="AA49" i="5"/>
  <c r="Z49" i="5"/>
  <c r="Y49" i="5"/>
  <c r="X49" i="5"/>
  <c r="W49" i="5"/>
  <c r="V49" i="5"/>
  <c r="F49" i="5"/>
  <c r="BS48" i="5"/>
  <c r="BQ48" i="5"/>
  <c r="BO48" i="5"/>
  <c r="BM48" i="5"/>
  <c r="BK48" i="5"/>
  <c r="BE48" i="5"/>
  <c r="BD48" i="5"/>
  <c r="BC48" i="5"/>
  <c r="BA48" i="5"/>
  <c r="AZ48" i="5"/>
  <c r="AY48" i="5"/>
  <c r="AC48" i="5"/>
  <c r="AB48" i="5"/>
  <c r="AA48" i="5"/>
  <c r="Z48" i="5"/>
  <c r="Y48" i="5"/>
  <c r="X48" i="5"/>
  <c r="W48" i="5"/>
  <c r="V48" i="5"/>
  <c r="F48" i="5"/>
  <c r="BS47" i="5"/>
  <c r="BQ47" i="5"/>
  <c r="BO47" i="5"/>
  <c r="BM47" i="5"/>
  <c r="BK47" i="5"/>
  <c r="BF47" i="5"/>
  <c r="H47" i="5" s="1"/>
  <c r="BE47" i="5"/>
  <c r="BD47" i="5"/>
  <c r="BB47" i="5"/>
  <c r="BA47" i="5"/>
  <c r="AZ47" i="5"/>
  <c r="AX47" i="5"/>
  <c r="AC47" i="5"/>
  <c r="AB47" i="5"/>
  <c r="AA47" i="5"/>
  <c r="Z47" i="5"/>
  <c r="Y47" i="5"/>
  <c r="X47" i="5"/>
  <c r="W47" i="5"/>
  <c r="V47" i="5"/>
  <c r="F47" i="5"/>
  <c r="BS46" i="5"/>
  <c r="BQ46" i="5"/>
  <c r="BO46" i="5"/>
  <c r="BM46" i="5"/>
  <c r="BK46" i="5"/>
  <c r="BF46" i="5"/>
  <c r="H46" i="5" s="1"/>
  <c r="BE46" i="5"/>
  <c r="BC46" i="5"/>
  <c r="BB46" i="5"/>
  <c r="BA46" i="5"/>
  <c r="AY46" i="5"/>
  <c r="AX46" i="5"/>
  <c r="AC46" i="5"/>
  <c r="AB46" i="5"/>
  <c r="AA46" i="5"/>
  <c r="Z46" i="5"/>
  <c r="Y46" i="5"/>
  <c r="X46" i="5"/>
  <c r="W46" i="5"/>
  <c r="V46" i="5"/>
  <c r="F46" i="5"/>
  <c r="BS45" i="5"/>
  <c r="BQ45" i="5"/>
  <c r="BO45" i="5"/>
  <c r="BM45" i="5"/>
  <c r="BK45" i="5"/>
  <c r="BF45" i="5"/>
  <c r="H45" i="5" s="1"/>
  <c r="BD45" i="5"/>
  <c r="BC45" i="5"/>
  <c r="BB45" i="5"/>
  <c r="AZ45" i="5"/>
  <c r="AY45" i="5"/>
  <c r="AX45" i="5"/>
  <c r="AC45" i="5"/>
  <c r="AB45" i="5"/>
  <c r="AA45" i="5"/>
  <c r="Z45" i="5"/>
  <c r="Y45" i="5"/>
  <c r="X45" i="5"/>
  <c r="W45" i="5"/>
  <c r="V45" i="5"/>
  <c r="F45" i="5"/>
  <c r="BS44" i="5"/>
  <c r="BQ44" i="5"/>
  <c r="BO44" i="5"/>
  <c r="BM44" i="5"/>
  <c r="BK44" i="5"/>
  <c r="BE44" i="5"/>
  <c r="BD44" i="5"/>
  <c r="BC44" i="5"/>
  <c r="BA44" i="5"/>
  <c r="AZ44" i="5"/>
  <c r="AY44" i="5"/>
  <c r="AC44" i="5"/>
  <c r="AB44" i="5"/>
  <c r="AA44" i="5"/>
  <c r="Z44" i="5"/>
  <c r="Y44" i="5"/>
  <c r="X44" i="5"/>
  <c r="W44" i="5"/>
  <c r="V44" i="5"/>
  <c r="F44" i="5"/>
  <c r="BS43" i="5"/>
  <c r="BQ43" i="5"/>
  <c r="BO43" i="5"/>
  <c r="BM43" i="5"/>
  <c r="BK43" i="5"/>
  <c r="BF43" i="5"/>
  <c r="H43" i="5" s="1"/>
  <c r="BE43" i="5"/>
  <c r="BD43" i="5"/>
  <c r="BB43" i="5"/>
  <c r="BA43" i="5"/>
  <c r="AZ43" i="5"/>
  <c r="AX43" i="5"/>
  <c r="AC43" i="5"/>
  <c r="AB43" i="5"/>
  <c r="AA43" i="5"/>
  <c r="Z43" i="5"/>
  <c r="Y43" i="5"/>
  <c r="X43" i="5"/>
  <c r="W43" i="5"/>
  <c r="V43" i="5"/>
  <c r="F43" i="5"/>
  <c r="BS42" i="5"/>
  <c r="BQ42" i="5"/>
  <c r="BO42" i="5"/>
  <c r="BM42" i="5"/>
  <c r="BK42" i="5"/>
  <c r="BF42" i="5"/>
  <c r="H42" i="5" s="1"/>
  <c r="BE42" i="5"/>
  <c r="BC42" i="5"/>
  <c r="BB42" i="5"/>
  <c r="BA42" i="5"/>
  <c r="AY42" i="5"/>
  <c r="AX42" i="5"/>
  <c r="AC42" i="5"/>
  <c r="AB42" i="5"/>
  <c r="AA42" i="5"/>
  <c r="Z42" i="5"/>
  <c r="Y42" i="5"/>
  <c r="X42" i="5"/>
  <c r="W42" i="5"/>
  <c r="V42" i="5"/>
  <c r="F42" i="5"/>
  <c r="BS41" i="5"/>
  <c r="BQ41" i="5"/>
  <c r="BO41" i="5"/>
  <c r="BM41" i="5"/>
  <c r="BK41" i="5"/>
  <c r="BF41" i="5"/>
  <c r="H41" i="5" s="1"/>
  <c r="BD41" i="5"/>
  <c r="BC41" i="5"/>
  <c r="BB41" i="5"/>
  <c r="AZ41" i="5"/>
  <c r="AY41" i="5"/>
  <c r="AX41" i="5"/>
  <c r="AC41" i="5"/>
  <c r="AB41" i="5"/>
  <c r="AA41" i="5"/>
  <c r="Z41" i="5"/>
  <c r="Y41" i="5"/>
  <c r="X41" i="5"/>
  <c r="W41" i="5"/>
  <c r="V41" i="5"/>
  <c r="F41" i="5"/>
  <c r="BS40" i="5"/>
  <c r="BQ40" i="5"/>
  <c r="BO40" i="5"/>
  <c r="BM40" i="5"/>
  <c r="BK40" i="5"/>
  <c r="BE40" i="5"/>
  <c r="BD40" i="5"/>
  <c r="BC40" i="5"/>
  <c r="BA40" i="5"/>
  <c r="AZ40" i="5"/>
  <c r="AY40" i="5"/>
  <c r="AC40" i="5"/>
  <c r="AB40" i="5"/>
  <c r="AA40" i="5"/>
  <c r="Z40" i="5"/>
  <c r="Y40" i="5"/>
  <c r="X40" i="5"/>
  <c r="W40" i="5"/>
  <c r="V40" i="5"/>
  <c r="F40" i="5"/>
  <c r="BS39" i="5"/>
  <c r="BQ39" i="5"/>
  <c r="BO39" i="5"/>
  <c r="BM39" i="5"/>
  <c r="BK39" i="5"/>
  <c r="BF39" i="5"/>
  <c r="H39" i="5" s="1"/>
  <c r="BE39" i="5"/>
  <c r="BD39" i="5"/>
  <c r="BC39" i="5"/>
  <c r="BB39" i="5"/>
  <c r="BA39" i="5"/>
  <c r="AZ39" i="5"/>
  <c r="AY39" i="5"/>
  <c r="AX39" i="5"/>
  <c r="AC39" i="5"/>
  <c r="AB39" i="5"/>
  <c r="AA39" i="5"/>
  <c r="Z39" i="5"/>
  <c r="Y39" i="5"/>
  <c r="X39" i="5"/>
  <c r="W39" i="5"/>
  <c r="V39" i="5"/>
  <c r="F39" i="5"/>
  <c r="BS38" i="5"/>
  <c r="BQ38" i="5"/>
  <c r="BO38" i="5"/>
  <c r="BM38" i="5"/>
  <c r="BK38" i="5"/>
  <c r="BF38" i="5"/>
  <c r="H38" i="5" s="1"/>
  <c r="BE38" i="5"/>
  <c r="BC38" i="5"/>
  <c r="BB38" i="5"/>
  <c r="BA38" i="5"/>
  <c r="AY38" i="5"/>
  <c r="AX38" i="5"/>
  <c r="AC38" i="5"/>
  <c r="AB38" i="5"/>
  <c r="AA38" i="5"/>
  <c r="Z38" i="5"/>
  <c r="Y38" i="5"/>
  <c r="X38" i="5"/>
  <c r="W38" i="5"/>
  <c r="V38" i="5"/>
  <c r="F38" i="5"/>
  <c r="BS37" i="5"/>
  <c r="BQ37" i="5"/>
  <c r="BO37" i="5"/>
  <c r="BM37" i="5"/>
  <c r="BK37" i="5"/>
  <c r="BF37" i="5"/>
  <c r="H37" i="5" s="1"/>
  <c r="BD37" i="5"/>
  <c r="BC37" i="5"/>
  <c r="BB37" i="5"/>
  <c r="AZ37" i="5"/>
  <c r="AY37" i="5"/>
  <c r="AX37" i="5"/>
  <c r="AC37" i="5"/>
  <c r="AB37" i="5"/>
  <c r="AA37" i="5"/>
  <c r="Z37" i="5"/>
  <c r="Y37" i="5"/>
  <c r="X37" i="5"/>
  <c r="W37" i="5"/>
  <c r="V37" i="5"/>
  <c r="F37" i="5"/>
  <c r="BS36" i="5"/>
  <c r="BQ36" i="5"/>
  <c r="BO36" i="5"/>
  <c r="BM36" i="5"/>
  <c r="BK36" i="5"/>
  <c r="BF36" i="5"/>
  <c r="H36" i="5" s="1"/>
  <c r="BE36" i="5"/>
  <c r="BD36" i="5"/>
  <c r="BC36" i="5"/>
  <c r="BB36" i="5"/>
  <c r="BA36" i="5"/>
  <c r="AZ36" i="5"/>
  <c r="AY36" i="5"/>
  <c r="AX36" i="5"/>
  <c r="AC36" i="5"/>
  <c r="AB36" i="5"/>
  <c r="AA36" i="5"/>
  <c r="Z36" i="5"/>
  <c r="Y36" i="5"/>
  <c r="X36" i="5"/>
  <c r="W36" i="5"/>
  <c r="V36" i="5"/>
  <c r="F36" i="5"/>
  <c r="BS35" i="5"/>
  <c r="BQ35" i="5"/>
  <c r="BO35" i="5"/>
  <c r="BM35" i="5"/>
  <c r="BK35" i="5"/>
  <c r="BF35" i="5"/>
  <c r="H35" i="5" s="1"/>
  <c r="BE35" i="5"/>
  <c r="BD35" i="5"/>
  <c r="BB35" i="5"/>
  <c r="BA35" i="5"/>
  <c r="AZ35" i="5"/>
  <c r="AX35" i="5"/>
  <c r="AC35" i="5"/>
  <c r="AB35" i="5"/>
  <c r="AA35" i="5"/>
  <c r="Z35" i="5"/>
  <c r="Y35" i="5"/>
  <c r="X35" i="5"/>
  <c r="W35" i="5"/>
  <c r="V35" i="5"/>
  <c r="F35" i="5"/>
  <c r="BS34" i="5"/>
  <c r="BQ34" i="5"/>
  <c r="BO34" i="5"/>
  <c r="BM34" i="5"/>
  <c r="BK34" i="5"/>
  <c r="BE34" i="5"/>
  <c r="BC34" i="5"/>
  <c r="BB34" i="5"/>
  <c r="BA34" i="5"/>
  <c r="AY34" i="5"/>
  <c r="AX34" i="5"/>
  <c r="AC34" i="5"/>
  <c r="AB34" i="5"/>
  <c r="AA34" i="5"/>
  <c r="Z34" i="5"/>
  <c r="Y34" i="5"/>
  <c r="X34" i="5"/>
  <c r="W34" i="5"/>
  <c r="V34" i="5"/>
  <c r="F34" i="5"/>
  <c r="BS33" i="5"/>
  <c r="BQ33" i="5"/>
  <c r="BO33" i="5"/>
  <c r="BM33" i="5"/>
  <c r="BK33" i="5"/>
  <c r="BF33" i="5"/>
  <c r="H33" i="5" s="1"/>
  <c r="BD33" i="5"/>
  <c r="BC33" i="5"/>
  <c r="BB33" i="5"/>
  <c r="AY33" i="5"/>
  <c r="AX33" i="5"/>
  <c r="AC33" i="5"/>
  <c r="AB33" i="5"/>
  <c r="AA33" i="5"/>
  <c r="Z33" i="5"/>
  <c r="Y33" i="5"/>
  <c r="X33" i="5"/>
  <c r="W33" i="5"/>
  <c r="V33" i="5"/>
  <c r="F33" i="5"/>
  <c r="BS32" i="5"/>
  <c r="BQ32" i="5"/>
  <c r="BO32" i="5"/>
  <c r="BM32" i="5"/>
  <c r="BK32" i="5"/>
  <c r="BD32" i="5"/>
  <c r="BC32" i="5"/>
  <c r="BA32" i="5"/>
  <c r="AZ32" i="5"/>
  <c r="AY32" i="5"/>
  <c r="AC32" i="5"/>
  <c r="AB32" i="5"/>
  <c r="AA32" i="5"/>
  <c r="Z32" i="5"/>
  <c r="Y32" i="5"/>
  <c r="X32" i="5"/>
  <c r="W32" i="5"/>
  <c r="V32" i="5"/>
  <c r="F32" i="5"/>
  <c r="BS31" i="5"/>
  <c r="BQ31" i="5"/>
  <c r="BO31" i="5"/>
  <c r="BM31" i="5"/>
  <c r="BK31" i="5"/>
  <c r="BF31" i="5"/>
  <c r="H31" i="5" s="1"/>
  <c r="BE31" i="5"/>
  <c r="BD31" i="5"/>
  <c r="BB31" i="5"/>
  <c r="BA31" i="5"/>
  <c r="AZ31" i="5"/>
  <c r="AX31" i="5"/>
  <c r="AC31" i="5"/>
  <c r="AB31" i="5"/>
  <c r="AA31" i="5"/>
  <c r="Z31" i="5"/>
  <c r="Y31" i="5"/>
  <c r="X31" i="5"/>
  <c r="W31" i="5"/>
  <c r="V31" i="5"/>
  <c r="F31" i="5"/>
  <c r="BS30" i="5"/>
  <c r="BQ30" i="5"/>
  <c r="BO30" i="5"/>
  <c r="BM30" i="5"/>
  <c r="BK30" i="5"/>
  <c r="BF30" i="5"/>
  <c r="H30" i="5" s="1"/>
  <c r="BE30" i="5"/>
  <c r="BC30" i="5"/>
  <c r="BB30" i="5"/>
  <c r="AY30" i="5"/>
  <c r="AX30" i="5"/>
  <c r="AC30" i="5"/>
  <c r="AB30" i="5"/>
  <c r="AA30" i="5"/>
  <c r="Z30" i="5"/>
  <c r="Y30" i="5"/>
  <c r="X30" i="5"/>
  <c r="W30" i="5"/>
  <c r="V30" i="5"/>
  <c r="F30" i="5"/>
  <c r="BS29" i="5"/>
  <c r="BQ29" i="5"/>
  <c r="BO29" i="5"/>
  <c r="BM29" i="5"/>
  <c r="BK29" i="5"/>
  <c r="BF29" i="5"/>
  <c r="H29" i="5" s="1"/>
  <c r="BE29" i="5"/>
  <c r="BD29" i="5"/>
  <c r="BC29" i="5"/>
  <c r="BB29" i="5"/>
  <c r="BA29" i="5"/>
  <c r="AZ29" i="5"/>
  <c r="AY29" i="5"/>
  <c r="AX29" i="5"/>
  <c r="AC29" i="5"/>
  <c r="AB29" i="5"/>
  <c r="AA29" i="5"/>
  <c r="Z29" i="5"/>
  <c r="Y29" i="5"/>
  <c r="X29" i="5"/>
  <c r="W29" i="5"/>
  <c r="V29" i="5"/>
  <c r="F29" i="5"/>
  <c r="BS28" i="5"/>
  <c r="BQ28" i="5"/>
  <c r="BO28" i="5"/>
  <c r="BM28" i="5"/>
  <c r="BK28" i="5"/>
  <c r="BE28" i="5"/>
  <c r="BC28" i="5"/>
  <c r="BB28" i="5"/>
  <c r="BA28" i="5"/>
  <c r="AY28" i="5"/>
  <c r="AC28" i="5"/>
  <c r="AB28" i="5"/>
  <c r="AA28" i="5"/>
  <c r="Z28" i="5"/>
  <c r="Y28" i="5"/>
  <c r="X28" i="5"/>
  <c r="W28" i="5"/>
  <c r="V28" i="5"/>
  <c r="F28" i="5"/>
  <c r="BS27" i="5"/>
  <c r="BQ27" i="5"/>
  <c r="BO27" i="5"/>
  <c r="BM27" i="5"/>
  <c r="BK27" i="5"/>
  <c r="BF27" i="5"/>
  <c r="H27" i="5" s="1"/>
  <c r="BD27" i="5"/>
  <c r="BB27" i="5"/>
  <c r="AZ27" i="5"/>
  <c r="AX27" i="5"/>
  <c r="AC27" i="5"/>
  <c r="AB27" i="5"/>
  <c r="AA27" i="5"/>
  <c r="Z27" i="5"/>
  <c r="Y27" i="5"/>
  <c r="X27" i="5"/>
  <c r="W27" i="5"/>
  <c r="V27" i="5"/>
  <c r="F27" i="5"/>
  <c r="BS26" i="5"/>
  <c r="BQ26" i="5"/>
  <c r="BO26" i="5"/>
  <c r="BM26" i="5"/>
  <c r="BK26" i="5"/>
  <c r="BE26" i="5"/>
  <c r="BC26" i="5"/>
  <c r="BA26" i="5"/>
  <c r="AY26" i="5"/>
  <c r="AC26" i="5"/>
  <c r="AB26" i="5"/>
  <c r="AA26" i="5"/>
  <c r="Z26" i="5"/>
  <c r="Y26" i="5"/>
  <c r="X26" i="5"/>
  <c r="W26" i="5"/>
  <c r="V26" i="5"/>
  <c r="F26" i="5"/>
  <c r="BS25" i="5"/>
  <c r="BQ25" i="5"/>
  <c r="BO25" i="5"/>
  <c r="BM25" i="5"/>
  <c r="BK25" i="5"/>
  <c r="BF25" i="5"/>
  <c r="H25" i="5" s="1"/>
  <c r="BD25" i="5"/>
  <c r="BC25" i="5"/>
  <c r="BB25" i="5"/>
  <c r="AZ25" i="5"/>
  <c r="AY25" i="5"/>
  <c r="AX25" i="5"/>
  <c r="AC25" i="5"/>
  <c r="AB25" i="5"/>
  <c r="AA25" i="5"/>
  <c r="Z25" i="5"/>
  <c r="Y25" i="5"/>
  <c r="X25" i="5"/>
  <c r="W25" i="5"/>
  <c r="V25" i="5"/>
  <c r="F25" i="5"/>
  <c r="BS24" i="5"/>
  <c r="BQ24" i="5"/>
  <c r="BO24" i="5"/>
  <c r="BM24" i="5"/>
  <c r="BK24" i="5"/>
  <c r="BE24" i="5"/>
  <c r="BC24" i="5"/>
  <c r="BA24" i="5"/>
  <c r="AY24" i="5"/>
  <c r="AC24" i="5"/>
  <c r="AB24" i="5"/>
  <c r="AA24" i="5"/>
  <c r="Z24" i="5"/>
  <c r="Y24" i="5"/>
  <c r="X24" i="5"/>
  <c r="W24" i="5"/>
  <c r="V24" i="5"/>
  <c r="F24" i="5"/>
  <c r="BS23" i="5"/>
  <c r="BQ23" i="5"/>
  <c r="BO23" i="5"/>
  <c r="BM23" i="5"/>
  <c r="BK23" i="5"/>
  <c r="BF23" i="5"/>
  <c r="H23" i="5" s="1"/>
  <c r="BD23" i="5"/>
  <c r="BB23" i="5"/>
  <c r="AZ23" i="5"/>
  <c r="AX23" i="5"/>
  <c r="AC23" i="5"/>
  <c r="AB23" i="5"/>
  <c r="AA23" i="5"/>
  <c r="Z23" i="5"/>
  <c r="Y23" i="5"/>
  <c r="X23" i="5"/>
  <c r="W23" i="5"/>
  <c r="V23" i="5"/>
  <c r="F23" i="5"/>
  <c r="BS22" i="5"/>
  <c r="BQ22" i="5"/>
  <c r="BO22" i="5"/>
  <c r="BM22" i="5"/>
  <c r="BK22" i="5"/>
  <c r="BF22" i="5"/>
  <c r="H22" i="5" s="1"/>
  <c r="BE22" i="5"/>
  <c r="BC22" i="5"/>
  <c r="BB22" i="5"/>
  <c r="BA22" i="5"/>
  <c r="AY22" i="5"/>
  <c r="AX22" i="5"/>
  <c r="AC22" i="5"/>
  <c r="AB22" i="5"/>
  <c r="AA22" i="5"/>
  <c r="Z22" i="5"/>
  <c r="Y22" i="5"/>
  <c r="X22" i="5"/>
  <c r="W22" i="5"/>
  <c r="V22" i="5"/>
  <c r="F22" i="5"/>
  <c r="BS21" i="5"/>
  <c r="BQ21" i="5"/>
  <c r="BO21" i="5"/>
  <c r="BM21" i="5"/>
  <c r="BK21" i="5"/>
  <c r="BF21" i="5"/>
  <c r="H21" i="5" s="1"/>
  <c r="BD21" i="5"/>
  <c r="BC21" i="5"/>
  <c r="BB21" i="5"/>
  <c r="AZ21" i="5"/>
  <c r="AY21" i="5"/>
  <c r="AX21" i="5"/>
  <c r="AC21" i="5"/>
  <c r="AB21" i="5"/>
  <c r="AA21" i="5"/>
  <c r="Z21" i="5"/>
  <c r="Y21" i="5"/>
  <c r="X21" i="5"/>
  <c r="W21" i="5"/>
  <c r="V21" i="5"/>
  <c r="F21" i="5"/>
  <c r="BS20" i="5"/>
  <c r="BQ20" i="5"/>
  <c r="BO20" i="5"/>
  <c r="BM20" i="5"/>
  <c r="BK20" i="5"/>
  <c r="BE20" i="5"/>
  <c r="BD20" i="5"/>
  <c r="BC20" i="5"/>
  <c r="BA20" i="5"/>
  <c r="AZ20" i="5"/>
  <c r="AY20" i="5"/>
  <c r="AC20" i="5"/>
  <c r="AB20" i="5"/>
  <c r="AA20" i="5"/>
  <c r="Z20" i="5"/>
  <c r="Y20" i="5"/>
  <c r="X20" i="5"/>
  <c r="W20" i="5"/>
  <c r="V20" i="5"/>
  <c r="F20" i="5"/>
  <c r="BS19" i="5"/>
  <c r="BQ19" i="5"/>
  <c r="BO19" i="5"/>
  <c r="BM19" i="5"/>
  <c r="BK19" i="5"/>
  <c r="BF19" i="5"/>
  <c r="H19" i="5" s="1"/>
  <c r="BD19" i="5"/>
  <c r="BB19" i="5"/>
  <c r="AZ19" i="5"/>
  <c r="AY19" i="5"/>
  <c r="AX19" i="5"/>
  <c r="AC19" i="5"/>
  <c r="AB19" i="5"/>
  <c r="AA19" i="5"/>
  <c r="Z19" i="5"/>
  <c r="Y19" i="5"/>
  <c r="X19" i="5"/>
  <c r="W19" i="5"/>
  <c r="V19" i="5"/>
  <c r="F19" i="5"/>
  <c r="BS18" i="5"/>
  <c r="BQ18" i="5"/>
  <c r="BO18" i="5"/>
  <c r="BM18" i="5"/>
  <c r="BK18" i="5"/>
  <c r="BF18" i="5"/>
  <c r="H18" i="5" s="1"/>
  <c r="BE18" i="5"/>
  <c r="BC18" i="5"/>
  <c r="BB18" i="5"/>
  <c r="BA18" i="5"/>
  <c r="AY18" i="5"/>
  <c r="AX18" i="5"/>
  <c r="AC18" i="5"/>
  <c r="AB18" i="5"/>
  <c r="AA18" i="5"/>
  <c r="Z18" i="5"/>
  <c r="Y18" i="5"/>
  <c r="X18" i="5"/>
  <c r="W18" i="5"/>
  <c r="V18" i="5"/>
  <c r="F18" i="5"/>
  <c r="BS17" i="5"/>
  <c r="BQ17" i="5"/>
  <c r="BO17" i="5"/>
  <c r="BM17" i="5"/>
  <c r="BK17" i="5"/>
  <c r="BF17" i="5"/>
  <c r="H17" i="5" s="1"/>
  <c r="BD17" i="5"/>
  <c r="BC17" i="5"/>
  <c r="BB17" i="5"/>
  <c r="AZ17" i="5"/>
  <c r="AY17" i="5"/>
  <c r="AX17" i="5"/>
  <c r="AC17" i="5"/>
  <c r="AB17" i="5"/>
  <c r="AA17" i="5"/>
  <c r="Z17" i="5"/>
  <c r="Y17" i="5"/>
  <c r="X17" i="5"/>
  <c r="W17" i="5"/>
  <c r="V17" i="5"/>
  <c r="F17" i="5"/>
  <c r="BS16" i="5"/>
  <c r="BQ16" i="5"/>
  <c r="BO16" i="5"/>
  <c r="BM16" i="5"/>
  <c r="BK16" i="5"/>
  <c r="BE16" i="5"/>
  <c r="BC16" i="5"/>
  <c r="BA16" i="5"/>
  <c r="AY16" i="5"/>
  <c r="AC16" i="5"/>
  <c r="AB16" i="5"/>
  <c r="AA16" i="5"/>
  <c r="Z16" i="5"/>
  <c r="Y16" i="5"/>
  <c r="X16" i="5"/>
  <c r="W16" i="5"/>
  <c r="V16" i="5"/>
  <c r="F16" i="5"/>
  <c r="BS15" i="5"/>
  <c r="BQ15" i="5"/>
  <c r="BO15" i="5"/>
  <c r="BM15" i="5"/>
  <c r="BK15" i="5"/>
  <c r="BF15" i="5"/>
  <c r="H15" i="5" s="1"/>
  <c r="BD15" i="5"/>
  <c r="BB15" i="5"/>
  <c r="BA15" i="5"/>
  <c r="AZ15" i="5"/>
  <c r="AX15" i="5"/>
  <c r="AC15" i="5"/>
  <c r="AB15" i="5"/>
  <c r="AA15" i="5"/>
  <c r="Z15" i="5"/>
  <c r="Y15" i="5"/>
  <c r="X15" i="5"/>
  <c r="W15" i="5"/>
  <c r="V15" i="5"/>
  <c r="F15" i="5"/>
  <c r="BS14" i="5"/>
  <c r="BQ14" i="5"/>
  <c r="BO14" i="5"/>
  <c r="BM14" i="5"/>
  <c r="BK14" i="5"/>
  <c r="BF14" i="5"/>
  <c r="H14" i="5" s="1"/>
  <c r="BE14" i="5"/>
  <c r="BC14" i="5"/>
  <c r="BB14" i="5"/>
  <c r="BA14" i="5"/>
  <c r="AY14" i="5"/>
  <c r="AX14" i="5"/>
  <c r="AC14" i="5"/>
  <c r="AB14" i="5"/>
  <c r="AA14" i="5"/>
  <c r="Z14" i="5"/>
  <c r="Y14" i="5"/>
  <c r="X14" i="5"/>
  <c r="W14" i="5"/>
  <c r="V14" i="5"/>
  <c r="F14" i="5"/>
  <c r="BS13" i="5"/>
  <c r="BQ13" i="5"/>
  <c r="BO13" i="5"/>
  <c r="BM13" i="5"/>
  <c r="BK13" i="5"/>
  <c r="BF13" i="5"/>
  <c r="H13" i="5" s="1"/>
  <c r="BD13" i="5"/>
  <c r="BC13" i="5"/>
  <c r="BB13" i="5"/>
  <c r="AZ13" i="5"/>
  <c r="AY13" i="5"/>
  <c r="AX13" i="5"/>
  <c r="AC13" i="5"/>
  <c r="AB13" i="5"/>
  <c r="AA13" i="5"/>
  <c r="Z13" i="5"/>
  <c r="Y13" i="5"/>
  <c r="X13" i="5"/>
  <c r="W13" i="5"/>
  <c r="V13" i="5"/>
  <c r="F13" i="5"/>
  <c r="BS12" i="5"/>
  <c r="BQ12" i="5"/>
  <c r="BO12" i="5"/>
  <c r="BM12" i="5"/>
  <c r="BK12" i="5"/>
  <c r="BE12" i="5"/>
  <c r="BD12" i="5"/>
  <c r="BC12" i="5"/>
  <c r="BA12" i="5"/>
  <c r="AZ12" i="5"/>
  <c r="AY12" i="5"/>
  <c r="AC12" i="5"/>
  <c r="AB12" i="5"/>
  <c r="AA12" i="5"/>
  <c r="Z12" i="5"/>
  <c r="Y12" i="5"/>
  <c r="X12" i="5"/>
  <c r="W12" i="5"/>
  <c r="V12" i="5"/>
  <c r="F12" i="5"/>
  <c r="BS11" i="5"/>
  <c r="BQ11" i="5"/>
  <c r="BO11" i="5"/>
  <c r="BM11" i="5"/>
  <c r="BK11" i="5"/>
  <c r="BF11" i="5"/>
  <c r="H11" i="5" s="1"/>
  <c r="BE11" i="5"/>
  <c r="BD11" i="5"/>
  <c r="BB11" i="5"/>
  <c r="BA11" i="5"/>
  <c r="AZ11" i="5"/>
  <c r="AX11" i="5"/>
  <c r="AC11" i="5"/>
  <c r="AB11" i="5"/>
  <c r="AA11" i="5"/>
  <c r="Z11" i="5"/>
  <c r="Y11" i="5"/>
  <c r="X11" i="5"/>
  <c r="W11" i="5"/>
  <c r="V11" i="5"/>
  <c r="F11" i="5"/>
  <c r="CN10" i="5"/>
  <c r="K11" i="3" s="1"/>
  <c r="CM10" i="5"/>
  <c r="J11" i="3" s="1"/>
  <c r="CL10" i="5"/>
  <c r="CK10" i="5"/>
  <c r="H11" i="3" s="1"/>
  <c r="CI10" i="5"/>
  <c r="F11" i="3" s="1"/>
  <c r="CH10" i="5"/>
  <c r="E11" i="3" s="1"/>
  <c r="CG10" i="5"/>
  <c r="BS10" i="5"/>
  <c r="BQ10" i="5"/>
  <c r="BO10" i="5"/>
  <c r="BM10" i="5"/>
  <c r="BK10" i="5"/>
  <c r="BF10" i="5"/>
  <c r="H10" i="5" s="1"/>
  <c r="BE10" i="5"/>
  <c r="BC10" i="5"/>
  <c r="BB10" i="5"/>
  <c r="BA10" i="5"/>
  <c r="AY10" i="5"/>
  <c r="AX10" i="5"/>
  <c r="AC10" i="5"/>
  <c r="AB10" i="5"/>
  <c r="AA10" i="5"/>
  <c r="Z10" i="5"/>
  <c r="Y10" i="5"/>
  <c r="X10" i="5"/>
  <c r="W10" i="5"/>
  <c r="V10" i="5"/>
  <c r="F10" i="5"/>
  <c r="BS9" i="5"/>
  <c r="BQ9" i="5"/>
  <c r="BO9" i="5"/>
  <c r="BM9" i="5"/>
  <c r="BK9" i="5"/>
  <c r="BF9" i="5"/>
  <c r="H9" i="5" s="1"/>
  <c r="BD9" i="5"/>
  <c r="BC9" i="5"/>
  <c r="BB9" i="5"/>
  <c r="AZ9" i="5"/>
  <c r="AY9" i="5"/>
  <c r="AX9" i="5"/>
  <c r="AC9" i="5"/>
  <c r="AB9" i="5"/>
  <c r="AA9" i="5"/>
  <c r="Z9" i="5"/>
  <c r="Y9" i="5"/>
  <c r="X9" i="5"/>
  <c r="W9" i="5"/>
  <c r="V9" i="5"/>
  <c r="F9" i="5"/>
  <c r="BS8" i="5"/>
  <c r="BQ8" i="5"/>
  <c r="BO8" i="5"/>
  <c r="BM8" i="5"/>
  <c r="BK8" i="5"/>
  <c r="BE8" i="5"/>
  <c r="BD8" i="5"/>
  <c r="BC8" i="5"/>
  <c r="AZ8" i="5"/>
  <c r="AY8" i="5"/>
  <c r="AC8" i="5"/>
  <c r="AB8" i="5"/>
  <c r="AA8" i="5"/>
  <c r="Z8" i="5"/>
  <c r="Y8" i="5"/>
  <c r="X8" i="5"/>
  <c r="W8" i="5"/>
  <c r="V8" i="5"/>
  <c r="F8" i="5"/>
  <c r="BS7" i="5"/>
  <c r="BQ7" i="5"/>
  <c r="BO7" i="5"/>
  <c r="BM7" i="5"/>
  <c r="BK7" i="5"/>
  <c r="BF7" i="5"/>
  <c r="BE7" i="5"/>
  <c r="BD7" i="5"/>
  <c r="BB7" i="5"/>
  <c r="BA7" i="5"/>
  <c r="AZ7" i="5"/>
  <c r="AX7" i="5"/>
  <c r="AC7" i="5"/>
  <c r="AB7" i="5"/>
  <c r="AA7" i="5"/>
  <c r="Z7" i="5"/>
  <c r="Y7" i="5"/>
  <c r="X7" i="5"/>
  <c r="W7" i="5"/>
  <c r="V7" i="5"/>
  <c r="F7" i="5"/>
  <c r="BS6" i="5"/>
  <c r="BQ6" i="5"/>
  <c r="BO6" i="5"/>
  <c r="BM6" i="5"/>
  <c r="BK6" i="5"/>
  <c r="BF6" i="5"/>
  <c r="H6" i="5" s="1"/>
  <c r="BE6" i="5"/>
  <c r="BD6" i="5"/>
  <c r="BC6" i="5"/>
  <c r="BB6" i="5"/>
  <c r="BA6" i="5"/>
  <c r="AZ6" i="5"/>
  <c r="AY6" i="5"/>
  <c r="AX6" i="5"/>
  <c r="AC6" i="5"/>
  <c r="AB6" i="5"/>
  <c r="AA6" i="5"/>
  <c r="Z6" i="5"/>
  <c r="Y6" i="5"/>
  <c r="X6" i="5"/>
  <c r="W6" i="5"/>
  <c r="V6" i="5"/>
  <c r="F6" i="5"/>
  <c r="L22" i="3"/>
  <c r="L20" i="3"/>
  <c r="H103" i="5"/>
  <c r="H215" i="5"/>
  <c r="H86" i="5"/>
  <c r="H300" i="5"/>
  <c r="H242" i="5"/>
  <c r="H234" i="5"/>
  <c r="H183" i="5"/>
  <c r="H272" i="5"/>
  <c r="E10" i="2"/>
  <c r="K10" i="2"/>
  <c r="I10" i="2"/>
  <c r="CB276" i="5" l="1"/>
  <c r="CD276" i="5" s="1"/>
  <c r="CB331" i="5"/>
  <c r="CD331" i="5" s="1"/>
  <c r="CB308" i="5"/>
  <c r="CD308" i="5" s="1"/>
  <c r="CB297" i="5"/>
  <c r="CD297" i="5" s="1"/>
  <c r="CB239" i="5"/>
  <c r="CD239" i="5" s="1"/>
  <c r="CB204" i="5"/>
  <c r="CD204" i="5" s="1"/>
  <c r="CB123" i="5"/>
  <c r="CD123" i="5" s="1"/>
  <c r="CB116" i="5"/>
  <c r="CD116" i="5" s="1"/>
  <c r="CB54" i="5"/>
  <c r="CD54" i="5" s="1"/>
  <c r="CB179" i="5"/>
  <c r="CD179" i="5" s="1"/>
  <c r="CB273" i="5"/>
  <c r="CD273" i="5" s="1"/>
  <c r="CB22" i="5"/>
  <c r="CD22" i="5" s="1"/>
  <c r="CB323" i="5"/>
  <c r="CD323" i="5" s="1"/>
  <c r="CB317" i="5"/>
  <c r="CD317" i="5" s="1"/>
  <c r="CB292" i="5"/>
  <c r="CD292" i="5" s="1"/>
  <c r="CB281" i="5"/>
  <c r="CD281" i="5" s="1"/>
  <c r="CB271" i="5"/>
  <c r="CD271" i="5" s="1"/>
  <c r="CB254" i="5"/>
  <c r="CD254" i="5" s="1"/>
  <c r="CB237" i="5"/>
  <c r="CD237" i="5" s="1"/>
  <c r="CB228" i="5"/>
  <c r="CD228" i="5" s="1"/>
  <c r="CB206" i="5"/>
  <c r="CD206" i="5" s="1"/>
  <c r="CB200" i="5"/>
  <c r="CD200" i="5" s="1"/>
  <c r="CB190" i="5"/>
  <c r="CD190" i="5" s="1"/>
  <c r="CB167" i="5"/>
  <c r="CD167" i="5" s="1"/>
  <c r="CB151" i="5"/>
  <c r="CD151" i="5" s="1"/>
  <c r="CB145" i="5"/>
  <c r="CD145" i="5" s="1"/>
  <c r="CB138" i="5"/>
  <c r="CD138" i="5" s="1"/>
  <c r="CB119" i="5"/>
  <c r="CD119" i="5" s="1"/>
  <c r="CB84" i="5"/>
  <c r="CD84" i="5" s="1"/>
  <c r="CB75" i="5"/>
  <c r="CD75" i="5" s="1"/>
  <c r="CB60" i="5"/>
  <c r="CD60" i="5" s="1"/>
  <c r="CB265" i="5"/>
  <c r="CD265" i="5" s="1"/>
  <c r="CB203" i="5"/>
  <c r="CD203" i="5" s="1"/>
  <c r="CB131" i="5"/>
  <c r="CD131" i="5" s="1"/>
  <c r="CB14" i="5"/>
  <c r="CD14" i="5" s="1"/>
  <c r="CB289" i="5"/>
  <c r="CD289" i="5" s="1"/>
  <c r="CB266" i="5"/>
  <c r="CD266" i="5" s="1"/>
  <c r="CB221" i="5"/>
  <c r="CD221" i="5" s="1"/>
  <c r="CB195" i="5"/>
  <c r="CD195" i="5" s="1"/>
  <c r="CB185" i="5"/>
  <c r="CD185" i="5" s="1"/>
  <c r="CB174" i="5"/>
  <c r="CD174" i="5" s="1"/>
  <c r="CB161" i="5"/>
  <c r="CD161" i="5" s="1"/>
  <c r="CB154" i="5"/>
  <c r="CD154" i="5" s="1"/>
  <c r="CB149" i="5"/>
  <c r="CD149" i="5" s="1"/>
  <c r="CB132" i="5"/>
  <c r="CD132" i="5" s="1"/>
  <c r="CB80" i="5"/>
  <c r="CD80" i="5" s="1"/>
  <c r="CB298" i="5"/>
  <c r="CD298" i="5" s="1"/>
  <c r="CB257" i="5"/>
  <c r="CD257" i="5" s="1"/>
  <c r="CB197" i="5"/>
  <c r="CD197" i="5" s="1"/>
  <c r="CB155" i="5"/>
  <c r="CD155" i="5" s="1"/>
  <c r="CB126" i="5"/>
  <c r="CD126" i="5" s="1"/>
  <c r="CB243" i="5"/>
  <c r="CD243" i="5" s="1"/>
  <c r="CB226" i="5"/>
  <c r="CD226" i="5" s="1"/>
  <c r="CB188" i="5"/>
  <c r="CD188" i="5" s="1"/>
  <c r="CB165" i="5"/>
  <c r="CD165" i="5" s="1"/>
  <c r="CB82" i="5"/>
  <c r="CD82" i="5" s="1"/>
  <c r="CB47" i="5"/>
  <c r="CD47" i="5" s="1"/>
  <c r="CB16" i="5"/>
  <c r="CD16" i="5" s="1"/>
  <c r="CB49" i="5"/>
  <c r="CD49" i="5" s="1"/>
  <c r="BW321" i="5"/>
  <c r="BY321" i="5" s="1"/>
  <c r="CA321" i="5" s="1"/>
  <c r="CC321" i="5" s="1"/>
  <c r="CB299" i="5"/>
  <c r="CD299" i="5" s="1"/>
  <c r="CB261" i="5"/>
  <c r="CD261" i="5" s="1"/>
  <c r="CB215" i="5"/>
  <c r="CD215" i="5" s="1"/>
  <c r="CB157" i="5"/>
  <c r="CD157" i="5" s="1"/>
  <c r="CB128" i="5"/>
  <c r="CD128" i="5" s="1"/>
  <c r="CB100" i="5"/>
  <c r="CD100" i="5" s="1"/>
  <c r="CB238" i="5"/>
  <c r="CD238" i="5" s="1"/>
  <c r="CB217" i="5"/>
  <c r="CD217" i="5" s="1"/>
  <c r="CB32" i="5"/>
  <c r="CD32" i="5" s="1"/>
  <c r="CB21" i="5"/>
  <c r="CD21" i="5" s="1"/>
  <c r="CB321" i="5"/>
  <c r="CD321" i="5" s="1"/>
  <c r="CB235" i="5"/>
  <c r="CD235" i="5" s="1"/>
  <c r="CB211" i="5"/>
  <c r="CD211" i="5" s="1"/>
  <c r="CB175" i="5"/>
  <c r="CD175" i="5" s="1"/>
  <c r="CB144" i="5"/>
  <c r="CD144" i="5" s="1"/>
  <c r="CB94" i="5"/>
  <c r="CD94" i="5" s="1"/>
  <c r="CB72" i="5"/>
  <c r="CD72" i="5" s="1"/>
  <c r="CB46" i="5"/>
  <c r="CD46" i="5" s="1"/>
  <c r="CB29" i="5"/>
  <c r="CD29" i="5" s="1"/>
  <c r="CB15" i="5"/>
  <c r="CD15" i="5" s="1"/>
  <c r="CB170" i="5"/>
  <c r="CD170" i="5" s="1"/>
  <c r="CB152" i="5"/>
  <c r="CD152" i="5" s="1"/>
  <c r="CB121" i="5"/>
  <c r="CD121" i="5" s="1"/>
  <c r="BW291" i="5"/>
  <c r="BY291" i="5" s="1"/>
  <c r="CA291" i="5" s="1"/>
  <c r="CC291" i="5" s="1"/>
  <c r="BW243" i="5"/>
  <c r="BY243" i="5" s="1"/>
  <c r="BW24" i="5"/>
  <c r="BY24" i="5" s="1"/>
  <c r="CA24" i="5" s="1"/>
  <c r="CE24" i="5" s="1"/>
  <c r="BW26" i="5"/>
  <c r="BY26" i="5" s="1"/>
  <c r="CA26" i="5" s="1"/>
  <c r="CC26" i="5" s="1"/>
  <c r="BW34" i="5"/>
  <c r="BY34" i="5" s="1"/>
  <c r="BZ34" i="5" s="1"/>
  <c r="BW38" i="5"/>
  <c r="BY38" i="5" s="1"/>
  <c r="CA38" i="5" s="1"/>
  <c r="BW43" i="5"/>
  <c r="BW59" i="5"/>
  <c r="BY59" i="5" s="1"/>
  <c r="CA59" i="5" s="1"/>
  <c r="CC59" i="5" s="1"/>
  <c r="BW74" i="5"/>
  <c r="BY74" i="5" s="1"/>
  <c r="BZ74" i="5" s="1"/>
  <c r="BW155" i="5"/>
  <c r="BY155" i="5" s="1"/>
  <c r="CA155" i="5" s="1"/>
  <c r="CC155" i="5" s="1"/>
  <c r="BW102" i="5"/>
  <c r="BX102" i="5" s="1"/>
  <c r="BW267" i="5"/>
  <c r="BY267" i="5" s="1"/>
  <c r="CA267" i="5" s="1"/>
  <c r="CC267" i="5" s="1"/>
  <c r="BW264" i="5"/>
  <c r="BX264" i="5" s="1"/>
  <c r="BW28" i="5"/>
  <c r="BX28" i="5" s="1"/>
  <c r="BW32" i="5"/>
  <c r="BY32" i="5" s="1"/>
  <c r="CA32" i="5" s="1"/>
  <c r="CC32" i="5" s="1"/>
  <c r="BW37" i="5"/>
  <c r="BX37" i="5" s="1"/>
  <c r="BW40" i="5"/>
  <c r="BY40" i="5" s="1"/>
  <c r="BW42" i="5"/>
  <c r="BX42" i="5" s="1"/>
  <c r="BW50" i="5"/>
  <c r="BW57" i="5"/>
  <c r="BY57" i="5" s="1"/>
  <c r="BZ57" i="5" s="1"/>
  <c r="BW73" i="5"/>
  <c r="BY73" i="5" s="1"/>
  <c r="BZ73" i="5" s="1"/>
  <c r="BW77" i="5"/>
  <c r="BY77" i="5" s="1"/>
  <c r="CA77" i="5" s="1"/>
  <c r="BW9" i="5"/>
  <c r="BX9" i="5" s="1"/>
  <c r="BW256" i="5"/>
  <c r="CB31" i="5"/>
  <c r="CD31" i="5" s="1"/>
  <c r="CB324" i="5"/>
  <c r="CD324" i="5" s="1"/>
  <c r="CB300" i="5"/>
  <c r="CD300" i="5" s="1"/>
  <c r="CB287" i="5"/>
  <c r="CD287" i="5" s="1"/>
  <c r="CB181" i="5"/>
  <c r="CD181" i="5" s="1"/>
  <c r="CB160" i="5"/>
  <c r="CD160" i="5" s="1"/>
  <c r="CB148" i="5"/>
  <c r="CD148" i="5" s="1"/>
  <c r="CB110" i="5"/>
  <c r="CD110" i="5" s="1"/>
  <c r="CB77" i="5"/>
  <c r="CD77" i="5" s="1"/>
  <c r="CB320" i="5"/>
  <c r="CD320" i="5" s="1"/>
  <c r="BW165" i="5"/>
  <c r="BY165" i="5" s="1"/>
  <c r="CA165" i="5" s="1"/>
  <c r="BW216" i="5"/>
  <c r="BW253" i="5"/>
  <c r="BW89" i="5"/>
  <c r="BW94" i="5"/>
  <c r="BY94" i="5" s="1"/>
  <c r="CA94" i="5" s="1"/>
  <c r="BW96" i="5"/>
  <c r="BW100" i="5"/>
  <c r="BY100" i="5" s="1"/>
  <c r="CA100" i="5" s="1"/>
  <c r="BW101" i="5"/>
  <c r="BW105" i="5"/>
  <c r="BW106" i="5"/>
  <c r="BW107" i="5"/>
  <c r="BW108" i="5"/>
  <c r="BW109" i="5"/>
  <c r="BW110" i="5"/>
  <c r="BY110" i="5" s="1"/>
  <c r="CA110" i="5" s="1"/>
  <c r="CE110" i="5" s="1"/>
  <c r="BW111" i="5"/>
  <c r="BW114" i="5"/>
  <c r="BW116" i="5"/>
  <c r="BY116" i="5" s="1"/>
  <c r="BW117" i="5"/>
  <c r="BW118" i="5"/>
  <c r="BW121" i="5"/>
  <c r="BY121" i="5" s="1"/>
  <c r="CA121" i="5" s="1"/>
  <c r="CC121" i="5" s="1"/>
  <c r="BW123" i="5"/>
  <c r="BW124" i="5"/>
  <c r="BW126" i="5"/>
  <c r="BY126" i="5" s="1"/>
  <c r="CA126" i="5" s="1"/>
  <c r="CC126" i="5" s="1"/>
  <c r="BW127" i="5"/>
  <c r="BW142" i="5"/>
  <c r="BW145" i="5"/>
  <c r="BY145" i="5" s="1"/>
  <c r="CA145" i="5" s="1"/>
  <c r="CC145" i="5" s="1"/>
  <c r="BW148" i="5"/>
  <c r="BY148" i="5" s="1"/>
  <c r="CA148" i="5" s="1"/>
  <c r="BW153" i="5"/>
  <c r="BW156" i="5"/>
  <c r="BW157" i="5"/>
  <c r="BW320" i="5"/>
  <c r="BY320" i="5" s="1"/>
  <c r="CA320" i="5" s="1"/>
  <c r="BW33" i="5"/>
  <c r="BW238" i="5"/>
  <c r="BY238" i="5" s="1"/>
  <c r="CA238" i="5" s="1"/>
  <c r="BW270" i="5"/>
  <c r="BW14" i="5"/>
  <c r="BY14" i="5" s="1"/>
  <c r="CA14" i="5" s="1"/>
  <c r="BW236" i="5"/>
  <c r="BW60" i="5"/>
  <c r="BY60" i="5" s="1"/>
  <c r="CA60" i="5" s="1"/>
  <c r="BW222" i="5"/>
  <c r="BY222" i="5" s="1"/>
  <c r="BW316" i="5"/>
  <c r="BW295" i="5"/>
  <c r="BW112" i="5"/>
  <c r="BW88" i="5"/>
  <c r="BW13" i="5"/>
  <c r="BW130" i="5"/>
  <c r="BW147" i="5"/>
  <c r="BX147" i="5" s="1"/>
  <c r="BW281" i="5"/>
  <c r="BW285" i="5"/>
  <c r="BW275" i="5"/>
  <c r="BW51" i="5"/>
  <c r="BY51" i="5" s="1"/>
  <c r="BZ51" i="5" s="1"/>
  <c r="BW19" i="5"/>
  <c r="BW49" i="5"/>
  <c r="BY49" i="5" s="1"/>
  <c r="CA49" i="5" s="1"/>
  <c r="CE49" i="5" s="1"/>
  <c r="BW52" i="5"/>
  <c r="BW225" i="5"/>
  <c r="BW132" i="5"/>
  <c r="BY132" i="5" s="1"/>
  <c r="CA132" i="5" s="1"/>
  <c r="CC132" i="5" s="1"/>
  <c r="BW315" i="5"/>
  <c r="BW282" i="5"/>
  <c r="BW310" i="5"/>
  <c r="BW302" i="5"/>
  <c r="BW309" i="5"/>
  <c r="BW277" i="5"/>
  <c r="BW229" i="5"/>
  <c r="BY229" i="5" s="1"/>
  <c r="CA229" i="5" s="1"/>
  <c r="BW149" i="5"/>
  <c r="BY149" i="5" s="1"/>
  <c r="CA149" i="5" s="1"/>
  <c r="CC149" i="5" s="1"/>
  <c r="BW22" i="5"/>
  <c r="BY22" i="5" s="1"/>
  <c r="CA22" i="5" s="1"/>
  <c r="CC22" i="5" s="1"/>
  <c r="BW44" i="5"/>
  <c r="BW228" i="5"/>
  <c r="BY228" i="5" s="1"/>
  <c r="CA228" i="5" s="1"/>
  <c r="BW214" i="5"/>
  <c r="BW8" i="5"/>
  <c r="G1" i="5"/>
  <c r="H7" i="2" s="1"/>
  <c r="H4" i="2"/>
  <c r="L10" i="2" s="1"/>
  <c r="H4" i="3"/>
  <c r="L10" i="3" s="1"/>
  <c r="BW279" i="5"/>
  <c r="BW300" i="5"/>
  <c r="BY300" i="5" s="1"/>
  <c r="BW318" i="5"/>
  <c r="BY318" i="5" s="1"/>
  <c r="BW329" i="5"/>
  <c r="BX329" i="5" s="1"/>
  <c r="BW135" i="5"/>
  <c r="BY135" i="5" s="1"/>
  <c r="CA135" i="5" s="1"/>
  <c r="CC135" i="5" s="1"/>
  <c r="BW249" i="5"/>
  <c r="BW190" i="5"/>
  <c r="BY190" i="5" s="1"/>
  <c r="CA190" i="5" s="1"/>
  <c r="BW192" i="5"/>
  <c r="BX192" i="5" s="1"/>
  <c r="BW195" i="5"/>
  <c r="BY195" i="5" s="1"/>
  <c r="CA195" i="5" s="1"/>
  <c r="BW200" i="5"/>
  <c r="BY200" i="5" s="1"/>
  <c r="CA200" i="5" s="1"/>
  <c r="CC200" i="5" s="1"/>
  <c r="BW258" i="5"/>
  <c r="BW259" i="5"/>
  <c r="BW286" i="5"/>
  <c r="BW292" i="5"/>
  <c r="BW41" i="5"/>
  <c r="BY41" i="5" s="1"/>
  <c r="CA41" i="5" s="1"/>
  <c r="CC41" i="5" s="1"/>
  <c r="BW158" i="5"/>
  <c r="BW159" i="5"/>
  <c r="BW161" i="5"/>
  <c r="BY161" i="5" s="1"/>
  <c r="CA161" i="5" s="1"/>
  <c r="BW163" i="5"/>
  <c r="BW168" i="5"/>
  <c r="BW169" i="5"/>
  <c r="BW170" i="5"/>
  <c r="BW171" i="5"/>
  <c r="BW180" i="5"/>
  <c r="BW184" i="5"/>
  <c r="BW203" i="5"/>
  <c r="BW209" i="5"/>
  <c r="BW212" i="5"/>
  <c r="BW221" i="5"/>
  <c r="BW245" i="5"/>
  <c r="CB318" i="5"/>
  <c r="CD318" i="5" s="1"/>
  <c r="CB296" i="5"/>
  <c r="CD296" i="5" s="1"/>
  <c r="CB255" i="5"/>
  <c r="CD255" i="5" s="1"/>
  <c r="CB229" i="5"/>
  <c r="CD229" i="5" s="1"/>
  <c r="CB209" i="5"/>
  <c r="CD209" i="5" s="1"/>
  <c r="CB191" i="5"/>
  <c r="CD191" i="5" s="1"/>
  <c r="CB142" i="5"/>
  <c r="CD142" i="5" s="1"/>
  <c r="CB85" i="5"/>
  <c r="CD85" i="5" s="1"/>
  <c r="CB66" i="5"/>
  <c r="CD66" i="5" s="1"/>
  <c r="CB275" i="5"/>
  <c r="CD275" i="5" s="1"/>
  <c r="CB256" i="5"/>
  <c r="CD256" i="5" s="1"/>
  <c r="CB232" i="5"/>
  <c r="CD232" i="5" s="1"/>
  <c r="CB210" i="5"/>
  <c r="CD210" i="5" s="1"/>
  <c r="CB143" i="5"/>
  <c r="CD143" i="5" s="1"/>
  <c r="CB86" i="5"/>
  <c r="CD86" i="5" s="1"/>
  <c r="CB70" i="5"/>
  <c r="CD70" i="5" s="1"/>
  <c r="CB41" i="5"/>
  <c r="CD41" i="5" s="1"/>
  <c r="CB27" i="5"/>
  <c r="CD27" i="5" s="1"/>
  <c r="CB39" i="5"/>
  <c r="CD39" i="5" s="1"/>
  <c r="CB26" i="5"/>
  <c r="CD26" i="5" s="1"/>
  <c r="CB315" i="5"/>
  <c r="CD315" i="5" s="1"/>
  <c r="CB291" i="5"/>
  <c r="CD291" i="5" s="1"/>
  <c r="CB267" i="5"/>
  <c r="CD267" i="5" s="1"/>
  <c r="CB205" i="5"/>
  <c r="CD205" i="5" s="1"/>
  <c r="CB150" i="5"/>
  <c r="CD150" i="5" s="1"/>
  <c r="CB135" i="5"/>
  <c r="CD135" i="5" s="1"/>
  <c r="CB118" i="5"/>
  <c r="CD118" i="5" s="1"/>
  <c r="CB59" i="5"/>
  <c r="CD59" i="5" s="1"/>
  <c r="CB36" i="5"/>
  <c r="CD36" i="5" s="1"/>
  <c r="CB23" i="5"/>
  <c r="CD23" i="5" s="1"/>
  <c r="CB38" i="5"/>
  <c r="CD38" i="5" s="1"/>
  <c r="CB24" i="5"/>
  <c r="CD24" i="5" s="1"/>
  <c r="CB33" i="5"/>
  <c r="CD33" i="5" s="1"/>
  <c r="BW294" i="5"/>
  <c r="BC362" i="5"/>
  <c r="H7" i="5"/>
  <c r="AM354" i="5" s="1"/>
  <c r="BF362" i="5"/>
  <c r="AY362" i="5"/>
  <c r="BW10" i="5"/>
  <c r="BA362" i="5"/>
  <c r="I11" i="3"/>
  <c r="BW247" i="5"/>
  <c r="BW213" i="5"/>
  <c r="BW311" i="5"/>
  <c r="BW6" i="5"/>
  <c r="BW197" i="5"/>
  <c r="BW317" i="5"/>
  <c r="BY317" i="5" s="1"/>
  <c r="CA317" i="5" s="1"/>
  <c r="BW331" i="5"/>
  <c r="BY331" i="5" s="1"/>
  <c r="CA331" i="5" s="1"/>
  <c r="CE331" i="5" s="1"/>
  <c r="BW308" i="5"/>
  <c r="BY308" i="5" s="1"/>
  <c r="CA308" i="5" s="1"/>
  <c r="BW217" i="5"/>
  <c r="BW235" i="5"/>
  <c r="BW68" i="5"/>
  <c r="BW271" i="5"/>
  <c r="BY271" i="5" s="1"/>
  <c r="CA271" i="5" s="1"/>
  <c r="BW11" i="5"/>
  <c r="BW189" i="5"/>
  <c r="BW164" i="5"/>
  <c r="BW63" i="5"/>
  <c r="BW134" i="5"/>
  <c r="BW219" i="5"/>
  <c r="BW303" i="5"/>
  <c r="BW75" i="5"/>
  <c r="BW187" i="5"/>
  <c r="BW246" i="5"/>
  <c r="BW328" i="5"/>
  <c r="BW232" i="5"/>
  <c r="BW231" i="5"/>
  <c r="BW21" i="5"/>
  <c r="BW62" i="5"/>
  <c r="BW133" i="5"/>
  <c r="BW72" i="5"/>
  <c r="BY72" i="5" s="1"/>
  <c r="CA72" i="5" s="1"/>
  <c r="BW143" i="5"/>
  <c r="BW150" i="5"/>
  <c r="BW54" i="5"/>
  <c r="BY54" i="5" s="1"/>
  <c r="CA54" i="5" s="1"/>
  <c r="BW284" i="5"/>
  <c r="BW239" i="5"/>
  <c r="BW16" i="5"/>
  <c r="BW251" i="5"/>
  <c r="BW58" i="5"/>
  <c r="BW141" i="5"/>
  <c r="BW82" i="5"/>
  <c r="BW152" i="5"/>
  <c r="BW176" i="5"/>
  <c r="BW172" i="5"/>
  <c r="BW327" i="5"/>
  <c r="BW103" i="5"/>
  <c r="BW220" i="5"/>
  <c r="BW301" i="5"/>
  <c r="BW278" i="5"/>
  <c r="BW136" i="5"/>
  <c r="BW128" i="5"/>
  <c r="BY128" i="5" s="1"/>
  <c r="CA128" i="5" s="1"/>
  <c r="BW175" i="5"/>
  <c r="BW198" i="5"/>
  <c r="BW122" i="5"/>
  <c r="BW87" i="5"/>
  <c r="BW162" i="5"/>
  <c r="BW27" i="5"/>
  <c r="BY27" i="5" s="1"/>
  <c r="CA27" i="5" s="1"/>
  <c r="BW92" i="5"/>
  <c r="BW17" i="5"/>
  <c r="BW15" i="5"/>
  <c r="BY15" i="5" s="1"/>
  <c r="CA15" i="5" s="1"/>
  <c r="BW55" i="5"/>
  <c r="BW194" i="5"/>
  <c r="BW70" i="5"/>
  <c r="BW131" i="5"/>
  <c r="BW18" i="5"/>
  <c r="BW263" i="5"/>
  <c r="BW48" i="5"/>
  <c r="BW85" i="5"/>
  <c r="BW86" i="5"/>
  <c r="BW98" i="5"/>
  <c r="BW66" i="5"/>
  <c r="BY66" i="5" s="1"/>
  <c r="CA66" i="5" s="1"/>
  <c r="BW35" i="5"/>
  <c r="BW242" i="5"/>
  <c r="BW274" i="5"/>
  <c r="BW25" i="5"/>
  <c r="BW224" i="5"/>
  <c r="BW322" i="5"/>
  <c r="BW79" i="5"/>
  <c r="BW312" i="5"/>
  <c r="BW299" i="5"/>
  <c r="BW250" i="5"/>
  <c r="BW269" i="5"/>
  <c r="BW23" i="5"/>
  <c r="BY23" i="5" s="1"/>
  <c r="CA23" i="5" s="1"/>
  <c r="BW81" i="5"/>
  <c r="BW186" i="5"/>
  <c r="BW31" i="5"/>
  <c r="BW319" i="5"/>
  <c r="AZ362" i="5"/>
  <c r="BB362" i="5"/>
  <c r="BE362" i="5"/>
  <c r="BD362" i="5"/>
  <c r="BW313" i="5"/>
  <c r="BW185" i="5"/>
  <c r="BW205" i="5"/>
  <c r="BW290" i="5"/>
  <c r="D11" i="3"/>
  <c r="BW146" i="5"/>
  <c r="BW304" i="5"/>
  <c r="BW104" i="5"/>
  <c r="BW201" i="5"/>
  <c r="BW252" i="5"/>
  <c r="BW293" i="5"/>
  <c r="BW177" i="5"/>
  <c r="BW199" i="5"/>
  <c r="BW218" i="5"/>
  <c r="BW266" i="5"/>
  <c r="BY266" i="5" s="1"/>
  <c r="CA266" i="5" s="1"/>
  <c r="CE266" i="5" s="1"/>
  <c r="BW272" i="5"/>
  <c r="BW323" i="5"/>
  <c r="BW226" i="5"/>
  <c r="BY226" i="5" s="1"/>
  <c r="CA226" i="5" s="1"/>
  <c r="BW76" i="5"/>
  <c r="BW202" i="5"/>
  <c r="BW210" i="5"/>
  <c r="BY210" i="5" s="1"/>
  <c r="CA210" i="5" s="1"/>
  <c r="BW296" i="5"/>
  <c r="BY296" i="5" s="1"/>
  <c r="CA296" i="5" s="1"/>
  <c r="BW276" i="5"/>
  <c r="BY276" i="5" s="1"/>
  <c r="CA276" i="5" s="1"/>
  <c r="BW167" i="5"/>
  <c r="BW237" i="5"/>
  <c r="BY237" i="5" s="1"/>
  <c r="CA237" i="5" s="1"/>
  <c r="CC237" i="5" s="1"/>
  <c r="BW233" i="5"/>
  <c r="BW173" i="5"/>
  <c r="BW191" i="5"/>
  <c r="BW207" i="5"/>
  <c r="BW95" i="5"/>
  <c r="BW119" i="5"/>
  <c r="BW39" i="5"/>
  <c r="BY39" i="5" s="1"/>
  <c r="CA39" i="5" s="1"/>
  <c r="CC39" i="5" s="1"/>
  <c r="BW125" i="5"/>
  <c r="BW280" i="5"/>
  <c r="BW83" i="5"/>
  <c r="BW140" i="5"/>
  <c r="BW61" i="5"/>
  <c r="BW144" i="5"/>
  <c r="BW93" i="5"/>
  <c r="BW154" i="5"/>
  <c r="BY154" i="5" s="1"/>
  <c r="CA154" i="5" s="1"/>
  <c r="BW151" i="5"/>
  <c r="BW29" i="5"/>
  <c r="BY29" i="5" s="1"/>
  <c r="CA29" i="5" s="1"/>
  <c r="CC29" i="5" s="1"/>
  <c r="BW139" i="5"/>
  <c r="BW20" i="5"/>
  <c r="BW36" i="5"/>
  <c r="BW255" i="5"/>
  <c r="BW64" i="5"/>
  <c r="BW324" i="5"/>
  <c r="BW113" i="5"/>
  <c r="BW330" i="5"/>
  <c r="BW234" i="5"/>
  <c r="BW208" i="5"/>
  <c r="BW244" i="5"/>
  <c r="BW181" i="5"/>
  <c r="BY181" i="5" s="1"/>
  <c r="CA181" i="5" s="1"/>
  <c r="BW204" i="5"/>
  <c r="BW261" i="5"/>
  <c r="BY261" i="5" s="1"/>
  <c r="CA261" i="5" s="1"/>
  <c r="CC261" i="5" s="1"/>
  <c r="BW215" i="5"/>
  <c r="BW178" i="5"/>
  <c r="BW298" i="5"/>
  <c r="BW262" i="5"/>
  <c r="BW183" i="5"/>
  <c r="BW206" i="5"/>
  <c r="BY206" i="5" s="1"/>
  <c r="CA206" i="5" s="1"/>
  <c r="CE206" i="5" s="1"/>
  <c r="BW297" i="5"/>
  <c r="BY297" i="5" s="1"/>
  <c r="CA297" i="5" s="1"/>
  <c r="CC297" i="5" s="1"/>
  <c r="BW12" i="5"/>
  <c r="BW260" i="5"/>
  <c r="BW65" i="5"/>
  <c r="BW248" i="5"/>
  <c r="BW306" i="5"/>
  <c r="BW257" i="5"/>
  <c r="BY257" i="5" s="1"/>
  <c r="CA257" i="5" s="1"/>
  <c r="CE257" i="5" s="1"/>
  <c r="BW241" i="5"/>
  <c r="BW283" i="5"/>
  <c r="BW99" i="5"/>
  <c r="BW287" i="5"/>
  <c r="BW240" i="5"/>
  <c r="BW120" i="5"/>
  <c r="BW179" i="5"/>
  <c r="BW193" i="5"/>
  <c r="BW326" i="5"/>
  <c r="BW47" i="5"/>
  <c r="BW138" i="5"/>
  <c r="BW46" i="5"/>
  <c r="BW30" i="5"/>
  <c r="BW188" i="5"/>
  <c r="BY188" i="5" s="1"/>
  <c r="CA188" i="5" s="1"/>
  <c r="BW211" i="5"/>
  <c r="BY211" i="5" s="1"/>
  <c r="CA211" i="5" s="1"/>
  <c r="CC211" i="5" s="1"/>
  <c r="BW227" i="5"/>
  <c r="BW67" i="5"/>
  <c r="BW305" i="5"/>
  <c r="BW314" i="5"/>
  <c r="BW84" i="5"/>
  <c r="BY84" i="5" s="1"/>
  <c r="CA84" i="5" s="1"/>
  <c r="CE84" i="5" s="1"/>
  <c r="BW289" i="5"/>
  <c r="BW254" i="5"/>
  <c r="BW223" i="5"/>
  <c r="BW71" i="5"/>
  <c r="BW325" i="5"/>
  <c r="BW288" i="5"/>
  <c r="BW97" i="5"/>
  <c r="BW129" i="5"/>
  <c r="BW53" i="5"/>
  <c r="BW182" i="5"/>
  <c r="BW196" i="5"/>
  <c r="BW78" i="5"/>
  <c r="BW230" i="5"/>
  <c r="BW56" i="5"/>
  <c r="BW160" i="5"/>
  <c r="BY160" i="5" s="1"/>
  <c r="CA160" i="5" s="1"/>
  <c r="BW115" i="5"/>
  <c r="BW90" i="5"/>
  <c r="BW45" i="5"/>
  <c r="BW166" i="5"/>
  <c r="BW91" i="5"/>
  <c r="BW265" i="5"/>
  <c r="BY265" i="5" s="1"/>
  <c r="CA265" i="5" s="1"/>
  <c r="BW7" i="5"/>
  <c r="BW80" i="5"/>
  <c r="BY80" i="5" s="1"/>
  <c r="CA80" i="5" s="1"/>
  <c r="BW69" i="5"/>
  <c r="BW268" i="5"/>
  <c r="BW307" i="5"/>
  <c r="BW137" i="5"/>
  <c r="BW273" i="5"/>
  <c r="BW174" i="5"/>
  <c r="AX362" i="5"/>
  <c r="CE149" i="5"/>
  <c r="BY140" i="5" l="1"/>
  <c r="CA140" i="5" s="1"/>
  <c r="CE140" i="5" s="1"/>
  <c r="BX222" i="5"/>
  <c r="CE291" i="5"/>
  <c r="H1" i="5"/>
  <c r="CC110" i="5"/>
  <c r="BY192" i="5"/>
  <c r="BY102" i="5"/>
  <c r="P345" i="5"/>
  <c r="BY147" i="5"/>
  <c r="BZ147" i="5" s="1"/>
  <c r="CB147" i="5" s="1"/>
  <c r="CD147" i="5" s="1"/>
  <c r="CE32" i="5"/>
  <c r="BY264" i="5"/>
  <c r="BZ264" i="5" s="1"/>
  <c r="CB264" i="5" s="1"/>
  <c r="CD264" i="5" s="1"/>
  <c r="CA74" i="5"/>
  <c r="CC49" i="5"/>
  <c r="CE41" i="5"/>
  <c r="CE321" i="5"/>
  <c r="BX74" i="5"/>
  <c r="CB74" i="5" s="1"/>
  <c r="CD74" i="5" s="1"/>
  <c r="BX40" i="5"/>
  <c r="CA34" i="5"/>
  <c r="CC34" i="5" s="1"/>
  <c r="CE126" i="5"/>
  <c r="CE22" i="5"/>
  <c r="P356" i="5"/>
  <c r="O346" i="5"/>
  <c r="BY42" i="5"/>
  <c r="P354" i="5"/>
  <c r="T354" i="5"/>
  <c r="F354" i="5" s="1"/>
  <c r="G344" i="5"/>
  <c r="P357" i="5"/>
  <c r="Q352" i="5"/>
  <c r="AX350" i="5"/>
  <c r="H7" i="3"/>
  <c r="CC257" i="5"/>
  <c r="R351" i="5"/>
  <c r="AE335" i="5"/>
  <c r="CE297" i="5"/>
  <c r="AK338" i="5"/>
  <c r="BX57" i="5"/>
  <c r="CB57" i="5" s="1"/>
  <c r="CD57" i="5" s="1"/>
  <c r="CC24" i="5"/>
  <c r="CE267" i="5"/>
  <c r="BX51" i="5"/>
  <c r="CE135" i="5"/>
  <c r="CA116" i="5"/>
  <c r="CE116" i="5" s="1"/>
  <c r="CE59" i="5"/>
  <c r="CA51" i="5"/>
  <c r="BY28" i="5"/>
  <c r="BZ28" i="5" s="1"/>
  <c r="CB28" i="5" s="1"/>
  <c r="CD28" i="5" s="1"/>
  <c r="M339" i="5"/>
  <c r="CE155" i="5"/>
  <c r="AE353" i="5"/>
  <c r="CA243" i="5"/>
  <c r="CC243" i="5" s="1"/>
  <c r="CE261" i="5"/>
  <c r="CE39" i="5"/>
  <c r="CE200" i="5"/>
  <c r="CE121" i="5"/>
  <c r="CA318" i="5"/>
  <c r="CC318" i="5" s="1"/>
  <c r="AM335" i="5"/>
  <c r="BY9" i="5"/>
  <c r="BZ9" i="5" s="1"/>
  <c r="CB9" i="5" s="1"/>
  <c r="CD9" i="5" s="1"/>
  <c r="BY221" i="5"/>
  <c r="CA221" i="5" s="1"/>
  <c r="CA73" i="5"/>
  <c r="CE73" i="5" s="1"/>
  <c r="BY329" i="5"/>
  <c r="BZ329" i="5" s="1"/>
  <c r="CB329" i="5" s="1"/>
  <c r="CD329" i="5" s="1"/>
  <c r="M355" i="5"/>
  <c r="CA57" i="5"/>
  <c r="BY256" i="5"/>
  <c r="CA256" i="5" s="1"/>
  <c r="CE132" i="5"/>
  <c r="CC266" i="5"/>
  <c r="CE145" i="5"/>
  <c r="CE26" i="5"/>
  <c r="BY37" i="5"/>
  <c r="BZ37" i="5" s="1"/>
  <c r="CB37" i="5" s="1"/>
  <c r="CD37" i="5" s="1"/>
  <c r="AJ343" i="5"/>
  <c r="L334" i="5"/>
  <c r="AZ336" i="5"/>
  <c r="BX34" i="5"/>
  <c r="CB34" i="5" s="1"/>
  <c r="CD34" i="5" s="1"/>
  <c r="BY50" i="5"/>
  <c r="BX50" i="5"/>
  <c r="BY43" i="5"/>
  <c r="BX43" i="5"/>
  <c r="O22" i="3"/>
  <c r="CC84" i="5"/>
  <c r="AG358" i="5"/>
  <c r="R357" i="5"/>
  <c r="CA300" i="5"/>
  <c r="R341" i="5"/>
  <c r="AH347" i="5"/>
  <c r="AL346" i="5"/>
  <c r="AF351" i="5"/>
  <c r="BX73" i="5"/>
  <c r="CB73" i="5" s="1"/>
  <c r="CD73" i="5" s="1"/>
  <c r="CE38" i="5"/>
  <c r="CC38" i="5"/>
  <c r="CE237" i="5"/>
  <c r="Q348" i="5"/>
  <c r="R350" i="5"/>
  <c r="P343" i="5"/>
  <c r="L350" i="5"/>
  <c r="S342" i="5"/>
  <c r="G334" i="5"/>
  <c r="BD335" i="5"/>
  <c r="AF350" i="5"/>
  <c r="BA356" i="5"/>
  <c r="S355" i="5"/>
  <c r="BX184" i="5"/>
  <c r="BY184" i="5"/>
  <c r="BY159" i="5"/>
  <c r="BZ159" i="5" s="1"/>
  <c r="BX159" i="5"/>
  <c r="BY292" i="5"/>
  <c r="CA292" i="5" s="1"/>
  <c r="BX249" i="5"/>
  <c r="BY249" i="5"/>
  <c r="BZ249" i="5" s="1"/>
  <c r="CC228" i="5"/>
  <c r="CE228" i="5"/>
  <c r="BY309" i="5"/>
  <c r="BZ309" i="5" s="1"/>
  <c r="BX309" i="5"/>
  <c r="BX13" i="5"/>
  <c r="BY13" i="5"/>
  <c r="CC14" i="5"/>
  <c r="CE14" i="5"/>
  <c r="CC148" i="5"/>
  <c r="CE148" i="5"/>
  <c r="BY118" i="5"/>
  <c r="CA118" i="5" s="1"/>
  <c r="BY107" i="5"/>
  <c r="BX107" i="5"/>
  <c r="BX253" i="5"/>
  <c r="BY253" i="5"/>
  <c r="BZ253" i="5" s="1"/>
  <c r="BY294" i="5"/>
  <c r="BZ294" i="5" s="1"/>
  <c r="BX294" i="5"/>
  <c r="BY180" i="5"/>
  <c r="BZ180" i="5" s="1"/>
  <c r="BX180" i="5"/>
  <c r="BY158" i="5"/>
  <c r="BZ158" i="5" s="1"/>
  <c r="BX158" i="5"/>
  <c r="BY286" i="5"/>
  <c r="BZ286" i="5" s="1"/>
  <c r="BX286" i="5"/>
  <c r="BX279" i="5"/>
  <c r="BY279" i="5"/>
  <c r="BY44" i="5"/>
  <c r="BZ44" i="5" s="1"/>
  <c r="BX44" i="5"/>
  <c r="BY302" i="5"/>
  <c r="BZ302" i="5" s="1"/>
  <c r="BX302" i="5"/>
  <c r="BY19" i="5"/>
  <c r="BZ19" i="5" s="1"/>
  <c r="BX19" i="5"/>
  <c r="BY88" i="5"/>
  <c r="BZ88" i="5" s="1"/>
  <c r="BX270" i="5"/>
  <c r="BY270" i="5"/>
  <c r="BY117" i="5"/>
  <c r="BZ117" i="5" s="1"/>
  <c r="BX117" i="5"/>
  <c r="BY106" i="5"/>
  <c r="BX106" i="5"/>
  <c r="BX216" i="5"/>
  <c r="BY216" i="5"/>
  <c r="AY357" i="5"/>
  <c r="AY340" i="5"/>
  <c r="AI359" i="5"/>
  <c r="O343" i="5"/>
  <c r="AF359" i="5"/>
  <c r="AX333" i="5"/>
  <c r="BB354" i="5"/>
  <c r="BE338" i="5"/>
  <c r="AF336" i="5"/>
  <c r="AH338" i="5"/>
  <c r="G350" i="5"/>
  <c r="BY171" i="5"/>
  <c r="BZ171" i="5" s="1"/>
  <c r="BX171" i="5"/>
  <c r="BX259" i="5"/>
  <c r="BY259" i="5"/>
  <c r="BZ259" i="5" s="1"/>
  <c r="BY310" i="5"/>
  <c r="BZ310" i="5" s="1"/>
  <c r="BX310" i="5"/>
  <c r="BX112" i="5"/>
  <c r="BY112" i="5"/>
  <c r="BZ112" i="5" s="1"/>
  <c r="CC238" i="5"/>
  <c r="CE238" i="5"/>
  <c r="BY142" i="5"/>
  <c r="CA142" i="5" s="1"/>
  <c r="BX105" i="5"/>
  <c r="BY105" i="5"/>
  <c r="BZ105" i="5" s="1"/>
  <c r="BE341" i="5"/>
  <c r="AH333" i="5"/>
  <c r="AK345" i="5"/>
  <c r="AZ355" i="5"/>
  <c r="S334" i="5"/>
  <c r="BY245" i="5"/>
  <c r="BZ245" i="5" s="1"/>
  <c r="BX245" i="5"/>
  <c r="BY170" i="5"/>
  <c r="CA170" i="5" s="1"/>
  <c r="BY258" i="5"/>
  <c r="BZ258" i="5" s="1"/>
  <c r="BX258" i="5"/>
  <c r="BY282" i="5"/>
  <c r="BZ282" i="5" s="1"/>
  <c r="BX282" i="5"/>
  <c r="BY275" i="5"/>
  <c r="CA275" i="5" s="1"/>
  <c r="BY295" i="5"/>
  <c r="BX295" i="5"/>
  <c r="BY33" i="5"/>
  <c r="CA33" i="5" s="1"/>
  <c r="BX127" i="5"/>
  <c r="BY127" i="5"/>
  <c r="BZ127" i="5" s="1"/>
  <c r="BX114" i="5"/>
  <c r="BY114" i="5"/>
  <c r="BZ114" i="5" s="1"/>
  <c r="BX101" i="5"/>
  <c r="BY101" i="5"/>
  <c r="BC336" i="5"/>
  <c r="M351" i="5"/>
  <c r="BF341" i="5"/>
  <c r="AI353" i="5"/>
  <c r="R353" i="5"/>
  <c r="G349" i="5"/>
  <c r="L346" i="5"/>
  <c r="AE357" i="5"/>
  <c r="S359" i="5"/>
  <c r="BY169" i="5"/>
  <c r="BZ169" i="5" s="1"/>
  <c r="BX169" i="5"/>
  <c r="BY315" i="5"/>
  <c r="CA315" i="5" s="1"/>
  <c r="BY285" i="5"/>
  <c r="BZ285" i="5" s="1"/>
  <c r="BX285" i="5"/>
  <c r="BY316" i="5"/>
  <c r="BZ316" i="5" s="1"/>
  <c r="BX316" i="5"/>
  <c r="CC320" i="5"/>
  <c r="CE320" i="5"/>
  <c r="BX111" i="5"/>
  <c r="BY111" i="5"/>
  <c r="CC100" i="5"/>
  <c r="CE100" i="5"/>
  <c r="AZ358" i="5"/>
  <c r="AF339" i="5"/>
  <c r="AL357" i="5"/>
  <c r="BX88" i="5"/>
  <c r="M341" i="5"/>
  <c r="N341" i="5"/>
  <c r="P344" i="5"/>
  <c r="R337" i="5"/>
  <c r="T348" i="5"/>
  <c r="F348" i="5" s="1"/>
  <c r="BE346" i="5"/>
  <c r="L351" i="5"/>
  <c r="R355" i="5"/>
  <c r="N338" i="5"/>
  <c r="BY212" i="5"/>
  <c r="BZ212" i="5" s="1"/>
  <c r="BX212" i="5"/>
  <c r="BY168" i="5"/>
  <c r="BZ168" i="5" s="1"/>
  <c r="BX168" i="5"/>
  <c r="BY281" i="5"/>
  <c r="CA281" i="5" s="1"/>
  <c r="BY157" i="5"/>
  <c r="CA157" i="5" s="1"/>
  <c r="BY124" i="5"/>
  <c r="BZ124" i="5" s="1"/>
  <c r="BX124" i="5"/>
  <c r="BY96" i="5"/>
  <c r="BX96" i="5"/>
  <c r="CC165" i="5"/>
  <c r="CE165" i="5"/>
  <c r="CE29" i="5"/>
  <c r="AX348" i="5"/>
  <c r="BB356" i="5"/>
  <c r="AJ349" i="5"/>
  <c r="AH350" i="5"/>
  <c r="S346" i="5"/>
  <c r="AK344" i="5"/>
  <c r="Q339" i="5"/>
  <c r="AL340" i="5"/>
  <c r="BD356" i="5"/>
  <c r="AI342" i="5"/>
  <c r="AX342" i="5"/>
  <c r="M350" i="5"/>
  <c r="BY209" i="5"/>
  <c r="CA209" i="5" s="1"/>
  <c r="BY163" i="5"/>
  <c r="BZ163" i="5" s="1"/>
  <c r="BX163" i="5"/>
  <c r="BY8" i="5"/>
  <c r="BZ8" i="5" s="1"/>
  <c r="BX8" i="5"/>
  <c r="CC229" i="5"/>
  <c r="CE229" i="5"/>
  <c r="BX225" i="5"/>
  <c r="BY225" i="5"/>
  <c r="BZ225" i="5" s="1"/>
  <c r="CE60" i="5"/>
  <c r="CC60" i="5"/>
  <c r="BY156" i="5"/>
  <c r="BZ156" i="5" s="1"/>
  <c r="BX156" i="5"/>
  <c r="BY123" i="5"/>
  <c r="CA123" i="5" s="1"/>
  <c r="BY109" i="5"/>
  <c r="BZ109" i="5" s="1"/>
  <c r="BX109" i="5"/>
  <c r="BF358" i="5"/>
  <c r="N336" i="5"/>
  <c r="AM347" i="5"/>
  <c r="AF355" i="5"/>
  <c r="BD353" i="5"/>
  <c r="AG335" i="5"/>
  <c r="P346" i="5"/>
  <c r="L336" i="5"/>
  <c r="R340" i="5"/>
  <c r="BY203" i="5"/>
  <c r="CA203" i="5" s="1"/>
  <c r="CC161" i="5"/>
  <c r="CE161" i="5"/>
  <c r="BY214" i="5"/>
  <c r="BZ214" i="5" s="1"/>
  <c r="BX214" i="5"/>
  <c r="BX277" i="5"/>
  <c r="BY277" i="5"/>
  <c r="BZ277" i="5" s="1"/>
  <c r="BX52" i="5"/>
  <c r="BY52" i="5"/>
  <c r="BZ52" i="5" s="1"/>
  <c r="BY130" i="5"/>
  <c r="BZ130" i="5" s="1"/>
  <c r="BX130" i="5"/>
  <c r="BY236" i="5"/>
  <c r="BZ236" i="5" s="1"/>
  <c r="BX236" i="5"/>
  <c r="BY153" i="5"/>
  <c r="BX153" i="5"/>
  <c r="BY108" i="5"/>
  <c r="BZ108" i="5" s="1"/>
  <c r="BX108" i="5"/>
  <c r="BX89" i="5"/>
  <c r="BY89" i="5"/>
  <c r="BY307" i="5"/>
  <c r="BZ307" i="5" s="1"/>
  <c r="BX307" i="5"/>
  <c r="BY45" i="5"/>
  <c r="BZ45" i="5" s="1"/>
  <c r="BX45" i="5"/>
  <c r="BY182" i="5"/>
  <c r="BZ182" i="5" s="1"/>
  <c r="BX182" i="5"/>
  <c r="BY254" i="5"/>
  <c r="CA254" i="5" s="1"/>
  <c r="CC188" i="5"/>
  <c r="CE188" i="5"/>
  <c r="BX120" i="5"/>
  <c r="BY120" i="5"/>
  <c r="BY248" i="5"/>
  <c r="BZ248" i="5" s="1"/>
  <c r="BX248" i="5"/>
  <c r="BY298" i="5"/>
  <c r="CA298" i="5" s="1"/>
  <c r="BY234" i="5"/>
  <c r="BZ234" i="5" s="1"/>
  <c r="BX234" i="5"/>
  <c r="BX139" i="5"/>
  <c r="BY139" i="5"/>
  <c r="BZ139" i="5" s="1"/>
  <c r="BY83" i="5"/>
  <c r="BZ83" i="5" s="1"/>
  <c r="BX83" i="5"/>
  <c r="BX173" i="5"/>
  <c r="BY173" i="5"/>
  <c r="BZ173" i="5" s="1"/>
  <c r="BX76" i="5"/>
  <c r="BY76" i="5"/>
  <c r="BZ76" i="5" s="1"/>
  <c r="BY293" i="5"/>
  <c r="BZ293" i="5" s="1"/>
  <c r="BX293" i="5"/>
  <c r="BY205" i="5"/>
  <c r="CA205" i="5" s="1"/>
  <c r="BY31" i="5"/>
  <c r="CA31" i="5" s="1"/>
  <c r="BX79" i="5"/>
  <c r="BY79" i="5"/>
  <c r="BZ79" i="5" s="1"/>
  <c r="BX98" i="5"/>
  <c r="BY98" i="5"/>
  <c r="BZ98" i="5" s="1"/>
  <c r="CE15" i="5"/>
  <c r="CC15" i="5"/>
  <c r="BY175" i="5"/>
  <c r="CA175" i="5" s="1"/>
  <c r="BX172" i="5"/>
  <c r="BY172" i="5"/>
  <c r="BZ172" i="5" s="1"/>
  <c r="BY239" i="5"/>
  <c r="CA239" i="5" s="1"/>
  <c r="BY21" i="5"/>
  <c r="CA21" i="5" s="1"/>
  <c r="BY219" i="5"/>
  <c r="BZ219" i="5" s="1"/>
  <c r="BX219" i="5"/>
  <c r="BY235" i="5"/>
  <c r="CA235" i="5" s="1"/>
  <c r="BY213" i="5"/>
  <c r="BZ213" i="5" s="1"/>
  <c r="BX213" i="5"/>
  <c r="BY137" i="5"/>
  <c r="BZ137" i="5" s="1"/>
  <c r="BX137" i="5"/>
  <c r="BY166" i="5"/>
  <c r="BZ166" i="5" s="1"/>
  <c r="BX166" i="5"/>
  <c r="BY196" i="5"/>
  <c r="BZ196" i="5" s="1"/>
  <c r="BX196" i="5"/>
  <c r="BY223" i="5"/>
  <c r="BZ223" i="5" s="1"/>
  <c r="BX223" i="5"/>
  <c r="BY179" i="5"/>
  <c r="CA179" i="5" s="1"/>
  <c r="BX306" i="5"/>
  <c r="BY306" i="5"/>
  <c r="BZ306" i="5" s="1"/>
  <c r="BY262" i="5"/>
  <c r="BZ262" i="5" s="1"/>
  <c r="BX262" i="5"/>
  <c r="BY208" i="5"/>
  <c r="BZ208" i="5" s="1"/>
  <c r="BX208" i="5"/>
  <c r="BX20" i="5"/>
  <c r="BY20" i="5"/>
  <c r="BZ20" i="5" s="1"/>
  <c r="BZ140" i="5"/>
  <c r="BX140" i="5"/>
  <c r="BY191" i="5"/>
  <c r="CA191" i="5" s="1"/>
  <c r="BY202" i="5"/>
  <c r="BZ202" i="5" s="1"/>
  <c r="BX202" i="5"/>
  <c r="BY177" i="5"/>
  <c r="BZ177" i="5" s="1"/>
  <c r="BX177" i="5"/>
  <c r="BY290" i="5"/>
  <c r="BZ290" i="5" s="1"/>
  <c r="BX290" i="5"/>
  <c r="BY319" i="5"/>
  <c r="BZ319" i="5" s="1"/>
  <c r="BX319" i="5"/>
  <c r="BY312" i="5"/>
  <c r="BZ312" i="5" s="1"/>
  <c r="BX312" i="5"/>
  <c r="CC66" i="5"/>
  <c r="CE66" i="5"/>
  <c r="BY70" i="5"/>
  <c r="CA70" i="5" s="1"/>
  <c r="CE211" i="5"/>
  <c r="BY92" i="5"/>
  <c r="BZ92" i="5" s="1"/>
  <c r="BX92" i="5"/>
  <c r="BY136" i="5"/>
  <c r="BZ136" i="5" s="1"/>
  <c r="BX136" i="5"/>
  <c r="BY152" i="5"/>
  <c r="CA152" i="5" s="1"/>
  <c r="CC54" i="5"/>
  <c r="CE54" i="5"/>
  <c r="BY232" i="5"/>
  <c r="CA232" i="5" s="1"/>
  <c r="BX63" i="5"/>
  <c r="BY63" i="5"/>
  <c r="BZ63" i="5" s="1"/>
  <c r="CC308" i="5"/>
  <c r="CE308" i="5"/>
  <c r="CC190" i="5"/>
  <c r="CE190" i="5"/>
  <c r="CE94" i="5"/>
  <c r="CC94" i="5"/>
  <c r="CC27" i="5"/>
  <c r="CE27" i="5"/>
  <c r="BX278" i="5"/>
  <c r="BY278" i="5"/>
  <c r="BZ278" i="5" s="1"/>
  <c r="BY82" i="5"/>
  <c r="CA82" i="5" s="1"/>
  <c r="BY150" i="5"/>
  <c r="CA150" i="5" s="1"/>
  <c r="BX328" i="5"/>
  <c r="BY328" i="5"/>
  <c r="BZ328" i="5" s="1"/>
  <c r="BY164" i="5"/>
  <c r="BZ164" i="5" s="1"/>
  <c r="BX164" i="5"/>
  <c r="CC195" i="5"/>
  <c r="CE195" i="5"/>
  <c r="BZ192" i="5"/>
  <c r="CA192" i="5"/>
  <c r="CC331" i="5"/>
  <c r="BY174" i="5"/>
  <c r="CA174" i="5" s="1"/>
  <c r="CC265" i="5"/>
  <c r="CE265" i="5"/>
  <c r="BY230" i="5"/>
  <c r="BZ230" i="5" s="1"/>
  <c r="BX230" i="5"/>
  <c r="BY325" i="5"/>
  <c r="BZ325" i="5" s="1"/>
  <c r="BX325" i="5"/>
  <c r="BY67" i="5"/>
  <c r="BZ67" i="5" s="1"/>
  <c r="BX67" i="5"/>
  <c r="BY326" i="5"/>
  <c r="BZ326" i="5" s="1"/>
  <c r="BX326" i="5"/>
  <c r="BY241" i="5"/>
  <c r="BZ241" i="5" s="1"/>
  <c r="BX241" i="5"/>
  <c r="CC181" i="5"/>
  <c r="CE181" i="5"/>
  <c r="BY255" i="5"/>
  <c r="CA255" i="5" s="1"/>
  <c r="BY144" i="5"/>
  <c r="CA144" i="5" s="1"/>
  <c r="BY95" i="5"/>
  <c r="BZ95" i="5" s="1"/>
  <c r="BX95" i="5"/>
  <c r="CC296" i="5"/>
  <c r="CE296" i="5"/>
  <c r="BX218" i="5"/>
  <c r="BY218" i="5"/>
  <c r="BZ218" i="5" s="1"/>
  <c r="BY146" i="5"/>
  <c r="BZ146" i="5" s="1"/>
  <c r="BX146" i="5"/>
  <c r="BX250" i="5"/>
  <c r="BY250" i="5"/>
  <c r="BZ250" i="5" s="1"/>
  <c r="BY242" i="5"/>
  <c r="BZ242" i="5" s="1"/>
  <c r="BX242" i="5"/>
  <c r="BX18" i="5"/>
  <c r="BY18" i="5"/>
  <c r="BZ18" i="5" s="1"/>
  <c r="CC206" i="5"/>
  <c r="AL343" i="5"/>
  <c r="BE355" i="5"/>
  <c r="AG333" i="5"/>
  <c r="AX356" i="5"/>
  <c r="P338" i="5"/>
  <c r="AM337" i="5"/>
  <c r="BB335" i="5"/>
  <c r="AH348" i="5"/>
  <c r="AH345" i="5"/>
  <c r="BB337" i="5"/>
  <c r="BD342" i="5"/>
  <c r="G342" i="5"/>
  <c r="AE347" i="5"/>
  <c r="BD344" i="5"/>
  <c r="AM355" i="5"/>
  <c r="AG341" i="5"/>
  <c r="BB345" i="5"/>
  <c r="N346" i="5"/>
  <c r="AK359" i="5"/>
  <c r="G347" i="5"/>
  <c r="AH334" i="5"/>
  <c r="AZ340" i="5"/>
  <c r="N355" i="5"/>
  <c r="AL344" i="5"/>
  <c r="G353" i="5"/>
  <c r="Q336" i="5"/>
  <c r="AH336" i="5"/>
  <c r="L354" i="5"/>
  <c r="T358" i="5"/>
  <c r="F358" i="5" s="1"/>
  <c r="M335" i="5"/>
  <c r="AG356" i="5"/>
  <c r="BB350" i="5"/>
  <c r="AJ357" i="5"/>
  <c r="R359" i="5"/>
  <c r="BF346" i="5"/>
  <c r="AM353" i="5"/>
  <c r="AM340" i="5"/>
  <c r="BF335" i="5"/>
  <c r="L339" i="5"/>
  <c r="AM343" i="5"/>
  <c r="P351" i="5"/>
  <c r="S337" i="5"/>
  <c r="S354" i="5"/>
  <c r="J359" i="5"/>
  <c r="BD359" i="5"/>
  <c r="AI333" i="5"/>
  <c r="BD338" i="5"/>
  <c r="AJ358" i="5"/>
  <c r="AK335" i="5"/>
  <c r="P353" i="5"/>
  <c r="J346" i="5"/>
  <c r="BC334" i="5"/>
  <c r="BC344" i="5"/>
  <c r="BF347" i="5"/>
  <c r="L357" i="5"/>
  <c r="AG337" i="5"/>
  <c r="S350" i="5"/>
  <c r="J352" i="5"/>
  <c r="AG334" i="5"/>
  <c r="BB359" i="5"/>
  <c r="AE334" i="5"/>
  <c r="BB357" i="5"/>
  <c r="N345" i="5"/>
  <c r="T352" i="5"/>
  <c r="F352" i="5" s="1"/>
  <c r="AK333" i="5"/>
  <c r="N356" i="5"/>
  <c r="BE359" i="5"/>
  <c r="M333" i="5"/>
  <c r="AE342" i="5"/>
  <c r="AM338" i="5"/>
  <c r="P352" i="5"/>
  <c r="BC354" i="5"/>
  <c r="G340" i="5"/>
  <c r="M342" i="5"/>
  <c r="AH352" i="5"/>
  <c r="BC355" i="5"/>
  <c r="AM351" i="5"/>
  <c r="L345" i="5"/>
  <c r="J339" i="5"/>
  <c r="BD336" i="5"/>
  <c r="AZ338" i="5"/>
  <c r="N352" i="5"/>
  <c r="BC359" i="5"/>
  <c r="BB348" i="5"/>
  <c r="N359" i="5"/>
  <c r="P334" i="5"/>
  <c r="G333" i="5"/>
  <c r="AL356" i="5"/>
  <c r="AE340" i="5"/>
  <c r="AF356" i="5"/>
  <c r="AJ351" i="5"/>
  <c r="AZ352" i="5"/>
  <c r="AF348" i="5"/>
  <c r="L342" i="5"/>
  <c r="AJ345" i="5"/>
  <c r="AH354" i="5"/>
  <c r="BA348" i="5"/>
  <c r="AJ337" i="5"/>
  <c r="AL336" i="5"/>
  <c r="BC341" i="5"/>
  <c r="J340" i="5"/>
  <c r="G346" i="5"/>
  <c r="AY335" i="5"/>
  <c r="N334" i="5"/>
  <c r="AE355" i="5"/>
  <c r="G337" i="5"/>
  <c r="J344" i="5"/>
  <c r="R342" i="5"/>
  <c r="BE353" i="5"/>
  <c r="AF340" i="5"/>
  <c r="AI336" i="5"/>
  <c r="M334" i="5"/>
  <c r="AE336" i="5"/>
  <c r="BF354" i="5"/>
  <c r="H354" i="5" s="1"/>
  <c r="AI337" i="5"/>
  <c r="AF333" i="5"/>
  <c r="AX349" i="5"/>
  <c r="AG355" i="5"/>
  <c r="AX334" i="5"/>
  <c r="AX340" i="5"/>
  <c r="L344" i="5"/>
  <c r="AL333" i="5"/>
  <c r="O342" i="5"/>
  <c r="G359" i="5"/>
  <c r="BC337" i="5"/>
  <c r="BA337" i="5"/>
  <c r="BD333" i="5"/>
  <c r="G343" i="5"/>
  <c r="AF357" i="5"/>
  <c r="BD341" i="5"/>
  <c r="AI343" i="5"/>
  <c r="AY356" i="5"/>
  <c r="G352" i="5"/>
  <c r="AG354" i="5"/>
  <c r="O358" i="5"/>
  <c r="R336" i="5"/>
  <c r="BA355" i="5"/>
  <c r="AM334" i="5"/>
  <c r="Q347" i="5"/>
  <c r="O357" i="5"/>
  <c r="AF343" i="5"/>
  <c r="M344" i="5"/>
  <c r="T353" i="5"/>
  <c r="AE343" i="5"/>
  <c r="L335" i="5"/>
  <c r="AY349" i="5"/>
  <c r="AI339" i="5"/>
  <c r="AL339" i="5"/>
  <c r="P342" i="5"/>
  <c r="P350" i="5"/>
  <c r="BF334" i="5"/>
  <c r="AZ343" i="5"/>
  <c r="AG342" i="5"/>
  <c r="S344" i="5"/>
  <c r="AF349" i="5"/>
  <c r="AJ348" i="5"/>
  <c r="G335" i="5"/>
  <c r="AY341" i="5"/>
  <c r="AZ346" i="5"/>
  <c r="AH359" i="5"/>
  <c r="M354" i="5"/>
  <c r="N357" i="5"/>
  <c r="BB349" i="5"/>
  <c r="AG357" i="5"/>
  <c r="AX358" i="5"/>
  <c r="AY354" i="5"/>
  <c r="AZ341" i="5"/>
  <c r="T344" i="5"/>
  <c r="F344" i="5" s="1"/>
  <c r="N344" i="5"/>
  <c r="R345" i="5"/>
  <c r="AG344" i="5"/>
  <c r="N343" i="5"/>
  <c r="R354" i="5"/>
  <c r="BF343" i="5"/>
  <c r="AY334" i="5"/>
  <c r="T334" i="5"/>
  <c r="F334" i="5" s="1"/>
  <c r="G339" i="5"/>
  <c r="O338" i="5"/>
  <c r="BE348" i="5"/>
  <c r="P349" i="5"/>
  <c r="T350" i="5"/>
  <c r="F350" i="5" s="1"/>
  <c r="BD343" i="5"/>
  <c r="AY345" i="5"/>
  <c r="AX354" i="5"/>
  <c r="BA354" i="5"/>
  <c r="P355" i="5"/>
  <c r="Q359" i="5"/>
  <c r="AZ347" i="5"/>
  <c r="J341" i="5"/>
  <c r="J354" i="5"/>
  <c r="AI352" i="5"/>
  <c r="AJ339" i="5"/>
  <c r="BE358" i="5"/>
  <c r="BC352" i="5"/>
  <c r="Q333" i="5"/>
  <c r="T343" i="5"/>
  <c r="F343" i="5" s="1"/>
  <c r="BD352" i="5"/>
  <c r="AY355" i="5"/>
  <c r="AE339" i="5"/>
  <c r="O350" i="5"/>
  <c r="BD348" i="5"/>
  <c r="BB346" i="5"/>
  <c r="AF347" i="5"/>
  <c r="T355" i="5"/>
  <c r="F355" i="5" s="1"/>
  <c r="AX337" i="5"/>
  <c r="AF346" i="5"/>
  <c r="AM352" i="5"/>
  <c r="T341" i="5"/>
  <c r="F341" i="5" s="1"/>
  <c r="BE344" i="5"/>
  <c r="BF356" i="5"/>
  <c r="BE350" i="5"/>
  <c r="AH358" i="5"/>
  <c r="S341" i="5"/>
  <c r="BD354" i="5"/>
  <c r="M358" i="5"/>
  <c r="M349" i="5"/>
  <c r="AZ333" i="5"/>
  <c r="AI358" i="5"/>
  <c r="R338" i="5"/>
  <c r="BF350" i="5"/>
  <c r="AY347" i="5"/>
  <c r="BB353" i="5"/>
  <c r="AF353" i="5"/>
  <c r="BA359" i="5"/>
  <c r="BE340" i="5"/>
  <c r="G358" i="5"/>
  <c r="J337" i="5"/>
  <c r="N353" i="5"/>
  <c r="AX344" i="5"/>
  <c r="S357" i="5"/>
  <c r="T356" i="5"/>
  <c r="F356" i="5" s="1"/>
  <c r="AI355" i="5"/>
  <c r="S352" i="5"/>
  <c r="BC347" i="5"/>
  <c r="O349" i="5"/>
  <c r="Q354" i="5"/>
  <c r="Q335" i="5"/>
  <c r="BF338" i="5"/>
  <c r="O351" i="5"/>
  <c r="AI345" i="5"/>
  <c r="L355" i="5"/>
  <c r="N351" i="5"/>
  <c r="AG338" i="5"/>
  <c r="M337" i="5"/>
  <c r="G351" i="5"/>
  <c r="O359" i="5"/>
  <c r="T338" i="5"/>
  <c r="J343" i="5"/>
  <c r="AY346" i="5"/>
  <c r="BE339" i="5"/>
  <c r="S348" i="5"/>
  <c r="AZ344" i="5"/>
  <c r="AF352" i="5"/>
  <c r="N347" i="5"/>
  <c r="O355" i="5"/>
  <c r="AF358" i="5"/>
  <c r="J357" i="5"/>
  <c r="L352" i="5"/>
  <c r="AX343" i="5"/>
  <c r="AE350" i="5"/>
  <c r="BF353" i="5"/>
  <c r="AZ359" i="5"/>
  <c r="J347" i="5"/>
  <c r="O348" i="5"/>
  <c r="T340" i="5"/>
  <c r="F340" i="5" s="1"/>
  <c r="AI356" i="5"/>
  <c r="BF357" i="5"/>
  <c r="AG359" i="5"/>
  <c r="AJ340" i="5"/>
  <c r="Q357" i="5"/>
  <c r="AJ356" i="5"/>
  <c r="AE359" i="5"/>
  <c r="O345" i="5"/>
  <c r="M359" i="5"/>
  <c r="AM346" i="5"/>
  <c r="H346" i="5" s="1"/>
  <c r="Q342" i="5"/>
  <c r="BC357" i="5"/>
  <c r="AZ348" i="5"/>
  <c r="BD346" i="5"/>
  <c r="S356" i="5"/>
  <c r="AZ350" i="5"/>
  <c r="T335" i="5"/>
  <c r="F335" i="5" s="1"/>
  <c r="T339" i="5"/>
  <c r="F339" i="5" s="1"/>
  <c r="AE348" i="5"/>
  <c r="AF338" i="5"/>
  <c r="BC346" i="5"/>
  <c r="BA357" i="5"/>
  <c r="AL352" i="5"/>
  <c r="AL337" i="5"/>
  <c r="AY352" i="5"/>
  <c r="BD349" i="5"/>
  <c r="N350" i="5"/>
  <c r="AK347" i="5"/>
  <c r="AM345" i="5"/>
  <c r="T342" i="5"/>
  <c r="AY351" i="5"/>
  <c r="Q337" i="5"/>
  <c r="AY343" i="5"/>
  <c r="BA341" i="5"/>
  <c r="AE349" i="5"/>
  <c r="T336" i="5"/>
  <c r="F336" i="5" s="1"/>
  <c r="O354" i="5"/>
  <c r="AK356" i="5"/>
  <c r="BA338" i="5"/>
  <c r="AH341" i="5"/>
  <c r="AJ353" i="5"/>
  <c r="AJ334" i="5"/>
  <c r="N337" i="5"/>
  <c r="AI354" i="5"/>
  <c r="AM359" i="5"/>
  <c r="BE342" i="5"/>
  <c r="BE354" i="5"/>
  <c r="AF337" i="5"/>
  <c r="BD337" i="5"/>
  <c r="AM357" i="5"/>
  <c r="AI335" i="5"/>
  <c r="Q341" i="5"/>
  <c r="AY336" i="5"/>
  <c r="BF345" i="5"/>
  <c r="P341" i="5"/>
  <c r="G355" i="5"/>
  <c r="N340" i="5"/>
  <c r="AX339" i="5"/>
  <c r="J356" i="5"/>
  <c r="AL355" i="5"/>
  <c r="AE341" i="5"/>
  <c r="AX338" i="5"/>
  <c r="AF342" i="5"/>
  <c r="AG336" i="5"/>
  <c r="BD350" i="5"/>
  <c r="T357" i="5"/>
  <c r="M345" i="5"/>
  <c r="N349" i="5"/>
  <c r="O339" i="5"/>
  <c r="BC338" i="5"/>
  <c r="AK334" i="5"/>
  <c r="O336" i="5"/>
  <c r="T351" i="5"/>
  <c r="AH339" i="5"/>
  <c r="S340" i="5"/>
  <c r="L349" i="5"/>
  <c r="BA347" i="5"/>
  <c r="AM333" i="5"/>
  <c r="AZ354" i="5"/>
  <c r="AI334" i="5"/>
  <c r="BD351" i="5"/>
  <c r="AF354" i="5"/>
  <c r="R358" i="5"/>
  <c r="N358" i="5"/>
  <c r="X358" i="5" s="1"/>
  <c r="BA353" i="5"/>
  <c r="AK337" i="5"/>
  <c r="AM342" i="5"/>
  <c r="AK348" i="5"/>
  <c r="AI350" i="5"/>
  <c r="M336" i="5"/>
  <c r="AI340" i="5"/>
  <c r="BA345" i="5"/>
  <c r="J348" i="5"/>
  <c r="BA339" i="5"/>
  <c r="AZ353" i="5"/>
  <c r="AM344" i="5"/>
  <c r="S347" i="5"/>
  <c r="AG346" i="5"/>
  <c r="AL351" i="5"/>
  <c r="AY344" i="5"/>
  <c r="M340" i="5"/>
  <c r="AK357" i="5"/>
  <c r="BD334" i="5"/>
  <c r="S336" i="5"/>
  <c r="M357" i="5"/>
  <c r="P359" i="5"/>
  <c r="Q343" i="5"/>
  <c r="AA343" i="5" s="1"/>
  <c r="G348" i="5"/>
  <c r="BC356" i="5"/>
  <c r="BC343" i="5"/>
  <c r="AL354" i="5"/>
  <c r="J342" i="5"/>
  <c r="AY338" i="5"/>
  <c r="BA350" i="5"/>
  <c r="L358" i="5"/>
  <c r="AK341" i="5"/>
  <c r="P358" i="5"/>
  <c r="BE356" i="5"/>
  <c r="AE344" i="5"/>
  <c r="BF359" i="5"/>
  <c r="N333" i="5"/>
  <c r="J336" i="5"/>
  <c r="AJ355" i="5"/>
  <c r="O340" i="5"/>
  <c r="T359" i="5"/>
  <c r="J334" i="5"/>
  <c r="BD339" i="5"/>
  <c r="O333" i="5"/>
  <c r="T346" i="5"/>
  <c r="F346" i="5" s="1"/>
  <c r="O344" i="5"/>
  <c r="M348" i="5"/>
  <c r="BE337" i="5"/>
  <c r="BD345" i="5"/>
  <c r="AK346" i="5"/>
  <c r="O337" i="5"/>
  <c r="AH346" i="5"/>
  <c r="AJ338" i="5"/>
  <c r="Q340" i="5"/>
  <c r="Q349" i="5"/>
  <c r="BC353" i="5"/>
  <c r="BF355" i="5"/>
  <c r="T337" i="5"/>
  <c r="F337" i="5" s="1"/>
  <c r="AG350" i="5"/>
  <c r="AM348" i="5"/>
  <c r="AI338" i="5"/>
  <c r="AJ341" i="5"/>
  <c r="BE336" i="5"/>
  <c r="BC339" i="5"/>
  <c r="AJ342" i="5"/>
  <c r="AH343" i="5"/>
  <c r="AL342" i="5"/>
  <c r="AZ334" i="5"/>
  <c r="BB347" i="5"/>
  <c r="M353" i="5"/>
  <c r="AK343" i="5"/>
  <c r="AL358" i="5"/>
  <c r="BB351" i="5"/>
  <c r="AH335" i="5"/>
  <c r="P347" i="5"/>
  <c r="S351" i="5"/>
  <c r="BB358" i="5"/>
  <c r="R335" i="5"/>
  <c r="L337" i="5"/>
  <c r="N339" i="5"/>
  <c r="L340" i="5"/>
  <c r="BD357" i="5"/>
  <c r="AX353" i="5"/>
  <c r="AF335" i="5"/>
  <c r="Q355" i="5"/>
  <c r="BC351" i="5"/>
  <c r="AJ354" i="5"/>
  <c r="AH356" i="5"/>
  <c r="R348" i="5"/>
  <c r="BA340" i="5"/>
  <c r="J358" i="5"/>
  <c r="M356" i="5"/>
  <c r="AM350" i="5"/>
  <c r="AJ350" i="5"/>
  <c r="L353" i="5"/>
  <c r="AZ339" i="5"/>
  <c r="BD355" i="5"/>
  <c r="BB334" i="5"/>
  <c r="N354" i="5"/>
  <c r="AZ357" i="5"/>
  <c r="BF352" i="5"/>
  <c r="AK351" i="5"/>
  <c r="AG339" i="5"/>
  <c r="AX336" i="5"/>
  <c r="BB352" i="5"/>
  <c r="BA335" i="5"/>
  <c r="AK336" i="5"/>
  <c r="BD347" i="5"/>
  <c r="AE337" i="5"/>
  <c r="M338" i="5"/>
  <c r="BC342" i="5"/>
  <c r="AI344" i="5"/>
  <c r="BB338" i="5"/>
  <c r="AG348" i="5"/>
  <c r="S339" i="5"/>
  <c r="BY273" i="5"/>
  <c r="CA273" i="5" s="1"/>
  <c r="BX91" i="5"/>
  <c r="BY91" i="5"/>
  <c r="BZ91" i="5" s="1"/>
  <c r="BY78" i="5"/>
  <c r="BZ78" i="5" s="1"/>
  <c r="BX78" i="5"/>
  <c r="BY71" i="5"/>
  <c r="BX71" i="5"/>
  <c r="BX227" i="5"/>
  <c r="BY227" i="5"/>
  <c r="BZ227" i="5" s="1"/>
  <c r="BX193" i="5"/>
  <c r="BY193" i="5"/>
  <c r="BY183" i="5"/>
  <c r="BZ183" i="5" s="1"/>
  <c r="BX183" i="5"/>
  <c r="BX244" i="5"/>
  <c r="BY244" i="5"/>
  <c r="BZ244" i="5" s="1"/>
  <c r="BY36" i="5"/>
  <c r="CA36" i="5" s="1"/>
  <c r="BX61" i="5"/>
  <c r="BY61" i="5"/>
  <c r="BZ61" i="5" s="1"/>
  <c r="BY207" i="5"/>
  <c r="BZ207" i="5" s="1"/>
  <c r="BX207" i="5"/>
  <c r="CC210" i="5"/>
  <c r="CE210" i="5"/>
  <c r="BX199" i="5"/>
  <c r="BY199" i="5"/>
  <c r="BZ199" i="5" s="1"/>
  <c r="O23" i="3"/>
  <c r="BY299" i="5"/>
  <c r="CA299" i="5" s="1"/>
  <c r="BY35" i="5"/>
  <c r="BX35" i="5"/>
  <c r="BY131" i="5"/>
  <c r="CA131" i="5" s="1"/>
  <c r="AH337" i="5"/>
  <c r="BY17" i="5"/>
  <c r="BZ17" i="5" s="1"/>
  <c r="BX17" i="5"/>
  <c r="CC128" i="5"/>
  <c r="CE128" i="5"/>
  <c r="BY176" i="5"/>
  <c r="BZ176" i="5" s="1"/>
  <c r="BX176" i="5"/>
  <c r="BY284" i="5"/>
  <c r="BX284" i="5"/>
  <c r="BY231" i="5"/>
  <c r="BX231" i="5"/>
  <c r="BX134" i="5"/>
  <c r="BY134" i="5"/>
  <c r="BZ134" i="5" s="1"/>
  <c r="BY217" i="5"/>
  <c r="CA217" i="5" s="1"/>
  <c r="BY247" i="5"/>
  <c r="BZ247" i="5" s="1"/>
  <c r="BX247" i="5"/>
  <c r="AH344" i="5"/>
  <c r="AL348" i="5"/>
  <c r="M343" i="5"/>
  <c r="BC358" i="5"/>
  <c r="BE351" i="5"/>
  <c r="AE333" i="5"/>
  <c r="BE357" i="5"/>
  <c r="P339" i="5"/>
  <c r="AK355" i="5"/>
  <c r="Q356" i="5"/>
  <c r="BA334" i="5"/>
  <c r="AG345" i="5"/>
  <c r="G336" i="5"/>
  <c r="BB339" i="5"/>
  <c r="AM341" i="5"/>
  <c r="AK354" i="5"/>
  <c r="BE333" i="5"/>
  <c r="BB355" i="5"/>
  <c r="AX345" i="5"/>
  <c r="AI348" i="5"/>
  <c r="R349" i="5"/>
  <c r="P340" i="5"/>
  <c r="P348" i="5"/>
  <c r="O352" i="5"/>
  <c r="AI351" i="5"/>
  <c r="BD358" i="5"/>
  <c r="AJ336" i="5"/>
  <c r="AI349" i="5"/>
  <c r="AX347" i="5"/>
  <c r="L347" i="5"/>
  <c r="L338" i="5"/>
  <c r="AX352" i="5"/>
  <c r="R343" i="5"/>
  <c r="BC340" i="5"/>
  <c r="BA336" i="5"/>
  <c r="J349" i="5"/>
  <c r="AI346" i="5"/>
  <c r="AK352" i="5"/>
  <c r="BC333" i="5"/>
  <c r="BF336" i="5"/>
  <c r="L341" i="5"/>
  <c r="AF334" i="5"/>
  <c r="AE354" i="5"/>
  <c r="BX268" i="5"/>
  <c r="BY268" i="5"/>
  <c r="BZ268" i="5" s="1"/>
  <c r="BX90" i="5"/>
  <c r="BY90" i="5"/>
  <c r="BZ90" i="5" s="1"/>
  <c r="BX53" i="5"/>
  <c r="BY53" i="5"/>
  <c r="BZ53" i="5" s="1"/>
  <c r="BY289" i="5"/>
  <c r="CA289" i="5" s="1"/>
  <c r="BY30" i="5"/>
  <c r="BZ30" i="5" s="1"/>
  <c r="BX30" i="5"/>
  <c r="BY240" i="5"/>
  <c r="BZ240" i="5" s="1"/>
  <c r="BX240" i="5"/>
  <c r="BY65" i="5"/>
  <c r="BZ65" i="5" s="1"/>
  <c r="BX65" i="5"/>
  <c r="BY178" i="5"/>
  <c r="BZ178" i="5" s="1"/>
  <c r="BX178" i="5"/>
  <c r="BY330" i="5"/>
  <c r="BZ330" i="5" s="1"/>
  <c r="BX330" i="5"/>
  <c r="BX280" i="5"/>
  <c r="BY280" i="5"/>
  <c r="BZ280" i="5" s="1"/>
  <c r="BX233" i="5"/>
  <c r="BY233" i="5"/>
  <c r="BZ233" i="5" s="1"/>
  <c r="CC226" i="5"/>
  <c r="CE226" i="5"/>
  <c r="BY252" i="5"/>
  <c r="BZ252" i="5" s="1"/>
  <c r="BX252" i="5"/>
  <c r="BY185" i="5"/>
  <c r="CA185" i="5" s="1"/>
  <c r="BY186" i="5"/>
  <c r="BX186" i="5"/>
  <c r="BX322" i="5"/>
  <c r="BY322" i="5"/>
  <c r="BY86" i="5"/>
  <c r="CA86" i="5" s="1"/>
  <c r="BB342" i="5"/>
  <c r="BY194" i="5"/>
  <c r="BZ194" i="5" s="1"/>
  <c r="BX194" i="5"/>
  <c r="BY162" i="5"/>
  <c r="BZ162" i="5" s="1"/>
  <c r="BX162" i="5"/>
  <c r="BY301" i="5"/>
  <c r="BZ301" i="5" s="1"/>
  <c r="BX301" i="5"/>
  <c r="BX141" i="5"/>
  <c r="BY141" i="5"/>
  <c r="BZ141" i="5" s="1"/>
  <c r="BY143" i="5"/>
  <c r="CA143" i="5" s="1"/>
  <c r="BX246" i="5"/>
  <c r="BY246" i="5"/>
  <c r="BZ246" i="5" s="1"/>
  <c r="BY189" i="5"/>
  <c r="BZ189" i="5" s="1"/>
  <c r="BX189" i="5"/>
  <c r="CC317" i="5"/>
  <c r="CE317" i="5"/>
  <c r="J350" i="5"/>
  <c r="M346" i="5"/>
  <c r="BA352" i="5"/>
  <c r="AL335" i="5"/>
  <c r="AJ344" i="5"/>
  <c r="N348" i="5"/>
  <c r="AM356" i="5"/>
  <c r="AM358" i="5"/>
  <c r="AJ333" i="5"/>
  <c r="BF348" i="5"/>
  <c r="Q338" i="5"/>
  <c r="BC350" i="5"/>
  <c r="BC348" i="5"/>
  <c r="AY339" i="5"/>
  <c r="R334" i="5"/>
  <c r="BF342" i="5"/>
  <c r="AY358" i="5"/>
  <c r="BA346" i="5"/>
  <c r="AH353" i="5"/>
  <c r="T333" i="5"/>
  <c r="F333" i="5" s="1"/>
  <c r="N342" i="5"/>
  <c r="O334" i="5"/>
  <c r="AL334" i="5"/>
  <c r="S358" i="5"/>
  <c r="AG340" i="5"/>
  <c r="T349" i="5"/>
  <c r="F349" i="5" s="1"/>
  <c r="Q346" i="5"/>
  <c r="AZ335" i="5"/>
  <c r="AG353" i="5"/>
  <c r="BF339" i="5"/>
  <c r="AF341" i="5"/>
  <c r="BA358" i="5"/>
  <c r="AX346" i="5"/>
  <c r="J335" i="5"/>
  <c r="S345" i="5"/>
  <c r="AE356" i="5"/>
  <c r="AX355" i="5"/>
  <c r="AY333" i="5"/>
  <c r="J353" i="5"/>
  <c r="BD340" i="5"/>
  <c r="O335" i="5"/>
  <c r="S338" i="5"/>
  <c r="AH342" i="5"/>
  <c r="P335" i="5"/>
  <c r="BY69" i="5"/>
  <c r="BZ69" i="5" s="1"/>
  <c r="BX69" i="5"/>
  <c r="BX115" i="5"/>
  <c r="BY115" i="5"/>
  <c r="BZ115" i="5" s="1"/>
  <c r="BY129" i="5"/>
  <c r="BZ129" i="5" s="1"/>
  <c r="BX129" i="5"/>
  <c r="BY46" i="5"/>
  <c r="CA46" i="5" s="1"/>
  <c r="BY287" i="5"/>
  <c r="CA287" i="5" s="1"/>
  <c r="BX260" i="5"/>
  <c r="BY260" i="5"/>
  <c r="BZ260" i="5" s="1"/>
  <c r="BY215" i="5"/>
  <c r="CA215" i="5" s="1"/>
  <c r="BY113" i="5"/>
  <c r="BZ113" i="5" s="1"/>
  <c r="BX113" i="5"/>
  <c r="BY151" i="5"/>
  <c r="CA151" i="5" s="1"/>
  <c r="BX125" i="5"/>
  <c r="BY125" i="5"/>
  <c r="BY323" i="5"/>
  <c r="CA323" i="5" s="1"/>
  <c r="BY201" i="5"/>
  <c r="BZ201" i="5" s="1"/>
  <c r="BX201" i="5"/>
  <c r="BY313" i="5"/>
  <c r="BZ313" i="5" s="1"/>
  <c r="BX313" i="5"/>
  <c r="BY81" i="5"/>
  <c r="BZ81" i="5" s="1"/>
  <c r="BX81" i="5"/>
  <c r="BY224" i="5"/>
  <c r="BZ224" i="5" s="1"/>
  <c r="BX224" i="5"/>
  <c r="BY85" i="5"/>
  <c r="CA85" i="5" s="1"/>
  <c r="AJ335" i="5"/>
  <c r="BY87" i="5"/>
  <c r="BZ87" i="5" s="1"/>
  <c r="BX87" i="5"/>
  <c r="BY220" i="5"/>
  <c r="BZ220" i="5" s="1"/>
  <c r="BX220" i="5"/>
  <c r="BX58" i="5"/>
  <c r="BY58" i="5"/>
  <c r="BZ58" i="5" s="1"/>
  <c r="CC72" i="5"/>
  <c r="CE72" i="5"/>
  <c r="BY187" i="5"/>
  <c r="BZ187" i="5" s="1"/>
  <c r="BX187" i="5"/>
  <c r="BY11" i="5"/>
  <c r="BZ11" i="5" s="1"/>
  <c r="BX11" i="5"/>
  <c r="BY197" i="5"/>
  <c r="CA197" i="5" s="1"/>
  <c r="AX351" i="5"/>
  <c r="BZ102" i="5"/>
  <c r="CB102" i="5" s="1"/>
  <c r="CD102" i="5" s="1"/>
  <c r="CA102" i="5"/>
  <c r="R339" i="5"/>
  <c r="CC300" i="5"/>
  <c r="CE300" i="5"/>
  <c r="AX335" i="5"/>
  <c r="AJ359" i="5"/>
  <c r="BY10" i="5"/>
  <c r="BZ10" i="5" s="1"/>
  <c r="BX10" i="5"/>
  <c r="AI347" i="5"/>
  <c r="AY353" i="5"/>
  <c r="AL347" i="5"/>
  <c r="BA344" i="5"/>
  <c r="AL341" i="5"/>
  <c r="BF340" i="5"/>
  <c r="AH355" i="5"/>
  <c r="AZ342" i="5"/>
  <c r="BF337" i="5"/>
  <c r="BF351" i="5"/>
  <c r="BB333" i="5"/>
  <c r="AH357" i="5"/>
  <c r="P337" i="5"/>
  <c r="O353" i="5"/>
  <c r="AI357" i="5"/>
  <c r="O356" i="5"/>
  <c r="J333" i="5"/>
  <c r="AL349" i="5"/>
  <c r="R346" i="5"/>
  <c r="R356" i="5"/>
  <c r="Q358" i="5"/>
  <c r="G357" i="5"/>
  <c r="Q345" i="5"/>
  <c r="S343" i="5"/>
  <c r="AE351" i="5"/>
  <c r="BB343" i="5"/>
  <c r="AK340" i="5"/>
  <c r="BF344" i="5"/>
  <c r="BE352" i="5"/>
  <c r="Q350" i="5"/>
  <c r="AZ345" i="5"/>
  <c r="L359" i="5"/>
  <c r="L348" i="5"/>
  <c r="AK349" i="5"/>
  <c r="AI341" i="5"/>
  <c r="AZ356" i="5"/>
  <c r="R344" i="5"/>
  <c r="BF333" i="5"/>
  <c r="AF345" i="5"/>
  <c r="AH349" i="5"/>
  <c r="CC80" i="5"/>
  <c r="CE80" i="5"/>
  <c r="CC160" i="5"/>
  <c r="CE160" i="5"/>
  <c r="BY97" i="5"/>
  <c r="BZ97" i="5" s="1"/>
  <c r="BX97" i="5"/>
  <c r="BY314" i="5"/>
  <c r="BZ314" i="5" s="1"/>
  <c r="BX314" i="5"/>
  <c r="BY138" i="5"/>
  <c r="CA138" i="5" s="1"/>
  <c r="BY99" i="5"/>
  <c r="BZ99" i="5" s="1"/>
  <c r="BX99" i="5"/>
  <c r="BX12" i="5"/>
  <c r="BY12" i="5"/>
  <c r="BY324" i="5"/>
  <c r="CA324" i="5" s="1"/>
  <c r="CC154" i="5"/>
  <c r="CE154" i="5"/>
  <c r="BY167" i="5"/>
  <c r="CA167" i="5" s="1"/>
  <c r="BX272" i="5"/>
  <c r="BY272" i="5"/>
  <c r="BZ272" i="5" s="1"/>
  <c r="BY104" i="5"/>
  <c r="BZ104" i="5" s="1"/>
  <c r="BX104" i="5"/>
  <c r="CC23" i="5"/>
  <c r="CE23" i="5"/>
  <c r="BY25" i="5"/>
  <c r="BZ25" i="5" s="1"/>
  <c r="BX25" i="5"/>
  <c r="BY48" i="5"/>
  <c r="BZ48" i="5" s="1"/>
  <c r="BX48" i="5"/>
  <c r="Q351" i="5"/>
  <c r="BZ222" i="5"/>
  <c r="CB222" i="5" s="1"/>
  <c r="CD222" i="5" s="1"/>
  <c r="CA222" i="5"/>
  <c r="BY122" i="5"/>
  <c r="BZ122" i="5" s="1"/>
  <c r="BX122" i="5"/>
  <c r="BX103" i="5"/>
  <c r="BY103" i="5"/>
  <c r="BZ103" i="5" s="1"/>
  <c r="BX251" i="5"/>
  <c r="BY251" i="5"/>
  <c r="BZ251" i="5" s="1"/>
  <c r="BY133" i="5"/>
  <c r="BZ133" i="5" s="1"/>
  <c r="BX133" i="5"/>
  <c r="BY75" i="5"/>
  <c r="CA75" i="5" s="1"/>
  <c r="CC271" i="5"/>
  <c r="CE271" i="5"/>
  <c r="BX6" i="5"/>
  <c r="BY6" i="5"/>
  <c r="BZ6" i="5" s="1"/>
  <c r="CC77" i="5"/>
  <c r="CE77" i="5"/>
  <c r="AZ337" i="5"/>
  <c r="BA342" i="5"/>
  <c r="CE51" i="5"/>
  <c r="CC51" i="5"/>
  <c r="AL338" i="5"/>
  <c r="CE318" i="5"/>
  <c r="BZ40" i="5"/>
  <c r="CA40" i="5"/>
  <c r="P333" i="5"/>
  <c r="AL353" i="5"/>
  <c r="AK353" i="5"/>
  <c r="AY337" i="5"/>
  <c r="BE345" i="5"/>
  <c r="AH351" i="5"/>
  <c r="M347" i="5"/>
  <c r="G345" i="5"/>
  <c r="BB344" i="5"/>
  <c r="O347" i="5"/>
  <c r="BC335" i="5"/>
  <c r="T345" i="5"/>
  <c r="F345" i="5" s="1"/>
  <c r="AE358" i="5"/>
  <c r="S335" i="5"/>
  <c r="BB336" i="5"/>
  <c r="AK350" i="5"/>
  <c r="BA333" i="5"/>
  <c r="N335" i="5"/>
  <c r="AE345" i="5"/>
  <c r="AJ347" i="5"/>
  <c r="S333" i="5"/>
  <c r="R347" i="5"/>
  <c r="J351" i="5"/>
  <c r="AK358" i="5"/>
  <c r="L356" i="5"/>
  <c r="AZ349" i="5"/>
  <c r="AE338" i="5"/>
  <c r="AF344" i="5"/>
  <c r="L343" i="5"/>
  <c r="AG349" i="5"/>
  <c r="BE343" i="5"/>
  <c r="Q344" i="5"/>
  <c r="BE347" i="5"/>
  <c r="G338" i="5"/>
  <c r="AK342" i="5"/>
  <c r="G341" i="5"/>
  <c r="AZ351" i="5"/>
  <c r="AK339" i="5"/>
  <c r="G356" i="5"/>
  <c r="BE335" i="5"/>
  <c r="BY7" i="5"/>
  <c r="BX7" i="5"/>
  <c r="BX56" i="5"/>
  <c r="BY56" i="5"/>
  <c r="BZ56" i="5" s="1"/>
  <c r="BX288" i="5"/>
  <c r="BY288" i="5"/>
  <c r="BZ288" i="5" s="1"/>
  <c r="BY305" i="5"/>
  <c r="BX305" i="5"/>
  <c r="BY47" i="5"/>
  <c r="CA47" i="5" s="1"/>
  <c r="BY283" i="5"/>
  <c r="BX283" i="5"/>
  <c r="BY204" i="5"/>
  <c r="CA204" i="5" s="1"/>
  <c r="BX64" i="5"/>
  <c r="BY64" i="5"/>
  <c r="BZ64" i="5" s="1"/>
  <c r="BY93" i="5"/>
  <c r="BZ93" i="5" s="1"/>
  <c r="BX93" i="5"/>
  <c r="BY119" i="5"/>
  <c r="CA119" i="5" s="1"/>
  <c r="CC276" i="5"/>
  <c r="CE276" i="5"/>
  <c r="BX304" i="5"/>
  <c r="BY304" i="5"/>
  <c r="BX269" i="5"/>
  <c r="BY269" i="5"/>
  <c r="BY274" i="5"/>
  <c r="BZ274" i="5" s="1"/>
  <c r="BX274" i="5"/>
  <c r="BY263" i="5"/>
  <c r="BZ263" i="5" s="1"/>
  <c r="BX263" i="5"/>
  <c r="AM339" i="5"/>
  <c r="BX55" i="5"/>
  <c r="BY55" i="5"/>
  <c r="BY198" i="5"/>
  <c r="BZ198" i="5" s="1"/>
  <c r="BX198" i="5"/>
  <c r="BX327" i="5"/>
  <c r="BY327" i="5"/>
  <c r="BZ327" i="5" s="1"/>
  <c r="BY16" i="5"/>
  <c r="CA16" i="5" s="1"/>
  <c r="BY62" i="5"/>
  <c r="BZ62" i="5" s="1"/>
  <c r="BX62" i="5"/>
  <c r="BY303" i="5"/>
  <c r="BX303" i="5"/>
  <c r="BY68" i="5"/>
  <c r="BZ68" i="5" s="1"/>
  <c r="BX68" i="5"/>
  <c r="BY311" i="5"/>
  <c r="BZ311" i="5" s="1"/>
  <c r="BX311" i="5"/>
  <c r="BZ42" i="5"/>
  <c r="CA42" i="5"/>
  <c r="AY350" i="5"/>
  <c r="P336" i="5"/>
  <c r="BB341" i="5"/>
  <c r="R333" i="5"/>
  <c r="AH340" i="5"/>
  <c r="AL350" i="5"/>
  <c r="BC349" i="5"/>
  <c r="G354" i="5"/>
  <c r="J345" i="5"/>
  <c r="M352" i="5"/>
  <c r="BB340" i="5"/>
  <c r="T347" i="5"/>
  <c r="F347" i="5" s="1"/>
  <c r="AM349" i="5"/>
  <c r="AY348" i="5"/>
  <c r="AJ352" i="5"/>
  <c r="AM336" i="5"/>
  <c r="BE349" i="5"/>
  <c r="Q334" i="5"/>
  <c r="BA351" i="5"/>
  <c r="AG351" i="5"/>
  <c r="AL359" i="5"/>
  <c r="AL345" i="5"/>
  <c r="BF349" i="5"/>
  <c r="O341" i="5"/>
  <c r="AG352" i="5"/>
  <c r="AY359" i="5"/>
  <c r="J355" i="5"/>
  <c r="AX359" i="5"/>
  <c r="S353" i="5"/>
  <c r="AE352" i="5"/>
  <c r="BC345" i="5"/>
  <c r="BA349" i="5"/>
  <c r="S349" i="5"/>
  <c r="J338" i="5"/>
  <c r="AY342" i="5"/>
  <c r="AG343" i="5"/>
  <c r="AG347" i="5"/>
  <c r="Q353" i="5"/>
  <c r="AJ346" i="5"/>
  <c r="AX341" i="5"/>
  <c r="BA343" i="5"/>
  <c r="AE346" i="5"/>
  <c r="BE334" i="5"/>
  <c r="AX357" i="5"/>
  <c r="L333" i="5"/>
  <c r="R352" i="5"/>
  <c r="CB51" i="5"/>
  <c r="CD51" i="5" s="1"/>
  <c r="I1" i="5"/>
  <c r="H5" i="3"/>
  <c r="H5" i="2"/>
  <c r="D13" i="2"/>
  <c r="CB45" i="5"/>
  <c r="CC74" i="5"/>
  <c r="CE74" i="5"/>
  <c r="N13" i="3"/>
  <c r="P13" i="3"/>
  <c r="AC336" i="5" l="1"/>
  <c r="CA147" i="5"/>
  <c r="Z341" i="5"/>
  <c r="CA264" i="5"/>
  <c r="CA329" i="5"/>
  <c r="CE329" i="5" s="1"/>
  <c r="CA28" i="5"/>
  <c r="CE28" i="5" s="1"/>
  <c r="H6" i="1"/>
  <c r="H7" i="1"/>
  <c r="X354" i="5"/>
  <c r="AA354" i="5"/>
  <c r="V354" i="5"/>
  <c r="CE34" i="5"/>
  <c r="AC354" i="5"/>
  <c r="CB40" i="5"/>
  <c r="CD40" i="5" s="1"/>
  <c r="Y354" i="5"/>
  <c r="Z354" i="5"/>
  <c r="AB354" i="5"/>
  <c r="W354" i="5"/>
  <c r="CB220" i="5"/>
  <c r="CD220" i="5" s="1"/>
  <c r="CE243" i="5"/>
  <c r="CC116" i="5"/>
  <c r="CA9" i="5"/>
  <c r="CE9" i="5" s="1"/>
  <c r="AB352" i="5"/>
  <c r="W352" i="5"/>
  <c r="CA301" i="5"/>
  <c r="CC301" i="5" s="1"/>
  <c r="CC73" i="5"/>
  <c r="CB207" i="5"/>
  <c r="CD207" i="5" s="1"/>
  <c r="AB356" i="5"/>
  <c r="Y356" i="5"/>
  <c r="CA286" i="5"/>
  <c r="CB260" i="5"/>
  <c r="CD260" i="5" s="1"/>
  <c r="CA268" i="5"/>
  <c r="CC268" i="5" s="1"/>
  <c r="H357" i="5"/>
  <c r="Y352" i="5"/>
  <c r="AA353" i="5"/>
  <c r="Y353" i="5"/>
  <c r="AC353" i="5"/>
  <c r="V353" i="5"/>
  <c r="X348" i="5"/>
  <c r="W348" i="5"/>
  <c r="CB159" i="5"/>
  <c r="CD159" i="5" s="1"/>
  <c r="AB348" i="5"/>
  <c r="CB306" i="5"/>
  <c r="CD306" i="5" s="1"/>
  <c r="CB319" i="5"/>
  <c r="CD319" i="5" s="1"/>
  <c r="Y334" i="5"/>
  <c r="CA277" i="5"/>
  <c r="CE277" i="5" s="1"/>
  <c r="CA8" i="5"/>
  <c r="CE8" i="5" s="1"/>
  <c r="CB44" i="5"/>
  <c r="CD44" i="5" s="1"/>
  <c r="CB286" i="5"/>
  <c r="CD286" i="5" s="1"/>
  <c r="X335" i="5"/>
  <c r="V343" i="5"/>
  <c r="AB344" i="5"/>
  <c r="V348" i="5"/>
  <c r="H337" i="5"/>
  <c r="AC352" i="5"/>
  <c r="BZ358" i="5"/>
  <c r="CA133" i="5"/>
  <c r="CC133" i="5" s="1"/>
  <c r="CA99" i="5"/>
  <c r="CE99" i="5" s="1"/>
  <c r="CB173" i="5"/>
  <c r="CD173" i="5" s="1"/>
  <c r="CB277" i="5"/>
  <c r="CD277" i="5" s="1"/>
  <c r="CB285" i="5"/>
  <c r="CD285" i="5" s="1"/>
  <c r="CB263" i="5"/>
  <c r="CD263" i="5" s="1"/>
  <c r="CB133" i="5"/>
  <c r="CD133" i="5" s="1"/>
  <c r="CA282" i="5"/>
  <c r="CC282" i="5" s="1"/>
  <c r="CB327" i="5"/>
  <c r="CD327" i="5" s="1"/>
  <c r="CB316" i="5"/>
  <c r="CD316" i="5" s="1"/>
  <c r="CA249" i="5"/>
  <c r="CC249" i="5" s="1"/>
  <c r="AC339" i="5"/>
  <c r="H335" i="5"/>
  <c r="H341" i="5"/>
  <c r="Y340" i="5"/>
  <c r="CE221" i="5"/>
  <c r="CC221" i="5"/>
  <c r="X342" i="5"/>
  <c r="AA356" i="5"/>
  <c r="Y348" i="5"/>
  <c r="CB202" i="5"/>
  <c r="CD202" i="5" s="1"/>
  <c r="CA130" i="5"/>
  <c r="CE130" i="5" s="1"/>
  <c r="CA37" i="5"/>
  <c r="CB249" i="5"/>
  <c r="CD249" i="5" s="1"/>
  <c r="AB346" i="5"/>
  <c r="AA346" i="5"/>
  <c r="AA338" i="5"/>
  <c r="CB250" i="5"/>
  <c r="CD250" i="5" s="1"/>
  <c r="CB63" i="5"/>
  <c r="CD63" i="5" s="1"/>
  <c r="V356" i="5"/>
  <c r="AC338" i="5"/>
  <c r="CB194" i="5"/>
  <c r="CD194" i="5" s="1"/>
  <c r="Z348" i="5"/>
  <c r="X339" i="5"/>
  <c r="CB146" i="5"/>
  <c r="CD146" i="5" s="1"/>
  <c r="CB139" i="5"/>
  <c r="CD139" i="5" s="1"/>
  <c r="CB307" i="5"/>
  <c r="CD307" i="5" s="1"/>
  <c r="CB8" i="5"/>
  <c r="CD8" i="5" s="1"/>
  <c r="CB114" i="5"/>
  <c r="CD114" i="5" s="1"/>
  <c r="CA44" i="5"/>
  <c r="CC44" i="5" s="1"/>
  <c r="X353" i="5"/>
  <c r="CB124" i="5"/>
  <c r="CD124" i="5" s="1"/>
  <c r="CE147" i="5"/>
  <c r="CC147" i="5"/>
  <c r="W338" i="5"/>
  <c r="W353" i="5"/>
  <c r="AC348" i="5"/>
  <c r="CA163" i="5"/>
  <c r="CC163" i="5" s="1"/>
  <c r="CB127" i="5"/>
  <c r="CD127" i="5" s="1"/>
  <c r="CA294" i="5"/>
  <c r="CE294" i="5" s="1"/>
  <c r="BX348" i="5"/>
  <c r="CB130" i="5"/>
  <c r="CD130" i="5" s="1"/>
  <c r="CB163" i="5"/>
  <c r="CD163" i="5" s="1"/>
  <c r="AC333" i="5"/>
  <c r="CA6" i="5"/>
  <c r="CE6" i="5" s="1"/>
  <c r="W356" i="5"/>
  <c r="AC351" i="5"/>
  <c r="CA136" i="5"/>
  <c r="CE136" i="5" s="1"/>
  <c r="CA171" i="5"/>
  <c r="CE171" i="5" s="1"/>
  <c r="V352" i="5"/>
  <c r="Z339" i="5"/>
  <c r="Z337" i="5"/>
  <c r="H358" i="5"/>
  <c r="V359" i="5"/>
  <c r="Z335" i="5"/>
  <c r="Y341" i="5"/>
  <c r="AC343" i="5"/>
  <c r="AB334" i="5"/>
  <c r="V341" i="5"/>
  <c r="AB343" i="5"/>
  <c r="Z340" i="5"/>
  <c r="H349" i="5"/>
  <c r="CB64" i="5"/>
  <c r="CD64" i="5" s="1"/>
  <c r="H344" i="5"/>
  <c r="CB187" i="5"/>
  <c r="CD187" i="5" s="1"/>
  <c r="CB103" i="5"/>
  <c r="CD103" i="5" s="1"/>
  <c r="CA90" i="5"/>
  <c r="CC90" i="5" s="1"/>
  <c r="CB268" i="5"/>
  <c r="CD268" i="5" s="1"/>
  <c r="Y344" i="5"/>
  <c r="AA334" i="5"/>
  <c r="Z336" i="5"/>
  <c r="BX359" i="5"/>
  <c r="CA274" i="5"/>
  <c r="CE274" i="5" s="1"/>
  <c r="CA64" i="5"/>
  <c r="CE64" i="5" s="1"/>
  <c r="BZ337" i="5"/>
  <c r="AB339" i="5"/>
  <c r="AC358" i="5"/>
  <c r="CA246" i="5"/>
  <c r="CE246" i="5" s="1"/>
  <c r="CB280" i="5"/>
  <c r="CD280" i="5" s="1"/>
  <c r="V338" i="5"/>
  <c r="W343" i="5"/>
  <c r="CB176" i="5"/>
  <c r="CD176" i="5" s="1"/>
  <c r="CB183" i="5"/>
  <c r="CD183" i="5" s="1"/>
  <c r="CB227" i="5"/>
  <c r="CD227" i="5" s="1"/>
  <c r="CA78" i="5"/>
  <c r="CC78" i="5" s="1"/>
  <c r="H350" i="5"/>
  <c r="AA355" i="5"/>
  <c r="V351" i="5"/>
  <c r="Y339" i="5"/>
  <c r="X340" i="5"/>
  <c r="H347" i="5"/>
  <c r="AA348" i="5"/>
  <c r="CB326" i="5"/>
  <c r="CD326" i="5" s="1"/>
  <c r="CB164" i="5"/>
  <c r="CD164" i="5" s="1"/>
  <c r="CB140" i="5"/>
  <c r="CD140" i="5" s="1"/>
  <c r="CA166" i="5"/>
  <c r="CC166" i="5" s="1"/>
  <c r="CA76" i="5"/>
  <c r="CE76" i="5" s="1"/>
  <c r="CA108" i="5"/>
  <c r="CE108" i="5" s="1"/>
  <c r="CA124" i="5"/>
  <c r="CC124" i="5" s="1"/>
  <c r="CB88" i="5"/>
  <c r="CD88" i="5" s="1"/>
  <c r="CB282" i="5"/>
  <c r="CD282" i="5" s="1"/>
  <c r="CA258" i="5"/>
  <c r="CC258" i="5" s="1"/>
  <c r="CB259" i="5"/>
  <c r="CD259" i="5" s="1"/>
  <c r="CA88" i="5"/>
  <c r="CE88" i="5" s="1"/>
  <c r="CB302" i="5"/>
  <c r="CD302" i="5" s="1"/>
  <c r="CB309" i="5"/>
  <c r="CD309" i="5" s="1"/>
  <c r="BZ43" i="5"/>
  <c r="CB43" i="5" s="1"/>
  <c r="CD43" i="5" s="1"/>
  <c r="CA43" i="5"/>
  <c r="CE256" i="5"/>
  <c r="CC256" i="5"/>
  <c r="CB177" i="5"/>
  <c r="CD177" i="5" s="1"/>
  <c r="CB234" i="5"/>
  <c r="CD234" i="5" s="1"/>
  <c r="CB169" i="5"/>
  <c r="CD169" i="5" s="1"/>
  <c r="CA112" i="5"/>
  <c r="CE112" i="5" s="1"/>
  <c r="CB294" i="5"/>
  <c r="CD294" i="5" s="1"/>
  <c r="CA159" i="5"/>
  <c r="CC159" i="5" s="1"/>
  <c r="BZ50" i="5"/>
  <c r="CB50" i="5" s="1"/>
  <c r="CD50" i="5" s="1"/>
  <c r="CA50" i="5"/>
  <c r="AA344" i="5"/>
  <c r="CA208" i="5"/>
  <c r="CE208" i="5" s="1"/>
  <c r="CA156" i="5"/>
  <c r="CE156" i="5" s="1"/>
  <c r="CB258" i="5"/>
  <c r="CD258" i="5" s="1"/>
  <c r="CA105" i="5"/>
  <c r="CE105" i="5" s="1"/>
  <c r="CB112" i="5"/>
  <c r="CD112" i="5" s="1"/>
  <c r="CA302" i="5"/>
  <c r="CC302" i="5" s="1"/>
  <c r="CA309" i="5"/>
  <c r="CC309" i="5" s="1"/>
  <c r="CC57" i="5"/>
  <c r="CE57" i="5"/>
  <c r="X352" i="5"/>
  <c r="V355" i="5"/>
  <c r="X344" i="5"/>
  <c r="Y355" i="5"/>
  <c r="Z352" i="5"/>
  <c r="AC349" i="5"/>
  <c r="AA341" i="5"/>
  <c r="CC203" i="5"/>
  <c r="CE203" i="5"/>
  <c r="CE275" i="5"/>
  <c r="CC275" i="5"/>
  <c r="CE292" i="5"/>
  <c r="CC292" i="5"/>
  <c r="CC209" i="5"/>
  <c r="CE209" i="5"/>
  <c r="CC315" i="5"/>
  <c r="CE315" i="5"/>
  <c r="CC118" i="5"/>
  <c r="CE118" i="5"/>
  <c r="CC277" i="5"/>
  <c r="CC123" i="5"/>
  <c r="CE123" i="5"/>
  <c r="CA68" i="5"/>
  <c r="CE68" i="5" s="1"/>
  <c r="CA263" i="5"/>
  <c r="CC263" i="5" s="1"/>
  <c r="CA122" i="5"/>
  <c r="CE122" i="5" s="1"/>
  <c r="CB272" i="5"/>
  <c r="CD272" i="5" s="1"/>
  <c r="CA97" i="5"/>
  <c r="CC97" i="5" s="1"/>
  <c r="CA10" i="5"/>
  <c r="CC10" i="5" s="1"/>
  <c r="CB81" i="5"/>
  <c r="CD81" i="5" s="1"/>
  <c r="CA69" i="5"/>
  <c r="CC69" i="5" s="1"/>
  <c r="CA17" i="5"/>
  <c r="CC17" i="5" s="1"/>
  <c r="CA207" i="5"/>
  <c r="CC207" i="5" s="1"/>
  <c r="CA250" i="5"/>
  <c r="CC250" i="5" s="1"/>
  <c r="CA325" i="5"/>
  <c r="CC325" i="5" s="1"/>
  <c r="CB328" i="5"/>
  <c r="CD328" i="5" s="1"/>
  <c r="CB136" i="5"/>
  <c r="CD136" i="5" s="1"/>
  <c r="CA306" i="5"/>
  <c r="CC306" i="5" s="1"/>
  <c r="CB213" i="5"/>
  <c r="CD213" i="5" s="1"/>
  <c r="CB108" i="5"/>
  <c r="CD108" i="5" s="1"/>
  <c r="CB214" i="5"/>
  <c r="CD214" i="5" s="1"/>
  <c r="CB225" i="5"/>
  <c r="CD225" i="5" s="1"/>
  <c r="CA212" i="5"/>
  <c r="CA114" i="5"/>
  <c r="BZ295" i="5"/>
  <c r="CB295" i="5" s="1"/>
  <c r="CD295" i="5" s="1"/>
  <c r="CA295" i="5"/>
  <c r="CB105" i="5"/>
  <c r="CD105" i="5" s="1"/>
  <c r="CB310" i="5"/>
  <c r="CD310" i="5" s="1"/>
  <c r="CB171" i="5"/>
  <c r="CD171" i="5" s="1"/>
  <c r="BZ106" i="5"/>
  <c r="CB106" i="5" s="1"/>
  <c r="CD106" i="5" s="1"/>
  <c r="CA106" i="5"/>
  <c r="CA19" i="5"/>
  <c r="CB180" i="5"/>
  <c r="CD180" i="5" s="1"/>
  <c r="CB253" i="5"/>
  <c r="CD253" i="5" s="1"/>
  <c r="CA184" i="5"/>
  <c r="BZ184" i="5"/>
  <c r="CB184" i="5" s="1"/>
  <c r="CD184" i="5" s="1"/>
  <c r="AB347" i="5"/>
  <c r="CA187" i="5"/>
  <c r="CE187" i="5" s="1"/>
  <c r="CA81" i="5"/>
  <c r="CC81" i="5" s="1"/>
  <c r="CB240" i="5"/>
  <c r="CD240" i="5" s="1"/>
  <c r="CB17" i="5"/>
  <c r="CD17" i="5" s="1"/>
  <c r="CA214" i="5"/>
  <c r="CB156" i="5"/>
  <c r="CD156" i="5" s="1"/>
  <c r="CB212" i="5"/>
  <c r="CD212" i="5" s="1"/>
  <c r="CA316" i="5"/>
  <c r="CA169" i="5"/>
  <c r="CA310" i="5"/>
  <c r="CA117" i="5"/>
  <c r="CB19" i="5"/>
  <c r="CD19" i="5" s="1"/>
  <c r="BZ279" i="5"/>
  <c r="CB279" i="5" s="1"/>
  <c r="CD279" i="5" s="1"/>
  <c r="CA279" i="5"/>
  <c r="CA180" i="5"/>
  <c r="CA13" i="5"/>
  <c r="BZ13" i="5"/>
  <c r="CB13" i="5" s="1"/>
  <c r="CD13" i="5" s="1"/>
  <c r="CE157" i="5"/>
  <c r="CC157" i="5"/>
  <c r="CC142" i="5"/>
  <c r="CE142" i="5"/>
  <c r="CA107" i="5"/>
  <c r="BZ107" i="5"/>
  <c r="CB107" i="5" s="1"/>
  <c r="CD107" i="5" s="1"/>
  <c r="CA199" i="5"/>
  <c r="CC199" i="5" s="1"/>
  <c r="W357" i="5"/>
  <c r="CA153" i="5"/>
  <c r="BZ153" i="5"/>
  <c r="BZ345" i="5" s="1"/>
  <c r="CB52" i="5"/>
  <c r="CD52" i="5" s="1"/>
  <c r="CC281" i="5"/>
  <c r="CE281" i="5"/>
  <c r="CA127" i="5"/>
  <c r="CC170" i="5"/>
  <c r="CE170" i="5"/>
  <c r="CB117" i="5"/>
  <c r="CD117" i="5" s="1"/>
  <c r="H336" i="5"/>
  <c r="BZ359" i="5"/>
  <c r="CB162" i="5"/>
  <c r="CD162" i="5" s="1"/>
  <c r="CA178" i="5"/>
  <c r="CC178" i="5" s="1"/>
  <c r="CB199" i="5"/>
  <c r="CD199" i="5" s="1"/>
  <c r="CA223" i="5"/>
  <c r="CA293" i="5"/>
  <c r="CE293" i="5" s="1"/>
  <c r="CA83" i="5"/>
  <c r="CC83" i="5" s="1"/>
  <c r="CA236" i="5"/>
  <c r="CA52" i="5"/>
  <c r="CB109" i="5"/>
  <c r="CD109" i="5" s="1"/>
  <c r="BZ111" i="5"/>
  <c r="BZ351" i="5" s="1"/>
  <c r="CA111" i="5"/>
  <c r="CA270" i="5"/>
  <c r="BZ270" i="5"/>
  <c r="CB270" i="5" s="1"/>
  <c r="CD270" i="5" s="1"/>
  <c r="Y347" i="5"/>
  <c r="CB251" i="5"/>
  <c r="CD251" i="5" s="1"/>
  <c r="CA104" i="5"/>
  <c r="CC104" i="5" s="1"/>
  <c r="CA11" i="5"/>
  <c r="CC11" i="5" s="1"/>
  <c r="CA224" i="5"/>
  <c r="CE224" i="5" s="1"/>
  <c r="CB246" i="5"/>
  <c r="CD246" i="5" s="1"/>
  <c r="CA162" i="5"/>
  <c r="CC162" i="5" s="1"/>
  <c r="CA233" i="5"/>
  <c r="CC233" i="5" s="1"/>
  <c r="CA134" i="5"/>
  <c r="CE134" i="5" s="1"/>
  <c r="CB244" i="5"/>
  <c r="CD244" i="5" s="1"/>
  <c r="CA242" i="5"/>
  <c r="CE242" i="5" s="1"/>
  <c r="CA218" i="5"/>
  <c r="CC218" i="5" s="1"/>
  <c r="CB67" i="5"/>
  <c r="CD67" i="5" s="1"/>
  <c r="CA290" i="5"/>
  <c r="CE290" i="5" s="1"/>
  <c r="CA262" i="5"/>
  <c r="CC262" i="5" s="1"/>
  <c r="CB219" i="5"/>
  <c r="CD219" i="5" s="1"/>
  <c r="CB293" i="5"/>
  <c r="CD293" i="5" s="1"/>
  <c r="CB248" i="5"/>
  <c r="CD248" i="5" s="1"/>
  <c r="CA182" i="5"/>
  <c r="CC182" i="5" s="1"/>
  <c r="BZ89" i="5"/>
  <c r="CB89" i="5" s="1"/>
  <c r="CD89" i="5" s="1"/>
  <c r="CA89" i="5"/>
  <c r="CB236" i="5"/>
  <c r="CD236" i="5" s="1"/>
  <c r="CA109" i="5"/>
  <c r="CA96" i="5"/>
  <c r="BZ96" i="5"/>
  <c r="CB96" i="5" s="1"/>
  <c r="CD96" i="5" s="1"/>
  <c r="CB168" i="5"/>
  <c r="CD168" i="5" s="1"/>
  <c r="CA285" i="5"/>
  <c r="CA101" i="5"/>
  <c r="BZ101" i="5"/>
  <c r="CB101" i="5" s="1"/>
  <c r="CD101" i="5" s="1"/>
  <c r="CA245" i="5"/>
  <c r="CA259" i="5"/>
  <c r="CA216" i="5"/>
  <c r="BZ216" i="5"/>
  <c r="CB216" i="5" s="1"/>
  <c r="CD216" i="5" s="1"/>
  <c r="CB158" i="5"/>
  <c r="CD158" i="5" s="1"/>
  <c r="CB311" i="5"/>
  <c r="CD311" i="5" s="1"/>
  <c r="CB242" i="5"/>
  <c r="CD242" i="5" s="1"/>
  <c r="CA328" i="5"/>
  <c r="CC328" i="5" s="1"/>
  <c r="CB262" i="5"/>
  <c r="CD262" i="5" s="1"/>
  <c r="CA248" i="5"/>
  <c r="CC248" i="5" s="1"/>
  <c r="CA225" i="5"/>
  <c r="CA168" i="5"/>
  <c r="CC33" i="5"/>
  <c r="CE33" i="5"/>
  <c r="CB245" i="5"/>
  <c r="CD245" i="5" s="1"/>
  <c r="CA158" i="5"/>
  <c r="CA253" i="5"/>
  <c r="H345" i="5"/>
  <c r="AA357" i="5"/>
  <c r="W344" i="5"/>
  <c r="AB355" i="5"/>
  <c r="V349" i="5"/>
  <c r="X349" i="5"/>
  <c r="AA335" i="5"/>
  <c r="AC341" i="5"/>
  <c r="Z342" i="5"/>
  <c r="X359" i="5"/>
  <c r="H340" i="5"/>
  <c r="Z338" i="5"/>
  <c r="X341" i="5"/>
  <c r="V337" i="5"/>
  <c r="AB338" i="5"/>
  <c r="AC347" i="5"/>
  <c r="W359" i="5"/>
  <c r="Z355" i="5"/>
  <c r="Y338" i="5"/>
  <c r="X357" i="5"/>
  <c r="AC344" i="5"/>
  <c r="X356" i="5"/>
  <c r="V347" i="5"/>
  <c r="H348" i="5"/>
  <c r="AA337" i="5"/>
  <c r="V344" i="5"/>
  <c r="AC356" i="5"/>
  <c r="CC323" i="5"/>
  <c r="CE323" i="5"/>
  <c r="CC75" i="5"/>
  <c r="CE75" i="5"/>
  <c r="CE299" i="5"/>
  <c r="CC299" i="5"/>
  <c r="CE152" i="5"/>
  <c r="CC152" i="5"/>
  <c r="CE21" i="5"/>
  <c r="CC21" i="5"/>
  <c r="CC287" i="5"/>
  <c r="CE287" i="5"/>
  <c r="CC239" i="5"/>
  <c r="CE239" i="5"/>
  <c r="CC179" i="5"/>
  <c r="CE179" i="5"/>
  <c r="CC205" i="5"/>
  <c r="CE205" i="5"/>
  <c r="CE86" i="5"/>
  <c r="CC86" i="5"/>
  <c r="CC150" i="5"/>
  <c r="CE150" i="5"/>
  <c r="CC119" i="5"/>
  <c r="CE119" i="5"/>
  <c r="CC197" i="5"/>
  <c r="CE197" i="5"/>
  <c r="CC85" i="5"/>
  <c r="CE85" i="5"/>
  <c r="CC217" i="5"/>
  <c r="CE217" i="5"/>
  <c r="CC36" i="5"/>
  <c r="CE36" i="5"/>
  <c r="CC273" i="5"/>
  <c r="CE273" i="5"/>
  <c r="CC144" i="5"/>
  <c r="CE144" i="5"/>
  <c r="CC175" i="5"/>
  <c r="CE175" i="5"/>
  <c r="CC47" i="5"/>
  <c r="CE47" i="5"/>
  <c r="CC215" i="5"/>
  <c r="CE215" i="5"/>
  <c r="CC143" i="5"/>
  <c r="CE143" i="5"/>
  <c r="CC174" i="5"/>
  <c r="CE174" i="5"/>
  <c r="CE254" i="5"/>
  <c r="CC254" i="5"/>
  <c r="CB48" i="5"/>
  <c r="CD48" i="5" s="1"/>
  <c r="BX334" i="5"/>
  <c r="CC138" i="5"/>
  <c r="CE138" i="5"/>
  <c r="CE40" i="5"/>
  <c r="CC40" i="5"/>
  <c r="CC167" i="5"/>
  <c r="CE167" i="5"/>
  <c r="CC99" i="5"/>
  <c r="CC102" i="5"/>
  <c r="CE102" i="5"/>
  <c r="CB11" i="5"/>
  <c r="BX344" i="5"/>
  <c r="CC46" i="5"/>
  <c r="CE46" i="5"/>
  <c r="V350" i="5"/>
  <c r="CC192" i="5"/>
  <c r="CE192" i="5"/>
  <c r="BX355" i="5"/>
  <c r="CA186" i="5"/>
  <c r="BZ186" i="5"/>
  <c r="CB186" i="5" s="1"/>
  <c r="CD186" i="5" s="1"/>
  <c r="V333" i="5"/>
  <c r="AB333" i="5"/>
  <c r="CB198" i="5"/>
  <c r="CD198" i="5" s="1"/>
  <c r="BX357" i="5"/>
  <c r="CA305" i="5"/>
  <c r="BZ305" i="5"/>
  <c r="CB305" i="5" s="1"/>
  <c r="CD305" i="5" s="1"/>
  <c r="CA7" i="5"/>
  <c r="BZ7" i="5"/>
  <c r="CA322" i="5"/>
  <c r="BZ322" i="5"/>
  <c r="CB322" i="5" s="1"/>
  <c r="CD322" i="5" s="1"/>
  <c r="CC289" i="5"/>
  <c r="CE289" i="5"/>
  <c r="BX335" i="5"/>
  <c r="CB68" i="5"/>
  <c r="CD68" i="5" s="1"/>
  <c r="BZ269" i="5"/>
  <c r="CA269" i="5"/>
  <c r="CB93" i="5"/>
  <c r="CD93" i="5" s="1"/>
  <c r="CB288" i="5"/>
  <c r="CD288" i="5" s="1"/>
  <c r="W347" i="5"/>
  <c r="CA103" i="5"/>
  <c r="AA351" i="5"/>
  <c r="CB99" i="5"/>
  <c r="BX356" i="5"/>
  <c r="CB97" i="5"/>
  <c r="CD97" i="5" s="1"/>
  <c r="AA350" i="5"/>
  <c r="BZ344" i="5"/>
  <c r="CB58" i="5"/>
  <c r="BX352" i="5"/>
  <c r="CB69" i="5"/>
  <c r="BX350" i="5"/>
  <c r="H339" i="5"/>
  <c r="CA189" i="5"/>
  <c r="CA141" i="5"/>
  <c r="CA330" i="5"/>
  <c r="CA65" i="5"/>
  <c r="AB349" i="5"/>
  <c r="BZ284" i="5"/>
  <c r="CB284" i="5" s="1"/>
  <c r="CD284" i="5" s="1"/>
  <c r="CA284" i="5"/>
  <c r="CB91" i="5"/>
  <c r="CD91" i="5" s="1"/>
  <c r="AA349" i="5"/>
  <c r="V358" i="5"/>
  <c r="AB358" i="5"/>
  <c r="AC340" i="5"/>
  <c r="W345" i="5"/>
  <c r="X337" i="5"/>
  <c r="X350" i="5"/>
  <c r="AA342" i="5"/>
  <c r="W337" i="5"/>
  <c r="Z349" i="5"/>
  <c r="X343" i="5"/>
  <c r="Y357" i="5"/>
  <c r="AB342" i="5"/>
  <c r="W333" i="5"/>
  <c r="H353" i="5"/>
  <c r="Z343" i="5"/>
  <c r="CA18" i="5"/>
  <c r="CA146" i="5"/>
  <c r="CA95" i="5"/>
  <c r="CA67" i="5"/>
  <c r="W339" i="5"/>
  <c r="CB192" i="5"/>
  <c r="BZ357" i="5"/>
  <c r="CB42" i="5"/>
  <c r="CA319" i="5"/>
  <c r="CA202" i="5"/>
  <c r="CA20" i="5"/>
  <c r="CB223" i="5"/>
  <c r="CD223" i="5" s="1"/>
  <c r="CA137" i="5"/>
  <c r="CA213" i="5"/>
  <c r="CA79" i="5"/>
  <c r="CB83" i="5"/>
  <c r="CD83" i="5" s="1"/>
  <c r="CA307" i="5"/>
  <c r="CC324" i="5"/>
  <c r="CE324" i="5"/>
  <c r="CC16" i="5"/>
  <c r="CE16" i="5"/>
  <c r="CA55" i="5"/>
  <c r="BZ55" i="5"/>
  <c r="CE204" i="5"/>
  <c r="CC204" i="5"/>
  <c r="AA345" i="5"/>
  <c r="CE42" i="5"/>
  <c r="CC42" i="5"/>
  <c r="CA327" i="5"/>
  <c r="CA93" i="5"/>
  <c r="BZ283" i="5"/>
  <c r="CB283" i="5" s="1"/>
  <c r="CD283" i="5" s="1"/>
  <c r="CA283" i="5"/>
  <c r="CA56" i="5"/>
  <c r="AC335" i="5"/>
  <c r="CA48" i="5"/>
  <c r="CB104" i="5"/>
  <c r="AA358" i="5"/>
  <c r="CA220" i="5"/>
  <c r="CA313" i="5"/>
  <c r="CA125" i="5"/>
  <c r="BZ125" i="5"/>
  <c r="CB125" i="5" s="1"/>
  <c r="CD125" i="5" s="1"/>
  <c r="CA129" i="5"/>
  <c r="CB189" i="5"/>
  <c r="CD189" i="5" s="1"/>
  <c r="CB141" i="5"/>
  <c r="CD141" i="5" s="1"/>
  <c r="CA194" i="5"/>
  <c r="CB330" i="5"/>
  <c r="CD330" i="5" s="1"/>
  <c r="CA240" i="5"/>
  <c r="CA53" i="5"/>
  <c r="CA176" i="5"/>
  <c r="CA61" i="5"/>
  <c r="CA183" i="5"/>
  <c r="BX341" i="5"/>
  <c r="AB335" i="5"/>
  <c r="AA340" i="5"/>
  <c r="W336" i="5"/>
  <c r="F357" i="5"/>
  <c r="AB357" i="5"/>
  <c r="Y349" i="5"/>
  <c r="AA333" i="5"/>
  <c r="AA359" i="5"/>
  <c r="AA347" i="5"/>
  <c r="Y342" i="5"/>
  <c r="AB350" i="5"/>
  <c r="CB18" i="5"/>
  <c r="BX340" i="5"/>
  <c r="CB95" i="5"/>
  <c r="BX354" i="5"/>
  <c r="CB241" i="5"/>
  <c r="CD241" i="5" s="1"/>
  <c r="AB340" i="5"/>
  <c r="V346" i="5"/>
  <c r="CC232" i="5"/>
  <c r="CE232" i="5"/>
  <c r="CA92" i="5"/>
  <c r="CE70" i="5"/>
  <c r="CC70" i="5"/>
  <c r="CA196" i="5"/>
  <c r="CB137" i="5"/>
  <c r="CD137" i="5" s="1"/>
  <c r="CB79" i="5"/>
  <c r="CD79" i="5" s="1"/>
  <c r="CC298" i="5"/>
  <c r="CE298" i="5"/>
  <c r="CC131" i="5"/>
  <c r="CE131" i="5"/>
  <c r="CA71" i="5"/>
  <c r="BZ71" i="5"/>
  <c r="CB71" i="5" s="1"/>
  <c r="CD71" i="5" s="1"/>
  <c r="X333" i="5"/>
  <c r="F351" i="5"/>
  <c r="W351" i="5"/>
  <c r="X351" i="5"/>
  <c r="H356" i="5"/>
  <c r="AB345" i="5"/>
  <c r="W342" i="5"/>
  <c r="Z353" i="5"/>
  <c r="AC337" i="5"/>
  <c r="AB359" i="5"/>
  <c r="AA336" i="5"/>
  <c r="X346" i="5"/>
  <c r="CA241" i="5"/>
  <c r="V336" i="5"/>
  <c r="Z345" i="5"/>
  <c r="CA177" i="5"/>
  <c r="Z356" i="5"/>
  <c r="CB92" i="5"/>
  <c r="CD92" i="5" s="1"/>
  <c r="CB20" i="5"/>
  <c r="CD20" i="5" s="1"/>
  <c r="BZ350" i="5"/>
  <c r="CB196" i="5"/>
  <c r="CD196" i="5" s="1"/>
  <c r="AC334" i="5"/>
  <c r="CB76" i="5"/>
  <c r="CA139" i="5"/>
  <c r="BZ303" i="5"/>
  <c r="CB303" i="5" s="1"/>
  <c r="CD303" i="5" s="1"/>
  <c r="CA303" i="5"/>
  <c r="CB56" i="5"/>
  <c r="CD56" i="5" s="1"/>
  <c r="CE185" i="5"/>
  <c r="CC185" i="5"/>
  <c r="CB53" i="5"/>
  <c r="CD53" i="5" s="1"/>
  <c r="Y336" i="5"/>
  <c r="Y345" i="5"/>
  <c r="V335" i="5"/>
  <c r="AC350" i="5"/>
  <c r="Z351" i="5"/>
  <c r="CC329" i="5"/>
  <c r="Z346" i="5"/>
  <c r="AB337" i="5"/>
  <c r="W350" i="5"/>
  <c r="Z344" i="5"/>
  <c r="BZ347" i="5"/>
  <c r="CE191" i="5"/>
  <c r="CC191" i="5"/>
  <c r="CC235" i="5"/>
  <c r="CE235" i="5"/>
  <c r="Y346" i="5"/>
  <c r="CC31" i="5"/>
  <c r="CE31" i="5"/>
  <c r="BX343" i="5"/>
  <c r="CB313" i="5"/>
  <c r="CD313" i="5" s="1"/>
  <c r="CE151" i="5"/>
  <c r="CC151" i="5"/>
  <c r="AC345" i="5"/>
  <c r="CB61" i="5"/>
  <c r="BX336" i="5"/>
  <c r="Y333" i="5"/>
  <c r="BX337" i="5"/>
  <c r="CA311" i="5"/>
  <c r="CA62" i="5"/>
  <c r="CA198" i="5"/>
  <c r="CB122" i="5"/>
  <c r="CD122" i="5" s="1"/>
  <c r="CA25" i="5"/>
  <c r="CA272" i="5"/>
  <c r="CB314" i="5"/>
  <c r="CD314" i="5" s="1"/>
  <c r="H351" i="5"/>
  <c r="CA87" i="5"/>
  <c r="CB224" i="5"/>
  <c r="CD224" i="5" s="1"/>
  <c r="CA201" i="5"/>
  <c r="CA260" i="5"/>
  <c r="CA115" i="5"/>
  <c r="W346" i="5"/>
  <c r="CB301" i="5"/>
  <c r="CD301" i="5" s="1"/>
  <c r="CB233" i="5"/>
  <c r="CD233" i="5" s="1"/>
  <c r="CB178" i="5"/>
  <c r="CD178" i="5" s="1"/>
  <c r="CA30" i="5"/>
  <c r="CB134" i="5"/>
  <c r="CD134" i="5" s="1"/>
  <c r="BZ193" i="5"/>
  <c r="CB193" i="5" s="1"/>
  <c r="CD193" i="5" s="1"/>
  <c r="CA193" i="5"/>
  <c r="CB78" i="5"/>
  <c r="CD78" i="5" s="1"/>
  <c r="Z347" i="5"/>
  <c r="Y337" i="5"/>
  <c r="H342" i="5"/>
  <c r="W349" i="5"/>
  <c r="Y350" i="5"/>
  <c r="AB336" i="5"/>
  <c r="W334" i="5"/>
  <c r="X334" i="5"/>
  <c r="H343" i="5"/>
  <c r="CB218" i="5"/>
  <c r="CD218" i="5" s="1"/>
  <c r="CA326" i="5"/>
  <c r="CB325" i="5"/>
  <c r="CD325" i="5" s="1"/>
  <c r="CA278" i="5"/>
  <c r="CA164" i="5"/>
  <c r="AA339" i="5"/>
  <c r="V334" i="5"/>
  <c r="Z357" i="5"/>
  <c r="CB290" i="5"/>
  <c r="CD290" i="5" s="1"/>
  <c r="CB208" i="5"/>
  <c r="CD208" i="5" s="1"/>
  <c r="CB166" i="5"/>
  <c r="CD166" i="5" s="1"/>
  <c r="AA352" i="5"/>
  <c r="CA172" i="5"/>
  <c r="CA98" i="5"/>
  <c r="CA173" i="5"/>
  <c r="CB182" i="5"/>
  <c r="CD182" i="5" s="1"/>
  <c r="W355" i="5"/>
  <c r="CB6" i="5"/>
  <c r="BX358" i="5"/>
  <c r="CA251" i="5"/>
  <c r="CB25" i="5"/>
  <c r="BX346" i="5"/>
  <c r="BZ12" i="5"/>
  <c r="CA12" i="5"/>
  <c r="CA314" i="5"/>
  <c r="CB87" i="5"/>
  <c r="CD87" i="5" s="1"/>
  <c r="CB201" i="5"/>
  <c r="CD201" i="5" s="1"/>
  <c r="CA113" i="5"/>
  <c r="CB115" i="5"/>
  <c r="CD115" i="5" s="1"/>
  <c r="Y335" i="5"/>
  <c r="CA252" i="5"/>
  <c r="CA280" i="5"/>
  <c r="CB30" i="5"/>
  <c r="BX347" i="5"/>
  <c r="CA247" i="5"/>
  <c r="BX353" i="5"/>
  <c r="CA35" i="5"/>
  <c r="BZ35" i="5"/>
  <c r="H333" i="5"/>
  <c r="F342" i="5"/>
  <c r="AC342" i="5"/>
  <c r="F338" i="5"/>
  <c r="X338" i="5"/>
  <c r="Y351" i="5"/>
  <c r="W358" i="5"/>
  <c r="H352" i="5"/>
  <c r="H334" i="5"/>
  <c r="F353" i="5"/>
  <c r="AB353" i="5"/>
  <c r="Y358" i="5"/>
  <c r="X345" i="5"/>
  <c r="V357" i="5"/>
  <c r="V339" i="5"/>
  <c r="X355" i="5"/>
  <c r="H355" i="5"/>
  <c r="CC255" i="5"/>
  <c r="CE255" i="5"/>
  <c r="CA230" i="5"/>
  <c r="CA45" i="5"/>
  <c r="X336" i="5"/>
  <c r="CC82" i="5"/>
  <c r="CE82" i="5"/>
  <c r="AC346" i="5"/>
  <c r="CA312" i="5"/>
  <c r="Y343" i="5"/>
  <c r="CA234" i="5"/>
  <c r="BZ120" i="5"/>
  <c r="CA120" i="5"/>
  <c r="W341" i="5"/>
  <c r="CA304" i="5"/>
  <c r="BZ304" i="5"/>
  <c r="CB129" i="5"/>
  <c r="CD129" i="5" s="1"/>
  <c r="BX339" i="5"/>
  <c r="CB62" i="5"/>
  <c r="CD62" i="5" s="1"/>
  <c r="CB274" i="5"/>
  <c r="CD274" i="5" s="1"/>
  <c r="CA288" i="5"/>
  <c r="Z333" i="5"/>
  <c r="CC222" i="5"/>
  <c r="CE222" i="5"/>
  <c r="BX333" i="5"/>
  <c r="CB10" i="5"/>
  <c r="BX351" i="5"/>
  <c r="CA58" i="5"/>
  <c r="CB113" i="5"/>
  <c r="CD113" i="5" s="1"/>
  <c r="CB252" i="5"/>
  <c r="CD252" i="5" s="1"/>
  <c r="CB65" i="5"/>
  <c r="BX338" i="5"/>
  <c r="CB90" i="5"/>
  <c r="BX342" i="5"/>
  <c r="CB247" i="5"/>
  <c r="CD247" i="5" s="1"/>
  <c r="BZ231" i="5"/>
  <c r="CA231" i="5"/>
  <c r="CA244" i="5"/>
  <c r="CA227" i="5"/>
  <c r="CA91" i="5"/>
  <c r="V340" i="5"/>
  <c r="Z359" i="5"/>
  <c r="AC359" i="5"/>
  <c r="F359" i="5"/>
  <c r="Z358" i="5"/>
  <c r="W340" i="5"/>
  <c r="H359" i="5"/>
  <c r="X347" i="5"/>
  <c r="Y359" i="5"/>
  <c r="AC357" i="5"/>
  <c r="Z350" i="5"/>
  <c r="V342" i="5"/>
  <c r="Z334" i="5"/>
  <c r="V345" i="5"/>
  <c r="H338" i="5"/>
  <c r="W335" i="5"/>
  <c r="AC355" i="5"/>
  <c r="CB230" i="5"/>
  <c r="CD230" i="5" s="1"/>
  <c r="CB278" i="5"/>
  <c r="CD278" i="5" s="1"/>
  <c r="CA63" i="5"/>
  <c r="AB341" i="5"/>
  <c r="CB312" i="5"/>
  <c r="CD312" i="5" s="1"/>
  <c r="CC264" i="5"/>
  <c r="CE264" i="5"/>
  <c r="CA219" i="5"/>
  <c r="CB172" i="5"/>
  <c r="CD172" i="5" s="1"/>
  <c r="CB98" i="5"/>
  <c r="CD98" i="5" s="1"/>
  <c r="BX349" i="5"/>
  <c r="BX345" i="5"/>
  <c r="AB351" i="5"/>
  <c r="J1" i="5"/>
  <c r="N21" i="2"/>
  <c r="CD45" i="5"/>
  <c r="CC28" i="5" l="1"/>
  <c r="CE159" i="5"/>
  <c r="CC9" i="5"/>
  <c r="CC136" i="5"/>
  <c r="CE166" i="5"/>
  <c r="H4" i="1"/>
  <c r="H5" i="1"/>
  <c r="CE268" i="5"/>
  <c r="CE248" i="5"/>
  <c r="CE90" i="5"/>
  <c r="CC6" i="5"/>
  <c r="CE301" i="5"/>
  <c r="CE69" i="5"/>
  <c r="CE133" i="5"/>
  <c r="CE262" i="5"/>
  <c r="CC294" i="5"/>
  <c r="CC208" i="5"/>
  <c r="CE325" i="5"/>
  <c r="CC242" i="5"/>
  <c r="CC130" i="5"/>
  <c r="CE81" i="5"/>
  <c r="CE249" i="5"/>
  <c r="CE207" i="5"/>
  <c r="CE124" i="5"/>
  <c r="CC105" i="5"/>
  <c r="CC286" i="5"/>
  <c r="CE286" i="5"/>
  <c r="CC187" i="5"/>
  <c r="CE250" i="5"/>
  <c r="CE44" i="5"/>
  <c r="CC122" i="5"/>
  <c r="CE233" i="5"/>
  <c r="BZ356" i="5"/>
  <c r="CE309" i="5"/>
  <c r="BZ334" i="5"/>
  <c r="CE83" i="5"/>
  <c r="CE11" i="5"/>
  <c r="CE263" i="5"/>
  <c r="CE199" i="5"/>
  <c r="CE162" i="5"/>
  <c r="CE163" i="5"/>
  <c r="CC8" i="5"/>
  <c r="CB111" i="5"/>
  <c r="CD111" i="5" s="1"/>
  <c r="CE17" i="5"/>
  <c r="CE178" i="5"/>
  <c r="CE282" i="5"/>
  <c r="CE182" i="5"/>
  <c r="BZ354" i="5"/>
  <c r="CC112" i="5"/>
  <c r="CE302" i="5"/>
  <c r="CC64" i="5"/>
  <c r="CC134" i="5"/>
  <c r="CC68" i="5"/>
  <c r="CE104" i="5"/>
  <c r="CC171" i="5"/>
  <c r="CC108" i="5"/>
  <c r="CC37" i="5"/>
  <c r="CE37" i="5"/>
  <c r="CC76" i="5"/>
  <c r="BZ338" i="5"/>
  <c r="CC88" i="5"/>
  <c r="BZ342" i="5"/>
  <c r="CC156" i="5"/>
  <c r="CC246" i="5"/>
  <c r="CE258" i="5"/>
  <c r="CE78" i="5"/>
  <c r="CC274" i="5"/>
  <c r="BZ336" i="5"/>
  <c r="CC43" i="5"/>
  <c r="CE43" i="5"/>
  <c r="CE50" i="5"/>
  <c r="CC50" i="5"/>
  <c r="CE169" i="5"/>
  <c r="CC169" i="5"/>
  <c r="CE306" i="5"/>
  <c r="BZ339" i="5"/>
  <c r="CC245" i="5"/>
  <c r="CE245" i="5"/>
  <c r="CE109" i="5"/>
  <c r="CC109" i="5"/>
  <c r="CC270" i="5"/>
  <c r="CE270" i="5"/>
  <c r="CC310" i="5"/>
  <c r="CE310" i="5"/>
  <c r="CE184" i="5"/>
  <c r="CC184" i="5"/>
  <c r="BZ340" i="5"/>
  <c r="CC168" i="5"/>
  <c r="CE168" i="5"/>
  <c r="BZ355" i="5"/>
  <c r="CC158" i="5"/>
  <c r="CE158" i="5"/>
  <c r="CE285" i="5"/>
  <c r="CC285" i="5"/>
  <c r="CC111" i="5"/>
  <c r="CE111" i="5"/>
  <c r="CC127" i="5"/>
  <c r="CE127" i="5"/>
  <c r="CC180" i="5"/>
  <c r="CE180" i="5"/>
  <c r="CC19" i="5"/>
  <c r="CE19" i="5"/>
  <c r="CC114" i="5"/>
  <c r="CE114" i="5"/>
  <c r="CD339" i="5"/>
  <c r="CC293" i="5"/>
  <c r="BZ353" i="5"/>
  <c r="CE328" i="5"/>
  <c r="CE10" i="5"/>
  <c r="CC153" i="5"/>
  <c r="CE153" i="5"/>
  <c r="CC279" i="5"/>
  <c r="CE279" i="5"/>
  <c r="CE106" i="5"/>
  <c r="CC106" i="5"/>
  <c r="CE212" i="5"/>
  <c r="CC212" i="5"/>
  <c r="CE295" i="5"/>
  <c r="CC295" i="5"/>
  <c r="CC224" i="5"/>
  <c r="CC290" i="5"/>
  <c r="CE218" i="5"/>
  <c r="CE97" i="5"/>
  <c r="CC225" i="5"/>
  <c r="CE225" i="5"/>
  <c r="CC216" i="5"/>
  <c r="CE216" i="5"/>
  <c r="CC52" i="5"/>
  <c r="CE52" i="5"/>
  <c r="CC253" i="5"/>
  <c r="CE253" i="5"/>
  <c r="CC101" i="5"/>
  <c r="CE101" i="5"/>
  <c r="CC89" i="5"/>
  <c r="CE89" i="5"/>
  <c r="CC223" i="5"/>
  <c r="CE223" i="5"/>
  <c r="CE107" i="5"/>
  <c r="CC107" i="5"/>
  <c r="CC13" i="5"/>
  <c r="CE13" i="5"/>
  <c r="CC316" i="5"/>
  <c r="CE316" i="5"/>
  <c r="BZ352" i="5"/>
  <c r="CE259" i="5"/>
  <c r="CC259" i="5"/>
  <c r="CC96" i="5"/>
  <c r="CE96" i="5"/>
  <c r="CE236" i="5"/>
  <c r="CC236" i="5"/>
  <c r="CB153" i="5"/>
  <c r="CC117" i="5"/>
  <c r="CE117" i="5"/>
  <c r="CE214" i="5"/>
  <c r="CC214" i="5"/>
  <c r="CD6" i="5"/>
  <c r="CD358" i="5" s="1"/>
  <c r="CB358" i="5"/>
  <c r="CE358" i="5" s="1"/>
  <c r="CC326" i="5"/>
  <c r="CE326" i="5"/>
  <c r="CC30" i="5"/>
  <c r="CE30" i="5"/>
  <c r="CC93" i="5"/>
  <c r="CE93" i="5"/>
  <c r="CD192" i="5"/>
  <c r="CD357" i="5" s="1"/>
  <c r="CB357" i="5"/>
  <c r="CE357" i="5" s="1"/>
  <c r="CD99" i="5"/>
  <c r="CC322" i="5"/>
  <c r="CE322" i="5"/>
  <c r="CC140" i="5"/>
  <c r="CE288" i="5"/>
  <c r="CC288" i="5"/>
  <c r="CC234" i="5"/>
  <c r="CE234" i="5"/>
  <c r="CB347" i="5"/>
  <c r="CE347" i="5" s="1"/>
  <c r="CD30" i="5"/>
  <c r="CD347" i="5" s="1"/>
  <c r="CC314" i="5"/>
  <c r="CE314" i="5"/>
  <c r="CC87" i="5"/>
  <c r="CE87" i="5"/>
  <c r="CE241" i="5"/>
  <c r="CC241" i="5"/>
  <c r="CC194" i="5"/>
  <c r="CE194" i="5"/>
  <c r="CC327" i="5"/>
  <c r="CE327" i="5"/>
  <c r="CB55" i="5"/>
  <c r="CD55" i="5" s="1"/>
  <c r="BZ346" i="5"/>
  <c r="CC137" i="5"/>
  <c r="CE137" i="5"/>
  <c r="CD69" i="5"/>
  <c r="CD350" i="5" s="1"/>
  <c r="CB350" i="5"/>
  <c r="CE350" i="5" s="1"/>
  <c r="CB334" i="5"/>
  <c r="CE334" i="5" s="1"/>
  <c r="CC91" i="5"/>
  <c r="CE91" i="5"/>
  <c r="CE45" i="5"/>
  <c r="CC45" i="5"/>
  <c r="CE71" i="5"/>
  <c r="CC71" i="5"/>
  <c r="CD104" i="5"/>
  <c r="CD337" i="5" s="1"/>
  <c r="CB337" i="5"/>
  <c r="CE337" i="5" s="1"/>
  <c r="CC55" i="5"/>
  <c r="CE55" i="5"/>
  <c r="CC67" i="5"/>
  <c r="CE67" i="5"/>
  <c r="CE65" i="5"/>
  <c r="CC65" i="5"/>
  <c r="CC103" i="5"/>
  <c r="CE103" i="5"/>
  <c r="BZ333" i="5"/>
  <c r="CB12" i="5"/>
  <c r="CE303" i="5"/>
  <c r="CC303" i="5"/>
  <c r="CC183" i="5"/>
  <c r="CE183" i="5"/>
  <c r="CB35" i="5"/>
  <c r="BZ348" i="5"/>
  <c r="CE311" i="5"/>
  <c r="CC311" i="5"/>
  <c r="CC186" i="5"/>
  <c r="CE186" i="5"/>
  <c r="CC304" i="5"/>
  <c r="CE304" i="5"/>
  <c r="CC35" i="5"/>
  <c r="CE35" i="5"/>
  <c r="CC280" i="5"/>
  <c r="CE280" i="5"/>
  <c r="CE12" i="5"/>
  <c r="CC12" i="5"/>
  <c r="CD11" i="5"/>
  <c r="CD344" i="5" s="1"/>
  <c r="CB344" i="5"/>
  <c r="CE344" i="5" s="1"/>
  <c r="CD355" i="5"/>
  <c r="CE227" i="5"/>
  <c r="CC227" i="5"/>
  <c r="CD90" i="5"/>
  <c r="CD342" i="5" s="1"/>
  <c r="CB342" i="5"/>
  <c r="CE342" i="5" s="1"/>
  <c r="CC230" i="5"/>
  <c r="CE230" i="5"/>
  <c r="CB231" i="5"/>
  <c r="CE252" i="5"/>
  <c r="CC252" i="5"/>
  <c r="CE173" i="5"/>
  <c r="CC173" i="5"/>
  <c r="CC48" i="5"/>
  <c r="CE48" i="5"/>
  <c r="CE20" i="5"/>
  <c r="CC20" i="5"/>
  <c r="CC95" i="5"/>
  <c r="CE95" i="5"/>
  <c r="CC330" i="5"/>
  <c r="CE330" i="5"/>
  <c r="CB352" i="5"/>
  <c r="CE352" i="5" s="1"/>
  <c r="CD58" i="5"/>
  <c r="CD352" i="5" s="1"/>
  <c r="CB355" i="5"/>
  <c r="CE355" i="5" s="1"/>
  <c r="CE219" i="5"/>
  <c r="CC219" i="5"/>
  <c r="CC244" i="5"/>
  <c r="CE244" i="5"/>
  <c r="CD10" i="5"/>
  <c r="CD351" i="5" s="1"/>
  <c r="CC98" i="5"/>
  <c r="CE98" i="5"/>
  <c r="CE193" i="5"/>
  <c r="CC193" i="5"/>
  <c r="CC272" i="5"/>
  <c r="CE272" i="5"/>
  <c r="CD95" i="5"/>
  <c r="CD354" i="5" s="1"/>
  <c r="CB354" i="5"/>
  <c r="CE354" i="5" s="1"/>
  <c r="CC61" i="5"/>
  <c r="CE61" i="5"/>
  <c r="CE129" i="5"/>
  <c r="CC129" i="5"/>
  <c r="CC202" i="5"/>
  <c r="CE202" i="5"/>
  <c r="CC146" i="5"/>
  <c r="CE146" i="5"/>
  <c r="CB7" i="5"/>
  <c r="BZ335" i="5"/>
  <c r="CE58" i="5"/>
  <c r="CC58" i="5"/>
  <c r="BZ349" i="5"/>
  <c r="CB120" i="5"/>
  <c r="CE62" i="5"/>
  <c r="CC62" i="5"/>
  <c r="CC220" i="5"/>
  <c r="CE220" i="5"/>
  <c r="CC213" i="5"/>
  <c r="CE213" i="5"/>
  <c r="CD334" i="5"/>
  <c r="CB304" i="5"/>
  <c r="CD304" i="5" s="1"/>
  <c r="CD65" i="5"/>
  <c r="CD338" i="5" s="1"/>
  <c r="CB338" i="5"/>
  <c r="CE338" i="5" s="1"/>
  <c r="BX361" i="5"/>
  <c r="CC312" i="5"/>
  <c r="CE312" i="5"/>
  <c r="CC247" i="5"/>
  <c r="CE247" i="5"/>
  <c r="CD25" i="5"/>
  <c r="CE172" i="5"/>
  <c r="CC172" i="5"/>
  <c r="CE164" i="5"/>
  <c r="CC164" i="5"/>
  <c r="CE115" i="5"/>
  <c r="CC115" i="5"/>
  <c r="CC25" i="5"/>
  <c r="CE25" i="5"/>
  <c r="CC139" i="5"/>
  <c r="CE139" i="5"/>
  <c r="CC92" i="5"/>
  <c r="CE92" i="5"/>
  <c r="CC176" i="5"/>
  <c r="CE176" i="5"/>
  <c r="CC56" i="5"/>
  <c r="CE56" i="5"/>
  <c r="CE307" i="5"/>
  <c r="CC307" i="5"/>
  <c r="CC319" i="5"/>
  <c r="CE319" i="5"/>
  <c r="CC18" i="5"/>
  <c r="CE18" i="5"/>
  <c r="CC141" i="5"/>
  <c r="CE141" i="5"/>
  <c r="CE7" i="5"/>
  <c r="CC7" i="5"/>
  <c r="CE63" i="5"/>
  <c r="CC63" i="5"/>
  <c r="CC113" i="5"/>
  <c r="CE113" i="5"/>
  <c r="CC251" i="5"/>
  <c r="CE251" i="5"/>
  <c r="CE278" i="5"/>
  <c r="CC278" i="5"/>
  <c r="CC260" i="5"/>
  <c r="CE260" i="5"/>
  <c r="BZ343" i="5"/>
  <c r="CC177" i="5"/>
  <c r="CE177" i="5"/>
  <c r="CD18" i="5"/>
  <c r="CD340" i="5" s="1"/>
  <c r="CB340" i="5"/>
  <c r="CE340" i="5" s="1"/>
  <c r="CC53" i="5"/>
  <c r="CE53" i="5"/>
  <c r="CC125" i="5"/>
  <c r="CE125" i="5"/>
  <c r="CE283" i="5"/>
  <c r="CC283" i="5"/>
  <c r="CB359" i="5"/>
  <c r="CE359" i="5" s="1"/>
  <c r="CD42" i="5"/>
  <c r="CD359" i="5" s="1"/>
  <c r="CC189" i="5"/>
  <c r="CE189" i="5"/>
  <c r="CC269" i="5"/>
  <c r="CE269" i="5"/>
  <c r="CB339" i="5"/>
  <c r="CE339" i="5" s="1"/>
  <c r="CC231" i="5"/>
  <c r="CE231" i="5"/>
  <c r="CE120" i="5"/>
  <c r="CC120" i="5"/>
  <c r="CC201" i="5"/>
  <c r="CE201" i="5"/>
  <c r="CC198" i="5"/>
  <c r="CE198" i="5"/>
  <c r="CD61" i="5"/>
  <c r="CD336" i="5" s="1"/>
  <c r="CB336" i="5"/>
  <c r="CE336" i="5" s="1"/>
  <c r="CD76" i="5"/>
  <c r="CD343" i="5" s="1"/>
  <c r="CB343" i="5"/>
  <c r="CE343" i="5" s="1"/>
  <c r="CC196" i="5"/>
  <c r="CE196" i="5"/>
  <c r="CC240" i="5"/>
  <c r="CE240" i="5"/>
  <c r="CC313" i="5"/>
  <c r="CE313" i="5"/>
  <c r="CE79" i="5"/>
  <c r="CC79" i="5"/>
  <c r="CE284" i="5"/>
  <c r="CC284" i="5"/>
  <c r="BZ341" i="5"/>
  <c r="CB269" i="5"/>
  <c r="CC305" i="5"/>
  <c r="CE305" i="5"/>
  <c r="K1" i="5"/>
  <c r="L1" i="5" s="1"/>
  <c r="M1" i="5" s="1"/>
  <c r="N1" i="5" s="1"/>
  <c r="O1" i="5" s="1"/>
  <c r="P1" i="5" s="1"/>
  <c r="Q1" i="5" s="1"/>
  <c r="R1" i="5" s="1"/>
  <c r="S1" i="5" s="1"/>
  <c r="T1" i="5" s="1"/>
  <c r="U1" i="5" s="1"/>
  <c r="V1" i="5" s="1"/>
  <c r="H6" i="3"/>
  <c r="L24" i="2"/>
  <c r="L25" i="2" s="1"/>
  <c r="H6" i="2"/>
  <c r="CD346" i="5" l="1"/>
  <c r="CB351" i="5"/>
  <c r="CE351" i="5" s="1"/>
  <c r="CD356" i="5"/>
  <c r="CB346" i="5"/>
  <c r="CE346" i="5" s="1"/>
  <c r="CD153" i="5"/>
  <c r="CD345" i="5" s="1"/>
  <c r="CB345" i="5"/>
  <c r="CE345" i="5" s="1"/>
  <c r="CD231" i="5"/>
  <c r="CD353" i="5" s="1"/>
  <c r="CB353" i="5"/>
  <c r="CE353" i="5" s="1"/>
  <c r="CB356" i="5"/>
  <c r="CE356" i="5" s="1"/>
  <c r="CB335" i="5"/>
  <c r="CE335" i="5" s="1"/>
  <c r="CD7" i="5"/>
  <c r="CD335" i="5" s="1"/>
  <c r="CB348" i="5"/>
  <c r="CE348" i="5" s="1"/>
  <c r="CD35" i="5"/>
  <c r="CD348" i="5" s="1"/>
  <c r="CD120" i="5"/>
  <c r="CD349" i="5" s="1"/>
  <c r="CB349" i="5"/>
  <c r="CE349" i="5" s="1"/>
  <c r="BZ361" i="5"/>
  <c r="CD269" i="5"/>
  <c r="CD341" i="5" s="1"/>
  <c r="CB341" i="5"/>
  <c r="CE341" i="5" s="1"/>
  <c r="CD12" i="5"/>
  <c r="CD333" i="5" s="1"/>
  <c r="CB333" i="5"/>
  <c r="D10" i="3"/>
  <c r="W1" i="5"/>
  <c r="CB361" i="5" l="1"/>
  <c r="CE333" i="5"/>
  <c r="CE5" i="5" s="1"/>
  <c r="X1" i="5"/>
  <c r="E10" i="3"/>
  <c r="Y1" i="5" l="1"/>
  <c r="F10" i="3"/>
  <c r="Z1" i="5" l="1"/>
  <c r="G10" i="3"/>
  <c r="AA1" i="5" l="1"/>
  <c r="H10" i="3"/>
  <c r="AB1" i="5" l="1"/>
  <c r="I10" i="3"/>
  <c r="AC1" i="5" l="1"/>
  <c r="J10" i="3"/>
  <c r="AD1" i="5" l="1"/>
  <c r="AE1" i="5" s="1"/>
  <c r="K10" i="3"/>
  <c r="AF1" i="5" l="1"/>
  <c r="D14" i="2"/>
  <c r="AG1" i="5" l="1"/>
  <c r="E14" i="2"/>
  <c r="AH1" i="5" l="1"/>
  <c r="F14" i="2"/>
  <c r="AI1" i="5" l="1"/>
  <c r="G14" i="2"/>
  <c r="AJ1" i="5" l="1"/>
  <c r="H14" i="2"/>
  <c r="AK1" i="5" l="1"/>
  <c r="I14" i="2"/>
  <c r="AL1" i="5" l="1"/>
  <c r="J14" i="2"/>
  <c r="AM1" i="5" l="1"/>
  <c r="K14" i="2"/>
  <c r="AN1" i="5" l="1"/>
  <c r="AO1" i="5" s="1"/>
  <c r="AP1" i="5" s="1"/>
  <c r="AQ1" i="5" s="1"/>
  <c r="AR1" i="5" s="1"/>
  <c r="AS1" i="5" s="1"/>
  <c r="AT1" i="5" s="1"/>
  <c r="AU1" i="5" s="1"/>
  <c r="AV1" i="5" s="1"/>
  <c r="AW1" i="5" s="1"/>
  <c r="AX1" i="5" s="1"/>
  <c r="L14" i="2"/>
  <c r="D15" i="2" l="1"/>
  <c r="D17" i="2" s="1"/>
  <c r="AY1" i="5"/>
  <c r="AZ1" i="5" s="1"/>
  <c r="E15" i="2"/>
  <c r="E17" i="2" s="1"/>
  <c r="BA1" i="5" l="1"/>
  <c r="F15" i="2"/>
  <c r="F17" i="2" s="1"/>
  <c r="BB1" i="5" l="1"/>
  <c r="G15" i="2"/>
  <c r="G17" i="2" s="1"/>
  <c r="BC1" i="5" l="1"/>
  <c r="H15" i="2"/>
  <c r="H17" i="2" s="1"/>
  <c r="BD1" i="5" l="1"/>
  <c r="I15" i="2"/>
  <c r="I17" i="2" s="1"/>
  <c r="BE1" i="5" l="1"/>
  <c r="J15" i="2"/>
  <c r="J17" i="2" s="1"/>
  <c r="BF1" i="5" l="1"/>
  <c r="BG1" i="5" s="1"/>
  <c r="BH1" i="5" s="1"/>
  <c r="K15" i="2"/>
  <c r="K17" i="2" l="1"/>
  <c r="L17" i="2" s="1"/>
  <c r="L15" i="2"/>
  <c r="N23" i="3"/>
  <c r="N11" i="3" s="1"/>
  <c r="N20" i="3" s="1"/>
  <c r="BI1" i="5"/>
  <c r="P23" i="3" l="1"/>
  <c r="P11" i="3" s="1"/>
  <c r="P20" i="3" s="1"/>
  <c r="BJ1" i="5"/>
  <c r="BK1" i="5" s="1"/>
  <c r="L18" i="2"/>
  <c r="L21" i="2" s="1"/>
  <c r="L22" i="2" s="1"/>
  <c r="BL1" i="5" l="1"/>
  <c r="BM1" i="5" s="1"/>
  <c r="CH13" i="5"/>
  <c r="I12" i="1" l="1"/>
  <c r="F12" i="1"/>
  <c r="F20" i="1" s="1"/>
  <c r="G12" i="1"/>
  <c r="E12" i="1"/>
  <c r="E22" i="1" s="1"/>
  <c r="H12" i="1"/>
  <c r="J12" i="1"/>
  <c r="BN1" i="5"/>
  <c r="BO1" i="5" s="1"/>
  <c r="CH14" i="5"/>
  <c r="G13" i="1" l="1"/>
  <c r="G20" i="1" s="1"/>
  <c r="H13" i="1"/>
  <c r="I13" i="1"/>
  <c r="J13" i="1"/>
  <c r="F13" i="1"/>
  <c r="E23" i="1" s="1"/>
  <c r="BP1" i="5"/>
  <c r="BQ1" i="5" s="1"/>
  <c r="CH15" i="5"/>
  <c r="J14" i="1" l="1"/>
  <c r="K14" i="1"/>
  <c r="I14" i="1"/>
  <c r="G14" i="1"/>
  <c r="E24" i="1" s="1"/>
  <c r="H14" i="1"/>
  <c r="H20" i="1" s="1"/>
  <c r="BR1" i="5"/>
  <c r="BS1" i="5" s="1"/>
  <c r="CH16" i="5"/>
  <c r="J15" i="1" l="1"/>
  <c r="K15" i="1"/>
  <c r="I15" i="1"/>
  <c r="I20" i="1" s="1"/>
  <c r="H15" i="1"/>
  <c r="E25" i="1" s="1"/>
  <c r="BT1" i="5"/>
  <c r="CH17" i="5"/>
  <c r="L16" i="1" l="1"/>
  <c r="I16" i="1"/>
  <c r="E26" i="1" s="1"/>
  <c r="K16" i="1"/>
  <c r="J16" i="1"/>
  <c r="J20" i="1" s="1"/>
  <c r="BX1" i="5"/>
  <c r="BY1" i="5" s="1"/>
  <c r="BZ1" i="5" s="1"/>
  <c r="CA1" i="5" s="1"/>
  <c r="CI18" i="5"/>
  <c r="K17" i="1" s="1"/>
  <c r="M17" i="1" l="1"/>
  <c r="L17" i="1"/>
  <c r="E27" i="1"/>
  <c r="K20" i="1"/>
  <c r="CB1" i="5"/>
  <c r="N11" i="2"/>
  <c r="CC1" i="5" l="1"/>
  <c r="N15" i="2" s="1"/>
  <c r="P11" i="2"/>
  <c r="CD1" i="5" l="1"/>
  <c r="CE1" i="5" l="1"/>
  <c r="CH19" i="5" s="1"/>
  <c r="P15" i="2"/>
  <c r="K18" i="1" l="1"/>
  <c r="N18" i="1"/>
  <c r="M18" i="1"/>
  <c r="L18" i="1"/>
  <c r="E28" i="1" l="1"/>
  <c r="E29" i="1" s="1"/>
  <c r="K19" i="1"/>
</calcChain>
</file>

<file path=xl/comments1.xml><?xml version="1.0" encoding="utf-8"?>
<comments xmlns="http://schemas.openxmlformats.org/spreadsheetml/2006/main">
  <authors>
    <author>Author</author>
  </authors>
  <commentList>
    <comment ref="B4" authorId="0">
      <text>
        <r>
          <rPr>
            <b/>
            <sz val="18"/>
            <color indexed="81"/>
            <rFont val="Calibri"/>
            <family val="2"/>
          </rPr>
          <t>Please select your local authority or county (counties at bottom of list).</t>
        </r>
      </text>
    </comment>
  </commentList>
</comments>
</file>

<file path=xl/comments2.xml><?xml version="1.0" encoding="utf-8"?>
<comments xmlns="http://schemas.openxmlformats.org/spreadsheetml/2006/main">
  <authors>
    <author>Author</author>
  </authors>
  <commentList>
    <comment ref="B4" authorId="0">
      <text>
        <r>
          <rPr>
            <b/>
            <sz val="18"/>
            <color indexed="81"/>
            <rFont val="Calibri"/>
            <family val="2"/>
          </rPr>
          <t>Please select your local authority or county (counties at bottom of list).</t>
        </r>
        <r>
          <rPr>
            <sz val="18"/>
            <color indexed="81"/>
            <rFont val="Calibri"/>
            <family val="2"/>
          </rPr>
          <t xml:space="preserve">
</t>
        </r>
      </text>
    </comment>
  </commentList>
</comments>
</file>

<file path=xl/comments3.xml><?xml version="1.0" encoding="utf-8"?>
<comments xmlns="http://schemas.openxmlformats.org/spreadsheetml/2006/main">
  <authors>
    <author>Author</author>
  </authors>
  <commentList>
    <comment ref="B4" authorId="0">
      <text>
        <r>
          <rPr>
            <b/>
            <sz val="18"/>
            <color indexed="81"/>
            <rFont val="Calibri"/>
            <family val="2"/>
          </rPr>
          <t>Please select your local authority.</t>
        </r>
      </text>
    </comment>
    <comment ref="B20" authorId="0">
      <text>
        <r>
          <rPr>
            <b/>
            <sz val="18"/>
            <color indexed="81"/>
            <rFont val="Calibri"/>
            <family val="2"/>
          </rPr>
          <t>If there is an increase in the number of long-term empty homes, please enter this as a negative number.</t>
        </r>
      </text>
    </comment>
    <comment ref="B22" authorId="0">
      <text>
        <r>
          <rPr>
            <b/>
            <sz val="18"/>
            <color indexed="81"/>
            <rFont val="Calibri"/>
            <family val="2"/>
          </rPr>
          <t>Please include traveller pitches separately - do not include figures in net additions or gross affordable units above.</t>
        </r>
      </text>
    </comment>
  </commentList>
</comments>
</file>

<file path=xl/sharedStrings.xml><?xml version="1.0" encoding="utf-8"?>
<sst xmlns="http://schemas.openxmlformats.org/spreadsheetml/2006/main" count="2603" uniqueCount="901">
  <si>
    <t>New Homes Bonus Calculator</t>
  </si>
  <si>
    <t>Reform:</t>
  </si>
  <si>
    <t>No</t>
  </si>
  <si>
    <t>Ashfield</t>
  </si>
  <si>
    <t>Return to homepage</t>
  </si>
  <si>
    <t>Year of Payment</t>
  </si>
  <si>
    <t xml:space="preserve"> </t>
  </si>
  <si>
    <t>Cumulative Payments</t>
  </si>
  <si>
    <t>2011 / 12</t>
  </si>
  <si>
    <t>2012 / 13</t>
  </si>
  <si>
    <t>2013 / 14</t>
  </si>
  <si>
    <t>2014 / 15</t>
  </si>
  <si>
    <t>2015 / 16</t>
  </si>
  <si>
    <t>2016 / 17</t>
  </si>
  <si>
    <t>2017 / 18</t>
  </si>
  <si>
    <t>2018 / 19</t>
  </si>
  <si>
    <t>2019 / 20</t>
  </si>
  <si>
    <t>2020 / 21</t>
  </si>
  <si>
    <t>Payments for Year 1</t>
  </si>
  <si>
    <t>Payments for Year 2</t>
  </si>
  <si>
    <t>Year of Delivery</t>
  </si>
  <si>
    <t>Payments for Year 3</t>
  </si>
  <si>
    <t>Payments for Year 4</t>
  </si>
  <si>
    <t>Payments for Year 5</t>
  </si>
  <si>
    <t>Payments for Year 6</t>
  </si>
  <si>
    <t>Year 1</t>
  </si>
  <si>
    <t>Year 2</t>
  </si>
  <si>
    <t>Year 3</t>
  </si>
  <si>
    <t>Year 4</t>
  </si>
  <si>
    <t>Year 5</t>
  </si>
  <si>
    <t>Year 6</t>
  </si>
  <si>
    <t>Total Payment:</t>
  </si>
  <si>
    <t>Data sources:</t>
  </si>
  <si>
    <t>LA</t>
  </si>
  <si>
    <t>Select your local authority or county</t>
  </si>
  <si>
    <t>Adur</t>
  </si>
  <si>
    <t>Allerdale</t>
  </si>
  <si>
    <t>Amber Valley</t>
  </si>
  <si>
    <t>Arun</t>
  </si>
  <si>
    <t>Ashford</t>
  </si>
  <si>
    <t>Aylesbury Vale</t>
  </si>
  <si>
    <t>Babergh</t>
  </si>
  <si>
    <t>Barking &amp; Dagenham</t>
  </si>
  <si>
    <t>Barnet</t>
  </si>
  <si>
    <t>Barnsley</t>
  </si>
  <si>
    <t>Barrow-in-Furness</t>
  </si>
  <si>
    <t>Basildon</t>
  </si>
  <si>
    <t>Basingstoke &amp; Deane</t>
  </si>
  <si>
    <t>Bassetlaw</t>
  </si>
  <si>
    <t>Bath &amp; North East Somerset</t>
  </si>
  <si>
    <t>Bedford UA</t>
  </si>
  <si>
    <t>Bexley</t>
  </si>
  <si>
    <t>Birmingham</t>
  </si>
  <si>
    <t>Blaby</t>
  </si>
  <si>
    <t>Blackburn with Darwen UA</t>
  </si>
  <si>
    <t>Blackpool UA</t>
  </si>
  <si>
    <t>Bolsover</t>
  </si>
  <si>
    <t>Bolton</t>
  </si>
  <si>
    <t>Boston</t>
  </si>
  <si>
    <t>Bournemouth UA</t>
  </si>
  <si>
    <t>Bracknell Forest UA</t>
  </si>
  <si>
    <t>Bradford</t>
  </si>
  <si>
    <t>Braintree</t>
  </si>
  <si>
    <t>Breckland</t>
  </si>
  <si>
    <t>Brent</t>
  </si>
  <si>
    <t>Brentwood</t>
  </si>
  <si>
    <t>Brighton and Hove</t>
  </si>
  <si>
    <t>Bristol</t>
  </si>
  <si>
    <t>Broadland</t>
  </si>
  <si>
    <t>Bromley</t>
  </si>
  <si>
    <t>Bromsgrove</t>
  </si>
  <si>
    <t>Broxbourne</t>
  </si>
  <si>
    <t>Broxtowe</t>
  </si>
  <si>
    <t>Burnley</t>
  </si>
  <si>
    <t>Bury</t>
  </si>
  <si>
    <t>Calderdale</t>
  </si>
  <si>
    <t>Cambridge</t>
  </si>
  <si>
    <t>Camden</t>
  </si>
  <si>
    <t>Cannock Chase</t>
  </si>
  <si>
    <t>Canterbury</t>
  </si>
  <si>
    <t>Carlisle</t>
  </si>
  <si>
    <t>Castle Point</t>
  </si>
  <si>
    <t>Central Bedfordshire UA</t>
  </si>
  <si>
    <t>Charnwood</t>
  </si>
  <si>
    <t>Chelmsford</t>
  </si>
  <si>
    <t>Cheltenham</t>
  </si>
  <si>
    <t>Cherwell</t>
  </si>
  <si>
    <t>Cheshire East UA</t>
  </si>
  <si>
    <t>Cheshire West and Chester UA</t>
  </si>
  <si>
    <t>Chesterfield</t>
  </si>
  <si>
    <t>Chichester</t>
  </si>
  <si>
    <t>Chiltern</t>
  </si>
  <si>
    <t>Chorley</t>
  </si>
  <si>
    <t>Christchurch</t>
  </si>
  <si>
    <t>City of London</t>
  </si>
  <si>
    <t>Colchester</t>
  </si>
  <si>
    <t>Copeland</t>
  </si>
  <si>
    <t>Corby</t>
  </si>
  <si>
    <t>Cornwall UA</t>
  </si>
  <si>
    <t>Cotswold</t>
  </si>
  <si>
    <t>Coventry</t>
  </si>
  <si>
    <t>Craven</t>
  </si>
  <si>
    <t>Crawley</t>
  </si>
  <si>
    <t>Croydon</t>
  </si>
  <si>
    <t>Dacorum</t>
  </si>
  <si>
    <t>Darlington UA</t>
  </si>
  <si>
    <t>Dartford</t>
  </si>
  <si>
    <t>Daventry</t>
  </si>
  <si>
    <t>Derby UA</t>
  </si>
  <si>
    <t>Derbyshire Dales</t>
  </si>
  <si>
    <t>Doncaster</t>
  </si>
  <si>
    <t>Dover</t>
  </si>
  <si>
    <t>Dudley</t>
  </si>
  <si>
    <t>Durham UA</t>
  </si>
  <si>
    <t>Ealing</t>
  </si>
  <si>
    <t>East Cambridgeshire</t>
  </si>
  <si>
    <t>East Devon</t>
  </si>
  <si>
    <t>East Dorset</t>
  </si>
  <si>
    <t>East Hampshire</t>
  </si>
  <si>
    <t>East Hertfordshire</t>
  </si>
  <si>
    <t>East Lindsey</t>
  </si>
  <si>
    <t>East Northamptonshire</t>
  </si>
  <si>
    <t>East Riding of Yorkshire UA</t>
  </si>
  <si>
    <t>East Staffordshire</t>
  </si>
  <si>
    <t>Eastbourne</t>
  </si>
  <si>
    <t>Eastleigh</t>
  </si>
  <si>
    <t>Eden</t>
  </si>
  <si>
    <t>Elmbridge</t>
  </si>
  <si>
    <t>Enfield</t>
  </si>
  <si>
    <t>Epping Forest</t>
  </si>
  <si>
    <t>Epsom and Ewell</t>
  </si>
  <si>
    <t>Erewash</t>
  </si>
  <si>
    <t>Exeter</t>
  </si>
  <si>
    <t>Fareham</t>
  </si>
  <si>
    <t>Fenland</t>
  </si>
  <si>
    <t>Forest Heath</t>
  </si>
  <si>
    <t>Forest of Dean</t>
  </si>
  <si>
    <t>Fylde</t>
  </si>
  <si>
    <t>Gateshead</t>
  </si>
  <si>
    <t>Gedling</t>
  </si>
  <si>
    <t>Gloucester</t>
  </si>
  <si>
    <t>Gosport</t>
  </si>
  <si>
    <t>Gravesham</t>
  </si>
  <si>
    <t>Great Yarmouth</t>
  </si>
  <si>
    <t>Greenwich</t>
  </si>
  <si>
    <t>Guildford</t>
  </si>
  <si>
    <t>Hackney</t>
  </si>
  <si>
    <t>Halton UA</t>
  </si>
  <si>
    <t>Hambleton</t>
  </si>
  <si>
    <t>Hammersmith &amp; Fulham</t>
  </si>
  <si>
    <t>Harborough</t>
  </si>
  <si>
    <t>Haringey</t>
  </si>
  <si>
    <t>Harlow</t>
  </si>
  <si>
    <t>Harrogate</t>
  </si>
  <si>
    <t>Harrow</t>
  </si>
  <si>
    <t>Hart</t>
  </si>
  <si>
    <t>Hartlepool UA</t>
  </si>
  <si>
    <t>Hastings</t>
  </si>
  <si>
    <t>Havant</t>
  </si>
  <si>
    <t>Havering</t>
  </si>
  <si>
    <t>Herefordshire UA</t>
  </si>
  <si>
    <t>Hertsmere</t>
  </si>
  <si>
    <t>High Peak</t>
  </si>
  <si>
    <t>Hillingdon</t>
  </si>
  <si>
    <t>Hinckley &amp; Bosworth</t>
  </si>
  <si>
    <t>Horsham</t>
  </si>
  <si>
    <t>Hounslow</t>
  </si>
  <si>
    <t>Huntingdonshire</t>
  </si>
  <si>
    <t>Hyndburn</t>
  </si>
  <si>
    <t>Ipswich</t>
  </si>
  <si>
    <t>Isle of Wight UA</t>
  </si>
  <si>
    <t>Isles of Scilly</t>
  </si>
  <si>
    <t>Islington</t>
  </si>
  <si>
    <t>Kensington &amp; Chelsea</t>
  </si>
  <si>
    <t>Kettering</t>
  </si>
  <si>
    <t>Kings Lynn &amp; West Norfolk</t>
  </si>
  <si>
    <t>Kingston upon Hull UA</t>
  </si>
  <si>
    <t>Kingston upon Thames</t>
  </si>
  <si>
    <t>Kirklees</t>
  </si>
  <si>
    <t>Knowsley</t>
  </si>
  <si>
    <t>Lambeth</t>
  </si>
  <si>
    <t>Lancaster</t>
  </si>
  <si>
    <t>Leeds</t>
  </si>
  <si>
    <t>Leicester UA</t>
  </si>
  <si>
    <t>Lewes</t>
  </si>
  <si>
    <t>Lewisham</t>
  </si>
  <si>
    <t>Lichfield</t>
  </si>
  <si>
    <t>Lincoln</t>
  </si>
  <si>
    <t>Liverpool</t>
  </si>
  <si>
    <t>Luton UA</t>
  </si>
  <si>
    <t>Maidstone</t>
  </si>
  <si>
    <t>Maldon</t>
  </si>
  <si>
    <t>Malvern Hills</t>
  </si>
  <si>
    <t>Manchester</t>
  </si>
  <si>
    <t>Mansfield</t>
  </si>
  <si>
    <t>Medway UA</t>
  </si>
  <si>
    <t>Melton</t>
  </si>
  <si>
    <t>Mendip</t>
  </si>
  <si>
    <t>Merton</t>
  </si>
  <si>
    <t>Mid Devon</t>
  </si>
  <si>
    <t>Mid Suffolk</t>
  </si>
  <si>
    <t>Mid Sussex</t>
  </si>
  <si>
    <t>Middlesbrough UA</t>
  </si>
  <si>
    <t>Milton Keynes UA</t>
  </si>
  <si>
    <t>Mole Valley</t>
  </si>
  <si>
    <t>New Forest</t>
  </si>
  <si>
    <t>Newark &amp; Sherwood</t>
  </si>
  <si>
    <t>Newcastle upon Tyne</t>
  </si>
  <si>
    <t>Newcastle-under-Lyme</t>
  </si>
  <si>
    <t>Newham</t>
  </si>
  <si>
    <t>North Devon</t>
  </si>
  <si>
    <t>North Dorset</t>
  </si>
  <si>
    <t>North East Derbyshire</t>
  </si>
  <si>
    <t>North East Lincolnshire UA</t>
  </si>
  <si>
    <t>North Hertfordshire</t>
  </si>
  <si>
    <t>North Kesteven</t>
  </si>
  <si>
    <t>North Lincolnshire UA</t>
  </si>
  <si>
    <t>North Norfolk</t>
  </si>
  <si>
    <t>North Somerset UA</t>
  </si>
  <si>
    <t>North Tyneside</t>
  </si>
  <si>
    <t>North Warwickshire</t>
  </si>
  <si>
    <t>North West Leicestershire</t>
  </si>
  <si>
    <t>Northampton</t>
  </si>
  <si>
    <t>Northumberland UA</t>
  </si>
  <si>
    <t>Norwich</t>
  </si>
  <si>
    <t>Nottingham UA</t>
  </si>
  <si>
    <t>Nuneaton &amp; Bedworth</t>
  </si>
  <si>
    <t>Oadby &amp; Wigston</t>
  </si>
  <si>
    <t>Oldham</t>
  </si>
  <si>
    <t>Oxford</t>
  </si>
  <si>
    <t>Pendle</t>
  </si>
  <si>
    <t>Peterborough UA</t>
  </si>
  <si>
    <t>Plymouth UA</t>
  </si>
  <si>
    <t>Poole UA</t>
  </si>
  <si>
    <t>Portsmouth UA</t>
  </si>
  <si>
    <t>Preston</t>
  </si>
  <si>
    <t>Purbeck</t>
  </si>
  <si>
    <t>Reading UA</t>
  </si>
  <si>
    <t>Redbridge</t>
  </si>
  <si>
    <t>Redcar &amp; Cleveland UA</t>
  </si>
  <si>
    <t>Redditch</t>
  </si>
  <si>
    <t>Reigate &amp; Banstead</t>
  </si>
  <si>
    <t>Ribble Valley</t>
  </si>
  <si>
    <t>Richmond upon Thames</t>
  </si>
  <si>
    <t>Richmondshire</t>
  </si>
  <si>
    <t>Rochdale</t>
  </si>
  <si>
    <t>Rochford</t>
  </si>
  <si>
    <t>Rossendale</t>
  </si>
  <si>
    <t>Rother</t>
  </si>
  <si>
    <t>Rotherham</t>
  </si>
  <si>
    <t>Rugby</t>
  </si>
  <si>
    <t>Runnymede</t>
  </si>
  <si>
    <t>Rushcliffe</t>
  </si>
  <si>
    <t>Rushmoor</t>
  </si>
  <si>
    <t>Rutland UA</t>
  </si>
  <si>
    <t>Ryedale</t>
  </si>
  <si>
    <t>Salford</t>
  </si>
  <si>
    <t>Sandwell</t>
  </si>
  <si>
    <t>Scarborough</t>
  </si>
  <si>
    <t>Sedgemoor</t>
  </si>
  <si>
    <t>Sefton</t>
  </si>
  <si>
    <t>Selby</t>
  </si>
  <si>
    <t>Sevenoaks</t>
  </si>
  <si>
    <t>Sheffield</t>
  </si>
  <si>
    <t>Shepway</t>
  </si>
  <si>
    <t>Shropshire UA</t>
  </si>
  <si>
    <t>Slough UA</t>
  </si>
  <si>
    <t>Solihull</t>
  </si>
  <si>
    <t>South Bucks</t>
  </si>
  <si>
    <t>South Cambridgeshire</t>
  </si>
  <si>
    <t>South Derbyshire</t>
  </si>
  <si>
    <t>South Gloucestershire UA</t>
  </si>
  <si>
    <t>South Hams</t>
  </si>
  <si>
    <t>South Holland</t>
  </si>
  <si>
    <t>South Kesteven</t>
  </si>
  <si>
    <t>South Lakeland</t>
  </si>
  <si>
    <t>South Norfolk</t>
  </si>
  <si>
    <t>South Northamptonshire</t>
  </si>
  <si>
    <t>South Oxfordshire</t>
  </si>
  <si>
    <t>South Ribble</t>
  </si>
  <si>
    <t>South Somerset</t>
  </si>
  <si>
    <t>South Staffordshire</t>
  </si>
  <si>
    <t>South Tyneside</t>
  </si>
  <si>
    <t>Southampton UA</t>
  </si>
  <si>
    <t>Southend-on-Sea UA</t>
  </si>
  <si>
    <t>Southwark</t>
  </si>
  <si>
    <t>Spelthorne</t>
  </si>
  <si>
    <t>St Albans</t>
  </si>
  <si>
    <t>St Edmundsbury</t>
  </si>
  <si>
    <t>St Helens</t>
  </si>
  <si>
    <t>Stafford</t>
  </si>
  <si>
    <t>Staffordshire Moorlands</t>
  </si>
  <si>
    <t>Stevenage</t>
  </si>
  <si>
    <t>Stockport</t>
  </si>
  <si>
    <t>Stockton-on-Tees UA</t>
  </si>
  <si>
    <t>Stoke-on-Trent UA</t>
  </si>
  <si>
    <t>Stratford-on-Avon</t>
  </si>
  <si>
    <t>Stroud</t>
  </si>
  <si>
    <t>Suffolk Coastal</t>
  </si>
  <si>
    <t>Sunderland</t>
  </si>
  <si>
    <t>Surrey Heath</t>
  </si>
  <si>
    <t>Sutton</t>
  </si>
  <si>
    <t>Swale</t>
  </si>
  <si>
    <t>Swindon UA</t>
  </si>
  <si>
    <t>Tameside</t>
  </si>
  <si>
    <t>Tamworth</t>
  </si>
  <si>
    <t>Tandridge</t>
  </si>
  <si>
    <t>Taunton Deane</t>
  </si>
  <si>
    <t>Teignbridge</t>
  </si>
  <si>
    <t>Telford &amp; Wrekin UA</t>
  </si>
  <si>
    <t>Tendring</t>
  </si>
  <si>
    <t>Test Valley</t>
  </si>
  <si>
    <t>Tewkesbury</t>
  </si>
  <si>
    <t>Thanet</t>
  </si>
  <si>
    <t>Three Rivers</t>
  </si>
  <si>
    <t>Thurrock UA</t>
  </si>
  <si>
    <t>Tonbridge &amp; Malling</t>
  </si>
  <si>
    <t>Torbay UA</t>
  </si>
  <si>
    <t>Torridge</t>
  </si>
  <si>
    <t>Tower Hamlets</t>
  </si>
  <si>
    <t>Trafford</t>
  </si>
  <si>
    <t>Tunbridge Wells</t>
  </si>
  <si>
    <t>Uttlesford</t>
  </si>
  <si>
    <t>Vale of White Horse</t>
  </si>
  <si>
    <t>Wakefield</t>
  </si>
  <si>
    <t>Walsall</t>
  </si>
  <si>
    <t>Waltham Forest</t>
  </si>
  <si>
    <t>Wandsworth</t>
  </si>
  <si>
    <t>Warrington UA</t>
  </si>
  <si>
    <t>Warwick</t>
  </si>
  <si>
    <t>Watford</t>
  </si>
  <si>
    <t>Waveney</t>
  </si>
  <si>
    <t>Waverley</t>
  </si>
  <si>
    <t>Wealden</t>
  </si>
  <si>
    <t>Wellingborough</t>
  </si>
  <si>
    <t>Welwyn Hatfield</t>
  </si>
  <si>
    <t>West Berkshire UA</t>
  </si>
  <si>
    <t>West Devon</t>
  </si>
  <si>
    <t>West Dorset</t>
  </si>
  <si>
    <t>West Lancashire</t>
  </si>
  <si>
    <t>West Lindsey</t>
  </si>
  <si>
    <t>West Oxfordshire</t>
  </si>
  <si>
    <t>West Somerset</t>
  </si>
  <si>
    <t>Westminster</t>
  </si>
  <si>
    <t>Weymouth &amp; Portland</t>
  </si>
  <si>
    <t>Wigan</t>
  </si>
  <si>
    <t>Wiltshire UA</t>
  </si>
  <si>
    <t>Winchester</t>
  </si>
  <si>
    <t>Windsor &amp; Maidenhead UA</t>
  </si>
  <si>
    <t>Wirral</t>
  </si>
  <si>
    <t>Woking</t>
  </si>
  <si>
    <t>Wokingham UA</t>
  </si>
  <si>
    <t>Wolverhampton</t>
  </si>
  <si>
    <t>Worcester</t>
  </si>
  <si>
    <t>Worthing</t>
  </si>
  <si>
    <t>Wychavon</t>
  </si>
  <si>
    <t>Wycombe</t>
  </si>
  <si>
    <t>Wyre</t>
  </si>
  <si>
    <t>Wyre Forest</t>
  </si>
  <si>
    <t>York UA</t>
  </si>
  <si>
    <t xml:space="preserve"> ++++++Select your county++++++</t>
  </si>
  <si>
    <t>Buckinghamshire</t>
  </si>
  <si>
    <t>Cambridgeshire</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</si>
  <si>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</si>
  <si>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</si>
  <si>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</si>
  <si>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</si>
  <si>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</si>
  <si>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</si>
  <si>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</si>
  <si>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</si>
  <si>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</si>
  <si>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</si>
  <si>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</si>
  <si>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</si>
  <si>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</si>
  <si>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</si>
  <si>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</si>
  <si>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</si>
  <si>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Nottinghamshire</t>
  </si>
  <si>
    <t>Oxfordshire</t>
  </si>
  <si>
    <t>Somerset</t>
  </si>
  <si>
    <t>Staffordshire</t>
  </si>
  <si>
    <t>Suffolk</t>
  </si>
  <si>
    <t>Surrey</t>
  </si>
  <si>
    <t>Warwickshire</t>
  </si>
  <si>
    <t>West Sussex</t>
  </si>
  <si>
    <t>Worcestershire</t>
  </si>
  <si>
    <t>Current housing stock (Oct 16):</t>
  </si>
  <si>
    <r>
      <t>Net change in stock (Oct 16)</t>
    </r>
    <r>
      <rPr>
        <vertAlign val="superscript"/>
        <sz val="12"/>
        <rFont val="Calibri"/>
        <family val="2"/>
      </rPr>
      <t>1</t>
    </r>
    <r>
      <rPr>
        <sz val="12"/>
        <rFont val="Calibri"/>
        <family val="2"/>
      </rPr>
      <t>:</t>
    </r>
  </si>
  <si>
    <r>
      <t>Affordable housing supply (15/16)</t>
    </r>
    <r>
      <rPr>
        <vertAlign val="superscript"/>
        <sz val="12"/>
        <rFont val="Calibri"/>
        <family val="2"/>
      </rPr>
      <t>3</t>
    </r>
    <r>
      <rPr>
        <sz val="12"/>
        <rFont val="Calibri"/>
        <family val="2"/>
      </rPr>
      <t>:</t>
    </r>
  </si>
  <si>
    <t>Stock of empty homes (Oct 16):</t>
  </si>
  <si>
    <t>Band</t>
  </si>
  <si>
    <t>A</t>
  </si>
  <si>
    <t>B</t>
  </si>
  <si>
    <t>C</t>
  </si>
  <si>
    <t>D</t>
  </si>
  <si>
    <t>E</t>
  </si>
  <si>
    <t>F</t>
  </si>
  <si>
    <t>G</t>
  </si>
  <si>
    <t>H</t>
  </si>
  <si>
    <t>Total</t>
  </si>
  <si>
    <t>Lower tier</t>
  </si>
  <si>
    <t>Upper tier</t>
  </si>
  <si>
    <t>.. by band (and excluding change in long-term empty properties)</t>
  </si>
  <si>
    <r>
      <t>.. Empty homes brought back into use</t>
    </r>
    <r>
      <rPr>
        <vertAlign val="superscript"/>
        <sz val="14"/>
        <rFont val="Calibri"/>
        <family val="2"/>
      </rPr>
      <t>4</t>
    </r>
    <r>
      <rPr>
        <sz val="14"/>
        <rFont val="Calibri"/>
        <family val="2"/>
      </rPr>
      <t>:</t>
    </r>
  </si>
  <si>
    <r>
      <t>5.</t>
    </r>
    <r>
      <rPr>
        <sz val="12"/>
        <rFont val="Calibri"/>
        <family val="2"/>
      </rPr>
      <t xml:space="preserve"> Affordable units comprise of social rent, intermediate rent and low cost home ownership and include both new build and acquisitions as measured by DCLG statistics; and affordable traveller pitches that comprise of pitches owned and managed by local authorities or Registered Social Landlords.</t>
    </r>
  </si>
  <si>
    <r>
      <t>Dwelling stock:</t>
    </r>
    <r>
      <rPr>
        <sz val="14"/>
        <rFont val="Calibri"/>
        <family val="2"/>
      </rPr>
      <t xml:space="preserve">              </t>
    </r>
    <r>
      <rPr>
        <sz val="12"/>
        <rFont val="Calibri"/>
        <family val="2"/>
      </rPr>
      <t xml:space="preserve">(Oct 16) </t>
    </r>
  </si>
  <si>
    <r>
      <t>Council tax:</t>
    </r>
    <r>
      <rPr>
        <sz val="14"/>
        <rFont val="Calibri"/>
        <family val="2"/>
      </rPr>
      <t xml:space="preserve"> </t>
    </r>
    <r>
      <rPr>
        <sz val="12"/>
        <rFont val="Calibri"/>
        <family val="2"/>
      </rPr>
      <t>average national band (2016/17)</t>
    </r>
  </si>
  <si>
    <t>Payment for one year:</t>
  </si>
  <si>
    <t>Affordable Housing premium:</t>
  </si>
  <si>
    <t xml:space="preserve">Total net additions by band, including affordable homes: </t>
  </si>
  <si>
    <r>
      <t>Gross affordable housing units</t>
    </r>
    <r>
      <rPr>
        <b/>
        <vertAlign val="superscript"/>
        <sz val="14"/>
        <rFont val="Calibri"/>
        <family val="2"/>
      </rPr>
      <t>5</t>
    </r>
    <r>
      <rPr>
        <b/>
        <sz val="14"/>
        <rFont val="Calibri"/>
        <family val="2"/>
      </rPr>
      <t xml:space="preserve">
(£350 per year premium):</t>
    </r>
  </si>
  <si>
    <r>
      <t>Empty homes brought back into use</t>
    </r>
    <r>
      <rPr>
        <b/>
        <vertAlign val="superscript"/>
        <sz val="14"/>
        <rFont val="Calibri"/>
        <family val="2"/>
      </rPr>
      <t>4</t>
    </r>
    <r>
      <rPr>
        <b/>
        <sz val="14"/>
        <rFont val="Calibri"/>
        <family val="2"/>
      </rPr>
      <t>:</t>
    </r>
  </si>
  <si>
    <r>
      <t>Traveller pitches</t>
    </r>
    <r>
      <rPr>
        <b/>
        <vertAlign val="superscript"/>
        <sz val="14"/>
        <rFont val="Calibri"/>
        <family val="2"/>
      </rPr>
      <t>6</t>
    </r>
    <r>
      <rPr>
        <b/>
        <sz val="14"/>
        <rFont val="Calibri"/>
        <family val="2"/>
      </rPr>
      <t>:</t>
    </r>
  </si>
  <si>
    <t>Assumptions:</t>
  </si>
  <si>
    <r>
      <t>5.</t>
    </r>
    <r>
      <rPr>
        <sz val="12"/>
        <rFont val="Calibri"/>
        <family val="2"/>
      </rPr>
      <t xml:space="preserve"> Affordable units comprise of social rent, intermediate rent and low cost home ownership and include both new build and acquisitions as measured by DCLG statistics..</t>
    </r>
  </si>
  <si>
    <r>
      <rPr>
        <b/>
        <sz val="12"/>
        <rFont val="Calibri"/>
        <family val="2"/>
      </rPr>
      <t>6.</t>
    </r>
    <r>
      <rPr>
        <sz val="12"/>
        <rFont val="Calibri"/>
        <family val="2"/>
      </rPr>
      <t xml:space="preserve"> For illustration traveller pitches are assumed to be council tax level band A (and subject to the affordable homes premium). </t>
    </r>
  </si>
  <si>
    <t>Select your local authority</t>
  </si>
  <si>
    <t>Line 1 CTB</t>
  </si>
  <si>
    <t>http://www.communities.gov.uk/documents/housing/xls/152924.xls</t>
  </si>
  <si>
    <t>http://www.communities.gov.uk/documents/housing/xls/1406068.xls</t>
  </si>
  <si>
    <t>Payments for Year 1 (April 2011)</t>
  </si>
  <si>
    <t>Payments for Year 2 (April 2012)</t>
  </si>
  <si>
    <t>Payments for Year 3 (April 2013)</t>
  </si>
  <si>
    <t>Payments for Year 4 (April 2014)</t>
  </si>
  <si>
    <t>Payments for Year 5 (April 2015)</t>
  </si>
  <si>
    <t>Payments for Year 6 (April 2016)</t>
  </si>
  <si>
    <t>County</t>
  </si>
  <si>
    <t>Region</t>
  </si>
  <si>
    <t>Local Authority</t>
  </si>
  <si>
    <t>Empty homes brought back into use</t>
  </si>
  <si>
    <t>In-year: lower tier</t>
  </si>
  <si>
    <t>Total Year 1 Payments               (inc. tier split)</t>
  </si>
  <si>
    <t>Total Year 2 Payments               (inc. tier split)</t>
  </si>
  <si>
    <t>Total Year 3 Payments               (inc. tier split)</t>
  </si>
  <si>
    <t>Total Year 4 Payments               (inc. tier split)</t>
  </si>
  <si>
    <t>Total Year 5 Payments               (inc. tier split)</t>
  </si>
  <si>
    <t>Total Year 6 Payments               (inc. tier split)</t>
  </si>
  <si>
    <t>Total Year 7 Payments               (inc. tier split)</t>
  </si>
  <si>
    <t>-</t>
  </si>
  <si>
    <t>E07000223</t>
  </si>
  <si>
    <t>West S</t>
  </si>
  <si>
    <t>R802</t>
  </si>
  <si>
    <t>E07000026</t>
  </si>
  <si>
    <t>Cum</t>
  </si>
  <si>
    <t>R811</t>
  </si>
  <si>
    <t>E07000032</t>
  </si>
  <si>
    <t>Der</t>
  </si>
  <si>
    <t>R805</t>
  </si>
  <si>
    <t>E07000224</t>
  </si>
  <si>
    <t>E07000170</t>
  </si>
  <si>
    <t>Notts</t>
  </si>
  <si>
    <t>E07000105</t>
  </si>
  <si>
    <t>kent</t>
  </si>
  <si>
    <t>E07000004</t>
  </si>
  <si>
    <t>Buck</t>
  </si>
  <si>
    <t>E07000200</t>
  </si>
  <si>
    <t>Suff</t>
  </si>
  <si>
    <t>R804</t>
  </si>
  <si>
    <t>E09000002</t>
  </si>
  <si>
    <t>R803</t>
  </si>
  <si>
    <t>E09000003</t>
  </si>
  <si>
    <t>E08000016</t>
  </si>
  <si>
    <t>R807</t>
  </si>
  <si>
    <t>E07000027</t>
  </si>
  <si>
    <t>E07000066</t>
  </si>
  <si>
    <t>Ess</t>
  </si>
  <si>
    <t>E07000084</t>
  </si>
  <si>
    <t>Ham</t>
  </si>
  <si>
    <t>E07000171</t>
  </si>
  <si>
    <t>E06000022</t>
  </si>
  <si>
    <t>R801</t>
  </si>
  <si>
    <t>E06000055</t>
  </si>
  <si>
    <t>E09000004</t>
  </si>
  <si>
    <t>E08000025</t>
  </si>
  <si>
    <t>R806</t>
  </si>
  <si>
    <t>E07000129</t>
  </si>
  <si>
    <t>Lei</t>
  </si>
  <si>
    <t>E06000008</t>
  </si>
  <si>
    <t>E06000009</t>
  </si>
  <si>
    <t>E07000033</t>
  </si>
  <si>
    <t>E08000001</t>
  </si>
  <si>
    <t>E07000136</t>
  </si>
  <si>
    <t>Linc</t>
  </si>
  <si>
    <t>E06000028</t>
  </si>
  <si>
    <t>E06000036</t>
  </si>
  <si>
    <t>E08000032</t>
  </si>
  <si>
    <t>E07000067</t>
  </si>
  <si>
    <t>E07000143</t>
  </si>
  <si>
    <t>Norf</t>
  </si>
  <si>
    <t>E09000005</t>
  </si>
  <si>
    <t>E07000068</t>
  </si>
  <si>
    <t>E06000043</t>
  </si>
  <si>
    <t>E06000023</t>
  </si>
  <si>
    <t>E07000144</t>
  </si>
  <si>
    <t>E09000006</t>
  </si>
  <si>
    <t>E07000234</t>
  </si>
  <si>
    <t>Worc</t>
  </si>
  <si>
    <t>E07000095</t>
  </si>
  <si>
    <t>Hert</t>
  </si>
  <si>
    <t>E07000172</t>
  </si>
  <si>
    <t>E07000117</t>
  </si>
  <si>
    <t>lanc</t>
  </si>
  <si>
    <t>E08000002</t>
  </si>
  <si>
    <t>E08000033</t>
  </si>
  <si>
    <t>E07000008</t>
  </si>
  <si>
    <t>Camb</t>
  </si>
  <si>
    <t>E09000007</t>
  </si>
  <si>
    <t>E07000192</t>
  </si>
  <si>
    <t>Staff</t>
  </si>
  <si>
    <t>E07000106</t>
  </si>
  <si>
    <t>E07000028</t>
  </si>
  <si>
    <t>E07000069</t>
  </si>
  <si>
    <t>E06000056</t>
  </si>
  <si>
    <t>E07000130</t>
  </si>
  <si>
    <t>E07000070</t>
  </si>
  <si>
    <t>E07000078</t>
  </si>
  <si>
    <t>Glo</t>
  </si>
  <si>
    <t>E07000177</t>
  </si>
  <si>
    <t>Ox</t>
  </si>
  <si>
    <t>E06000049</t>
  </si>
  <si>
    <t>E06000050</t>
  </si>
  <si>
    <t>E07000034</t>
  </si>
  <si>
    <t>E07000225</t>
  </si>
  <si>
    <t>E07000005</t>
  </si>
  <si>
    <t>E07000118</t>
  </si>
  <si>
    <t>E07000048</t>
  </si>
  <si>
    <t>Dor</t>
  </si>
  <si>
    <t>E09000001</t>
  </si>
  <si>
    <t>E07000071</t>
  </si>
  <si>
    <t>E07000029</t>
  </si>
  <si>
    <t>E07000150</t>
  </si>
  <si>
    <t>North</t>
  </si>
  <si>
    <t>E06000052</t>
  </si>
  <si>
    <t>E07000079</t>
  </si>
  <si>
    <t>E08000026</t>
  </si>
  <si>
    <t>E07000163</t>
  </si>
  <si>
    <t>NY</t>
  </si>
  <si>
    <t>E07000226</t>
  </si>
  <si>
    <t>E09000008</t>
  </si>
  <si>
    <t>E07000096</t>
  </si>
  <si>
    <t>E06000005</t>
  </si>
  <si>
    <t>R808</t>
  </si>
  <si>
    <t>E07000107</t>
  </si>
  <si>
    <t>E07000151</t>
  </si>
  <si>
    <t>E06000015</t>
  </si>
  <si>
    <t>E07000035</t>
  </si>
  <si>
    <t>E08000017</t>
  </si>
  <si>
    <t>E07000108</t>
  </si>
  <si>
    <t>E08000027</t>
  </si>
  <si>
    <t>E06000047</t>
  </si>
  <si>
    <t>E09000009</t>
  </si>
  <si>
    <t>E07000009</t>
  </si>
  <si>
    <t>E07000040</t>
  </si>
  <si>
    <t>Dev</t>
  </si>
  <si>
    <t>E07000049</t>
  </si>
  <si>
    <t>E07000085</t>
  </si>
  <si>
    <t>E07000097</t>
  </si>
  <si>
    <t>E07000137</t>
  </si>
  <si>
    <t>E07000152</t>
  </si>
  <si>
    <t>E06000011</t>
  </si>
  <si>
    <t>E07000193</t>
  </si>
  <si>
    <t>E07000061</t>
  </si>
  <si>
    <t>East S</t>
  </si>
  <si>
    <t>E07000086</t>
  </si>
  <si>
    <t>E07000030</t>
  </si>
  <si>
    <t>E07000207</t>
  </si>
  <si>
    <t>Surr</t>
  </si>
  <si>
    <t>E09000010</t>
  </si>
  <si>
    <t>E07000072</t>
  </si>
  <si>
    <t>E07000208</t>
  </si>
  <si>
    <t>E07000036</t>
  </si>
  <si>
    <t>E07000041</t>
  </si>
  <si>
    <t>E07000087</t>
  </si>
  <si>
    <t>E07000010</t>
  </si>
  <si>
    <t>E07000201</t>
  </si>
  <si>
    <t>E07000080</t>
  </si>
  <si>
    <t>E07000119</t>
  </si>
  <si>
    <t>E08000020</t>
  </si>
  <si>
    <t>E07000173</t>
  </si>
  <si>
    <t>E07000081</t>
  </si>
  <si>
    <t>E07000088</t>
  </si>
  <si>
    <t>E07000109</t>
  </si>
  <si>
    <t>E07000145</t>
  </si>
  <si>
    <t>E09000011</t>
  </si>
  <si>
    <t>E07000209</t>
  </si>
  <si>
    <t>E09000012</t>
  </si>
  <si>
    <t>E06000006</t>
  </si>
  <si>
    <t>E07000164</t>
  </si>
  <si>
    <t>E09000013</t>
  </si>
  <si>
    <t>E07000131</t>
  </si>
  <si>
    <t>E09000014</t>
  </si>
  <si>
    <t>E07000073</t>
  </si>
  <si>
    <t>E07000165</t>
  </si>
  <si>
    <t>E09000015</t>
  </si>
  <si>
    <t>E07000089</t>
  </si>
  <si>
    <t>E06000001</t>
  </si>
  <si>
    <t>E07000062</t>
  </si>
  <si>
    <t>E07000090</t>
  </si>
  <si>
    <t>E09000016</t>
  </si>
  <si>
    <t>E06000019</t>
  </si>
  <si>
    <t>E07000098</t>
  </si>
  <si>
    <t>E07000037</t>
  </si>
  <si>
    <t>E09000017</t>
  </si>
  <si>
    <t>E07000132</t>
  </si>
  <si>
    <t>E07000227</t>
  </si>
  <si>
    <t>E09000018</t>
  </si>
  <si>
    <t>E07000011</t>
  </si>
  <si>
    <t>E07000120</t>
  </si>
  <si>
    <t>E07000202</t>
  </si>
  <si>
    <t>E06000046</t>
  </si>
  <si>
    <t>E06000053</t>
  </si>
  <si>
    <t>E09000019</t>
  </si>
  <si>
    <t>E09000020</t>
  </si>
  <si>
    <t>E07000153</t>
  </si>
  <si>
    <t>E07000146</t>
  </si>
  <si>
    <t>E06000010</t>
  </si>
  <si>
    <t>E09000021</t>
  </si>
  <si>
    <t>E08000034</t>
  </si>
  <si>
    <t>E08000011</t>
  </si>
  <si>
    <t>E09000022</t>
  </si>
  <si>
    <t>E07000121</t>
  </si>
  <si>
    <t>E08000035</t>
  </si>
  <si>
    <t>E06000016</t>
  </si>
  <si>
    <t>E07000063</t>
  </si>
  <si>
    <t>E09000023</t>
  </si>
  <si>
    <t>E07000194</t>
  </si>
  <si>
    <t>E07000138</t>
  </si>
  <si>
    <t>E08000012</t>
  </si>
  <si>
    <t>E06000032</t>
  </si>
  <si>
    <t>E07000110</t>
  </si>
  <si>
    <t>E07000074</t>
  </si>
  <si>
    <t>E07000235</t>
  </si>
  <si>
    <t>E08000003</t>
  </si>
  <si>
    <t>E07000174</t>
  </si>
  <si>
    <t>E06000035</t>
  </si>
  <si>
    <t>E07000133</t>
  </si>
  <si>
    <t>E07000187</t>
  </si>
  <si>
    <t>Som</t>
  </si>
  <si>
    <t>E09000024</t>
  </si>
  <si>
    <t>E07000042</t>
  </si>
  <si>
    <t>E07000203</t>
  </si>
  <si>
    <t>E07000228</t>
  </si>
  <si>
    <t>E06000002</t>
  </si>
  <si>
    <t>E06000042</t>
  </si>
  <si>
    <t>E07000210</t>
  </si>
  <si>
    <t>E07000091</t>
  </si>
  <si>
    <t>E07000175</t>
  </si>
  <si>
    <t>E08000021</t>
  </si>
  <si>
    <t>E07000195</t>
  </si>
  <si>
    <t>E09000025</t>
  </si>
  <si>
    <t>E07000043</t>
  </si>
  <si>
    <t>E07000050</t>
  </si>
  <si>
    <t>E07000038</t>
  </si>
  <si>
    <t>E06000012</t>
  </si>
  <si>
    <t>E07000099</t>
  </si>
  <si>
    <t>E07000139</t>
  </si>
  <si>
    <t>E06000013</t>
  </si>
  <si>
    <t>E07000147</t>
  </si>
  <si>
    <t>E06000024</t>
  </si>
  <si>
    <t>E08000022</t>
  </si>
  <si>
    <t>E07000218</t>
  </si>
  <si>
    <t>Warw</t>
  </si>
  <si>
    <t>E07000134</t>
  </si>
  <si>
    <t>E07000154</t>
  </si>
  <si>
    <t>E06000048</t>
  </si>
  <si>
    <t>E07000148</t>
  </si>
  <si>
    <t>E06000018</t>
  </si>
  <si>
    <t>E07000219</t>
  </si>
  <si>
    <t>E07000135</t>
  </si>
  <si>
    <t>E08000004</t>
  </si>
  <si>
    <t>E07000178</t>
  </si>
  <si>
    <t>E07000122</t>
  </si>
  <si>
    <t>E06000031</t>
  </si>
  <si>
    <t>E06000026</t>
  </si>
  <si>
    <t>E06000029</t>
  </si>
  <si>
    <t>E06000044</t>
  </si>
  <si>
    <t>E07000123</t>
  </si>
  <si>
    <t>E07000051</t>
  </si>
  <si>
    <t>E06000038</t>
  </si>
  <si>
    <t>E09000026</t>
  </si>
  <si>
    <t>E06000003</t>
  </si>
  <si>
    <t>E07000236</t>
  </si>
  <si>
    <t>E07000211</t>
  </si>
  <si>
    <t>E07000124</t>
  </si>
  <si>
    <t>E09000027</t>
  </si>
  <si>
    <t>E07000166</t>
  </si>
  <si>
    <t>E08000005</t>
  </si>
  <si>
    <t>E07000075</t>
  </si>
  <si>
    <t>E07000125</t>
  </si>
  <si>
    <t>E07000064</t>
  </si>
  <si>
    <t>E08000018</t>
  </si>
  <si>
    <t>E07000220</t>
  </si>
  <si>
    <t>E07000212</t>
  </si>
  <si>
    <t>E07000176</t>
  </si>
  <si>
    <t>E07000092</t>
  </si>
  <si>
    <t>E06000017</t>
  </si>
  <si>
    <t>E07000167</t>
  </si>
  <si>
    <t>E08000006</t>
  </si>
  <si>
    <t>E08000028</t>
  </si>
  <si>
    <t>E07000168</t>
  </si>
  <si>
    <t>E07000188</t>
  </si>
  <si>
    <t>E08000014</t>
  </si>
  <si>
    <t>E07000169</t>
  </si>
  <si>
    <t>E07000111</t>
  </si>
  <si>
    <t>E08000019</t>
  </si>
  <si>
    <t>E07000112</t>
  </si>
  <si>
    <t>E06000051</t>
  </si>
  <si>
    <t>E06000039</t>
  </si>
  <si>
    <t>E08000029</t>
  </si>
  <si>
    <t>E07000006</t>
  </si>
  <si>
    <t>E07000012</t>
  </si>
  <si>
    <t>E07000039</t>
  </si>
  <si>
    <t>E06000025</t>
  </si>
  <si>
    <t>E07000044</t>
  </si>
  <si>
    <t>E07000140</t>
  </si>
  <si>
    <t>E07000141</t>
  </si>
  <si>
    <t>E07000031</t>
  </si>
  <si>
    <t>E07000149</t>
  </si>
  <si>
    <t>E07000155</t>
  </si>
  <si>
    <t>E07000179</t>
  </si>
  <si>
    <t>E07000126</t>
  </si>
  <si>
    <t>E07000189</t>
  </si>
  <si>
    <t>E07000196</t>
  </si>
  <si>
    <t>E08000023</t>
  </si>
  <si>
    <t>E06000045</t>
  </si>
  <si>
    <t>E06000033</t>
  </si>
  <si>
    <t>E09000028</t>
  </si>
  <si>
    <t>E07000213</t>
  </si>
  <si>
    <t>E07000100</t>
  </si>
  <si>
    <t>E07000204</t>
  </si>
  <si>
    <t>E08000013</t>
  </si>
  <si>
    <t>E07000197</t>
  </si>
  <si>
    <t>E07000198</t>
  </si>
  <si>
    <t>E07000101</t>
  </si>
  <si>
    <t>E08000007</t>
  </si>
  <si>
    <t>E06000004</t>
  </si>
  <si>
    <t>E06000021</t>
  </si>
  <si>
    <t>E07000221</t>
  </si>
  <si>
    <t>E07000082</t>
  </si>
  <si>
    <t>E07000205</t>
  </si>
  <si>
    <t>E08000024</t>
  </si>
  <si>
    <t>E07000214</t>
  </si>
  <si>
    <t>E09000029</t>
  </si>
  <si>
    <t>E07000113</t>
  </si>
  <si>
    <t>E06000030</t>
  </si>
  <si>
    <t>E08000008</t>
  </si>
  <si>
    <t>E07000199</t>
  </si>
  <si>
    <t>E07000215</t>
  </si>
  <si>
    <t>E07000190</t>
  </si>
  <si>
    <t>E07000045</t>
  </si>
  <si>
    <t>E06000020</t>
  </si>
  <si>
    <t>E07000076</t>
  </si>
  <si>
    <t>E07000093</t>
  </si>
  <si>
    <t>E07000083</t>
  </si>
  <si>
    <t>E07000114</t>
  </si>
  <si>
    <t>E07000102</t>
  </si>
  <si>
    <t>E06000034</t>
  </si>
  <si>
    <t>E07000115</t>
  </si>
  <si>
    <t>E06000027</t>
  </si>
  <si>
    <t>E07000046</t>
  </si>
  <si>
    <t>E09000030</t>
  </si>
  <si>
    <t>E08000009</t>
  </si>
  <si>
    <t>E07000116</t>
  </si>
  <si>
    <t>E07000077</t>
  </si>
  <si>
    <t>E07000180</t>
  </si>
  <si>
    <t>E08000036</t>
  </si>
  <si>
    <t>E08000030</t>
  </si>
  <si>
    <t>E09000031</t>
  </si>
  <si>
    <t>E09000032</t>
  </si>
  <si>
    <t>E06000007</t>
  </si>
  <si>
    <t>E07000222</t>
  </si>
  <si>
    <t>E07000103</t>
  </si>
  <si>
    <t>E07000206</t>
  </si>
  <si>
    <t>E07000216</t>
  </si>
  <si>
    <t>E07000065</t>
  </si>
  <si>
    <t>E07000156</t>
  </si>
  <si>
    <t>E07000104</t>
  </si>
  <si>
    <t>E06000037</t>
  </si>
  <si>
    <t>E07000047</t>
  </si>
  <si>
    <t>E07000052</t>
  </si>
  <si>
    <t>E07000127</t>
  </si>
  <si>
    <t>E07000142</t>
  </si>
  <si>
    <t>E07000181</t>
  </si>
  <si>
    <t>E07000191</t>
  </si>
  <si>
    <t>E09000033</t>
  </si>
  <si>
    <t>E07000053</t>
  </si>
  <si>
    <t>E08000010</t>
  </si>
  <si>
    <t>E06000054</t>
  </si>
  <si>
    <t>E07000094</t>
  </si>
  <si>
    <t>E06000040</t>
  </si>
  <si>
    <t>E08000015</t>
  </si>
  <si>
    <t>E07000217</t>
  </si>
  <si>
    <t>E06000041</t>
  </si>
  <si>
    <t>E08000031</t>
  </si>
  <si>
    <t>E07000237</t>
  </si>
  <si>
    <t>E07000229</t>
  </si>
  <si>
    <t>E07000238</t>
  </si>
  <si>
    <t>E07000007</t>
  </si>
  <si>
    <t>E07000128</t>
  </si>
  <si>
    <t>E07000239</t>
  </si>
  <si>
    <t>E06000014</t>
  </si>
  <si>
    <t>Lanc</t>
  </si>
  <si>
    <t>Payments for Year 7 (April 2016)</t>
  </si>
  <si>
    <t>Year 7</t>
  </si>
  <si>
    <t>Line 18</t>
  </si>
  <si>
    <t>Net change in effective stock: difference in stock on CTB form (Oct 16)</t>
  </si>
  <si>
    <t>Current stock (Oct 16)</t>
  </si>
  <si>
    <t>Stock of empty homes (Oct 16)</t>
  </si>
  <si>
    <t>Gross affordable housing supply (15/16) including caravan pitches</t>
  </si>
  <si>
    <t>Dwelling stock Oct 16 - CTB form Line 1</t>
  </si>
  <si>
    <t>Dwelling stock Oct 16 - CTB form Line 1: % of total stock</t>
  </si>
  <si>
    <t>Net additions: difference in stock on CTB form (Oct 15/16): Lines 1 - 3</t>
  </si>
  <si>
    <t>Difference in empty homes on CTB form Oct 15/16</t>
  </si>
  <si>
    <t>Payments for Year 7</t>
  </si>
  <si>
    <t>Total Payments (2017/18)</t>
  </si>
  <si>
    <t>In-year: lower tier - no baseline</t>
  </si>
  <si>
    <t>In-year: upper tier - no baseline</t>
  </si>
  <si>
    <t>In-year: lower tier - baseline deduction</t>
  </si>
  <si>
    <t>In-year: upper tier - baseline deduction</t>
  </si>
  <si>
    <t>Previous year stock - band D (Oct 15)</t>
  </si>
  <si>
    <t>In-year: lower tier - with baseline</t>
  </si>
  <si>
    <t>In-year: upper tier - with baseline</t>
  </si>
  <si>
    <r>
      <t>Dwelling stock:</t>
    </r>
    <r>
      <rPr>
        <sz val="14"/>
        <rFont val="Calibri"/>
        <family val="2"/>
      </rPr>
      <t xml:space="preserve"> </t>
    </r>
    <r>
      <rPr>
        <sz val="12"/>
        <rFont val="Calibri"/>
        <family val="2"/>
      </rPr>
      <t xml:space="preserve">(Oct 16) </t>
    </r>
    <r>
      <rPr>
        <vertAlign val="superscript"/>
        <sz val="12"/>
        <rFont val="Calibri"/>
        <family val="2"/>
      </rPr>
      <t>2</t>
    </r>
  </si>
  <si>
    <t>.. Converted into band D equivalents</t>
  </si>
  <si>
    <t>Over 4 years: upper tier</t>
  </si>
  <si>
    <t>Over 4 years: lower tier</t>
  </si>
  <si>
    <t>Total payment over 4 years:</t>
  </si>
  <si>
    <r>
      <t>Step 1.</t>
    </r>
    <r>
      <rPr>
        <sz val="14"/>
        <color indexed="21"/>
        <rFont val="Calibri"/>
        <family val="2"/>
      </rPr>
      <t xml:space="preserve"> Please select the method you wish to use to view bonus payments</t>
    </r>
  </si>
  <si>
    <r>
      <t>Step 2.</t>
    </r>
    <r>
      <rPr>
        <sz val="14"/>
        <color indexed="21"/>
        <rFont val="Calibri"/>
        <family val="2"/>
      </rPr>
      <t xml:space="preserve"> Select a local authority or county from the drop-down list</t>
    </r>
  </si>
  <si>
    <t xml:space="preserve">Analysis and Data Directorate, </t>
  </si>
  <si>
    <t>Department for Communities and Local Government</t>
  </si>
  <si>
    <t>newhomesbonus@communities.gsi.gov.uk</t>
  </si>
  <si>
    <r>
      <t>2.</t>
    </r>
    <r>
      <rPr>
        <sz val="12"/>
        <rFont val="Calibri"/>
        <family val="2"/>
      </rPr>
      <t xml:space="preserve"> Data taken from the Council Tax Base form: </t>
    </r>
    <r>
      <rPr>
        <sz val="12"/>
        <color indexed="55"/>
        <rFont val="Calibri"/>
        <family val="2"/>
      </rPr>
      <t>https://www.gov.uk/government/statistics/council-taxbase-2016-in-england</t>
    </r>
  </si>
  <si>
    <r>
      <t>3.</t>
    </r>
    <r>
      <rPr>
        <sz val="12"/>
        <rFont val="Calibri"/>
        <family val="2"/>
      </rPr>
      <t xml:space="preserve"> Data taken from Live Table 1008 - Affordable housing supply in England: 2015 to 2016: </t>
    </r>
    <r>
      <rPr>
        <sz val="12"/>
        <color theme="0" tint="-0.499984740745262"/>
        <rFont val="Calibri"/>
        <family val="2"/>
      </rPr>
      <t>(https://www.gov.uk/government/statistical-data-sets/live-tables-on-affordable-housing-supply)</t>
    </r>
  </si>
  <si>
    <t>Column1</t>
  </si>
  <si>
    <t>Net additions (Oct 15-16):</t>
  </si>
  <si>
    <t>Total net additions</t>
  </si>
  <si>
    <r>
      <t>3.</t>
    </r>
    <r>
      <rPr>
        <sz val="12"/>
        <rFont val="Calibri"/>
        <family val="2"/>
      </rPr>
      <t xml:space="preserve"> Data taken from Affordable housing supply in England: 2015 to 2016: </t>
    </r>
    <r>
      <rPr>
        <sz val="12"/>
        <color theme="0" tint="-0.499984740745262"/>
        <rFont val="Calibri"/>
        <family val="2"/>
      </rPr>
      <t>(https://www.gov.uk/government/statistical-data-sets/live-tables-on-affordable-housing-supply)</t>
    </r>
  </si>
  <si>
    <r>
      <t>4.</t>
    </r>
    <r>
      <rPr>
        <sz val="12"/>
        <rFont val="Calibri"/>
        <family val="2"/>
      </rPr>
      <t xml:space="preserve"> Long term empty homes are measured by Line 18 of the CTB 2016 form. The number brought back into use is calculated by subtracting the stock of empty homes in the current year from the previous year to give the net change. A negative figure represents an increase in the number of empty homes.</t>
    </r>
  </si>
  <si>
    <t>Current year instalment:</t>
  </si>
  <si>
    <t>Total payments over 4 years:</t>
  </si>
  <si>
    <r>
      <t>4.</t>
    </r>
    <r>
      <rPr>
        <sz val="12"/>
        <rFont val="Calibri"/>
        <family val="2"/>
      </rPr>
      <t xml:space="preserve"> Long term empty homes are measured by Line 18 of the CTB 2016 form.  The number brought back into use is calculated by subtracting the stock of empty homes in the current year from the previous year to give the net change. If there is an increase in the number of empty homes, enter this as a negative figure.</t>
    </r>
  </si>
  <si>
    <r>
      <t>3.</t>
    </r>
    <r>
      <rPr>
        <sz val="12"/>
        <rFont val="Calibri"/>
        <family val="2"/>
      </rPr>
      <t xml:space="preserve"> Data taken from Live Table 1008 - Affordable housing supply in England: 2015 to 2016: (https://www.gov.uk/government/statistical-data-sets/live-tables-on-affordable-housing-supply)</t>
    </r>
  </si>
  <si>
    <t>.. As % of stock in previous year</t>
  </si>
  <si>
    <t>National baseline (%)</t>
  </si>
  <si>
    <t>Units rewarded (above baseline)</t>
  </si>
  <si>
    <t>Affordable homes premium (£350 per unit)</t>
  </si>
  <si>
    <r>
      <t>Gross affordable housing units, 2015/16</t>
    </r>
    <r>
      <rPr>
        <vertAlign val="superscript"/>
        <sz val="14"/>
        <rFont val="Calibri"/>
        <family val="2"/>
      </rPr>
      <t>5</t>
    </r>
    <r>
      <rPr>
        <sz val="14"/>
        <rFont val="Calibri"/>
        <family val="2"/>
      </rPr>
      <t>:</t>
    </r>
  </si>
  <si>
    <t>Band D equivalents rewarded</t>
  </si>
  <si>
    <t>Total:</t>
  </si>
  <si>
    <t>Lower tier payment (%)</t>
  </si>
  <si>
    <t>Upper tier payment (%)</t>
  </si>
  <si>
    <t>Cumulative New Homes Bonus payments</t>
  </si>
  <si>
    <t>Illustrative Payments by Band</t>
  </si>
  <si>
    <t>Insert an estimate of housing delivery in the green boxes below:</t>
  </si>
  <si>
    <t>Payment for net additions (upper and lower tier authorities)</t>
  </si>
  <si>
    <t>Calculation process</t>
  </si>
  <si>
    <t>Worked example</t>
  </si>
  <si>
    <t>Council tax band</t>
  </si>
  <si>
    <t>Previous year dwelling stock</t>
  </si>
  <si>
    <t>Affordable homes</t>
  </si>
  <si>
    <t>6/9</t>
  </si>
  <si>
    <t>7/9</t>
  </si>
  <si>
    <t>8/9</t>
  </si>
  <si>
    <t>9/9</t>
  </si>
  <si>
    <t>11/9</t>
  </si>
  <si>
    <t>13/9</t>
  </si>
  <si>
    <t>15/9</t>
  </si>
  <si>
    <t>18/9</t>
  </si>
  <si>
    <t>Weighting (Band D equivalence)</t>
  </si>
  <si>
    <t>I</t>
  </si>
  <si>
    <t>National average Band D council tax rate</t>
  </si>
  <si>
    <t>Calculating the New Homes Bonus</t>
  </si>
  <si>
    <t>Growth in dwelling stock*</t>
  </si>
  <si>
    <r>
      <t xml:space="preserve">The worked example above shows the method for calculating the New Homes Bonus in a hypothetical local authority. 
The calculation shows the outcome following a 1% growth in the housing stock, evenly split across the council tax bands and 15 new affordable homes.  There is a baseline level of 0.4%, below which new homes are not rewarded with the Bonus and the national average Band D council tax rate of £1,529.56 is paid thereafter.
*In practice the growth in the dwelling stock is calculated from DCLG Council Taxbase (CTB) statistics with the effective stock (i.e. after accounting for demolished or long term empty property, Line 1 </t>
    </r>
    <r>
      <rPr>
        <i/>
        <sz val="12"/>
        <rFont val="Calibri"/>
        <family val="2"/>
        <scheme val="minor"/>
      </rPr>
      <t>minus</t>
    </r>
    <r>
      <rPr>
        <sz val="12"/>
        <rFont val="Calibri"/>
        <family val="2"/>
        <scheme val="minor"/>
      </rPr>
      <t xml:space="preserve"> Line 3 </t>
    </r>
    <r>
      <rPr>
        <i/>
        <sz val="12"/>
        <rFont val="Calibri"/>
        <family val="2"/>
        <scheme val="minor"/>
      </rPr>
      <t>minus</t>
    </r>
    <r>
      <rPr>
        <sz val="12"/>
        <rFont val="Calibri"/>
        <family val="2"/>
        <scheme val="minor"/>
      </rPr>
      <t xml:space="preserve"> Line 18 on the CTB form) in the previous year subtracted from the latest year.</t>
    </r>
  </si>
  <si>
    <t>II</t>
  </si>
  <si>
    <t>III</t>
  </si>
  <si>
    <t>IV</t>
  </si>
  <si>
    <t>V</t>
  </si>
  <si>
    <t>VI</t>
  </si>
  <si>
    <t>VII</t>
  </si>
  <si>
    <t>VIII</t>
  </si>
  <si>
    <t>IX</t>
  </si>
  <si>
    <t>X</t>
  </si>
  <si>
    <t>XI</t>
  </si>
  <si>
    <t>XII</t>
  </si>
  <si>
    <r>
      <t xml:space="preserve">…in band D equivalents </t>
    </r>
    <r>
      <rPr>
        <b/>
        <sz val="12"/>
        <rFont val="Calibri"/>
        <family val="2"/>
      </rPr>
      <t>(II x I)</t>
    </r>
  </si>
  <si>
    <r>
      <t xml:space="preserve">…in band D equivalents </t>
    </r>
    <r>
      <rPr>
        <b/>
        <sz val="12"/>
        <rFont val="Calibri"/>
        <family val="2"/>
      </rPr>
      <t>(IV x I)</t>
    </r>
  </si>
  <si>
    <r>
      <t xml:space="preserve">Baseline = 0.4% of band D equivalent stock </t>
    </r>
    <r>
      <rPr>
        <b/>
        <sz val="12"/>
        <rFont val="Calibri"/>
        <family val="2"/>
      </rPr>
      <t>(III x 0.4%)</t>
    </r>
  </si>
  <si>
    <r>
      <t xml:space="preserve">Units rewarded - Band D equivalents </t>
    </r>
    <r>
      <rPr>
        <b/>
        <sz val="12"/>
        <rFont val="Calibri"/>
        <family val="2"/>
      </rPr>
      <t>(V - VII)</t>
    </r>
  </si>
  <si>
    <r>
      <t xml:space="preserve">Payment for Band D equivalents </t>
    </r>
    <r>
      <rPr>
        <b/>
        <sz val="12"/>
        <rFont val="Calibri"/>
        <family val="2"/>
      </rPr>
      <t>(VIII x VI)</t>
    </r>
  </si>
  <si>
    <r>
      <t xml:space="preserve">Affordable homes payment </t>
    </r>
    <r>
      <rPr>
        <b/>
        <sz val="12"/>
        <rFont val="Calibri"/>
        <family val="2"/>
      </rPr>
      <t>(X x £350)</t>
    </r>
  </si>
  <si>
    <r>
      <t xml:space="preserve">Annual payment </t>
    </r>
    <r>
      <rPr>
        <b/>
        <sz val="12"/>
        <rFont val="Calibri"/>
        <family val="2"/>
      </rPr>
      <t>(XI + IX)</t>
    </r>
  </si>
  <si>
    <t>Current year payments only</t>
  </si>
  <si>
    <r>
      <t>1.</t>
    </r>
    <r>
      <rPr>
        <sz val="12"/>
        <rFont val="Calibri"/>
        <family val="2"/>
      </rPr>
      <t xml:space="preserve"> Net additional dwellings are calculated by subtracting effective stock (total stock less long-term empty homes, and demolitions) as recorded on the CTB in one year from the previous year: </t>
    </r>
    <r>
      <rPr>
        <sz val="12"/>
        <color theme="0" tint="-0.499984740745262"/>
        <rFont val="Calibri"/>
        <family val="2"/>
      </rPr>
      <t>See 'Calculating the New Homes Bonus' in the first page of this spreadsheet</t>
    </r>
  </si>
  <si>
    <r>
      <t xml:space="preserve">1. Net additional dwellings are calculated by subtracting effective stock (total stock less long-term empty homes, and demolitions) as recorded on the CTB in one year from the previous year: </t>
    </r>
    <r>
      <rPr>
        <sz val="12"/>
        <color theme="0" tint="-0.499984740745262"/>
        <rFont val="Calibri"/>
        <family val="2"/>
      </rPr>
      <t>See 'Calculating the New Homes Bonus' in the first page of this spreadsheet</t>
    </r>
  </si>
  <si>
    <t>2017/18: Total Payments</t>
  </si>
  <si>
    <t>Retrospective payment</t>
  </si>
  <si>
    <t>Note that for Barnsley, Bolsover, Guildford, Shropshire UA, Wigan, Wyre Forest, Derbyshire, Surrey and Worcestershire the 'payments for year 6' numbers include a payment for affordable homes built as Right to Buy replacements in Year 6, but which were not rewarded in 2016/17. A retrospective payment is being made to these Authorities to correct this, and these units will be incorporated into the legacy payments.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</si>
</sst>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quot;£&quot;#,##0_);[Red]\(&quot;£&quot;#,##0\)"/>
    <numFmt numFmtId="165" formatCode="_(&quot;£&quot;* #,##0.00_);_(&quot;£&quot;* \(#,##0.00\);_(&quot;£&quot;* &quot;-&quot;??_);_(@_)"/>
    <numFmt numFmtId="166" formatCode="_(* #,##0.00_);_(* \(#,##0.00\);_(* &quot;-&quot;??_);_(@_)"/>
    <numFmt numFmtId="167" formatCode="_-* #,##0_-;\-* #,##0_-;_-* &quot;-&quot;??_-;_-@_-"/>
    <numFmt numFmtId="168" formatCode="&quot;£&quot;#,##0.00"/>
    <numFmt numFmtId="169" formatCode="&quot;£&quot;#,##0"/>
    <numFmt numFmtId="170" formatCode="&quot;£&quot;#,##0_);\(&quot;£&quot;#,##0\)"/>
    <numFmt numFmtId="171" formatCode="_-&quot;£&quot;* #,##0_-;\-&quot;£&quot;* #,##0_-;_-&quot;£&quot;* &quot;-&quot;??_-;_-@_-"/>
    <numFmt numFmtId="172" formatCode="0000"/>
    <numFmt numFmtId="173" formatCode="#,##0_);;&quot;- &quot;_);@_)\ "/>
    <numFmt numFmtId="174" formatCode="_(General"/>
    <numFmt numFmtId="175" formatCode="&quot;£&quot;#,##0.0"/>
    <numFmt numFmtId="176" formatCode="_(* #,##0_);_(* \(#,##0\);_(* &quot;-&quot;??_);_(@_)"/>
    <numFmt numFmtId="177" formatCode="&quot;£&quot;#,##0.0000"/>
    <numFmt numFmtId="178" formatCode="#,##0.0"/>
    <numFmt numFmtId="179" formatCode="0.0"/>
  </numFmts>
  <fonts count="100" x14ac:knownFonts="1">
    <font>
      <sz val="10"/>
      <name val="Arial"/>
    </font>
    <font>
      <sz val="12"/>
      <color theme="1"/>
      <name val="Arial"/>
      <family val="2"/>
    </font>
    <font>
      <sz val="10"/>
      <name val="Calibri"/>
      <family val="2"/>
    </font>
    <font>
      <b/>
      <sz val="28"/>
      <color indexed="21"/>
      <name val="Calibri"/>
      <family val="2"/>
    </font>
    <font>
      <sz val="12"/>
      <color theme="0"/>
      <name val="Calibri"/>
      <family val="2"/>
    </font>
    <font>
      <sz val="14"/>
      <color theme="0"/>
      <name val="Calibri"/>
      <family val="2"/>
    </font>
    <font>
      <b/>
      <sz val="36"/>
      <color indexed="21"/>
      <name val="Calibri"/>
      <family val="2"/>
    </font>
    <font>
      <b/>
      <sz val="18"/>
      <color indexed="9"/>
      <name val="Calibri"/>
      <family val="2"/>
    </font>
    <font>
      <sz val="12"/>
      <name val="Calibri"/>
      <family val="2"/>
    </font>
    <font>
      <sz val="10"/>
      <name val="Arial"/>
      <family val="2"/>
    </font>
    <font>
      <b/>
      <sz val="20"/>
      <color indexed="12"/>
      <name val="Calibri"/>
      <family val="2"/>
    </font>
    <font>
      <sz val="16"/>
      <name val="Calibri"/>
      <family val="2"/>
    </font>
    <font>
      <vertAlign val="superscript"/>
      <sz val="12"/>
      <name val="Calibri"/>
      <family val="2"/>
    </font>
    <font>
      <u/>
      <sz val="10"/>
      <color indexed="12"/>
      <name val="Arial"/>
      <family val="2"/>
    </font>
    <font>
      <b/>
      <u/>
      <sz val="16"/>
      <color indexed="21"/>
      <name val="Calibri"/>
      <family val="2"/>
    </font>
    <font>
      <sz val="14"/>
      <name val="Calibri"/>
      <family val="2"/>
    </font>
    <font>
      <sz val="10"/>
      <color indexed="49"/>
      <name val="Calibri"/>
      <family val="2"/>
    </font>
    <font>
      <b/>
      <sz val="20"/>
      <color indexed="49"/>
      <name val="Calibri"/>
      <family val="2"/>
    </font>
    <font>
      <b/>
      <sz val="10"/>
      <name val="Calibri"/>
      <family val="2"/>
    </font>
    <font>
      <b/>
      <sz val="20"/>
      <color indexed="21"/>
      <name val="Calibri"/>
      <family val="2"/>
    </font>
    <font>
      <sz val="14"/>
      <color indexed="21"/>
      <name val="Calibri"/>
      <family val="2"/>
    </font>
    <font>
      <b/>
      <sz val="14"/>
      <name val="Calibri"/>
      <family val="2"/>
    </font>
    <font>
      <b/>
      <sz val="18"/>
      <color indexed="21"/>
      <name val="Calibri"/>
      <family val="2"/>
    </font>
    <font>
      <b/>
      <sz val="12"/>
      <name val="Calibri"/>
      <family val="2"/>
    </font>
    <font>
      <b/>
      <sz val="20"/>
      <name val="Calibri"/>
      <family val="2"/>
    </font>
    <font>
      <b/>
      <sz val="20"/>
      <color indexed="9"/>
      <name val="Calibri"/>
      <family val="2"/>
    </font>
    <font>
      <b/>
      <sz val="16"/>
      <name val="Calibri"/>
      <family val="2"/>
    </font>
    <font>
      <sz val="12"/>
      <color indexed="55"/>
      <name val="Calibri"/>
      <family val="2"/>
    </font>
    <font>
      <sz val="12"/>
      <color theme="0" tint="-0.499984740745262"/>
      <name val="Calibri"/>
      <family val="2"/>
    </font>
    <font>
      <b/>
      <sz val="18"/>
      <color indexed="81"/>
      <name val="Calibri"/>
      <family val="2"/>
    </font>
    <font>
      <sz val="18"/>
      <name val="Calibri"/>
      <family val="2"/>
    </font>
    <font>
      <b/>
      <sz val="22"/>
      <color indexed="21"/>
      <name val="Calibri"/>
      <family val="2"/>
    </font>
    <font>
      <b/>
      <u/>
      <sz val="14"/>
      <name val="Calibri"/>
      <family val="2"/>
    </font>
    <font>
      <vertAlign val="superscript"/>
      <sz val="14"/>
      <name val="Calibri"/>
      <family val="2"/>
    </font>
    <font>
      <sz val="12"/>
      <color indexed="9"/>
      <name val="Calibri"/>
      <family val="2"/>
    </font>
    <font>
      <b/>
      <sz val="14"/>
      <color indexed="21"/>
      <name val="Calibri"/>
      <family val="2"/>
    </font>
    <font>
      <sz val="18"/>
      <color indexed="81"/>
      <name val="Calibri"/>
      <family val="2"/>
    </font>
    <font>
      <b/>
      <sz val="20"/>
      <color theme="0"/>
      <name val="Calibri"/>
      <family val="2"/>
    </font>
    <font>
      <b/>
      <sz val="18"/>
      <color theme="0"/>
      <name val="Calibri"/>
      <family val="2"/>
    </font>
    <font>
      <b/>
      <sz val="18"/>
      <name val="Calibri"/>
      <family val="2"/>
    </font>
    <font>
      <b/>
      <u/>
      <sz val="16"/>
      <name val="Calibri"/>
      <family val="2"/>
    </font>
    <font>
      <sz val="14"/>
      <name val="Arial"/>
      <family val="2"/>
    </font>
    <font>
      <b/>
      <vertAlign val="superscript"/>
      <sz val="14"/>
      <name val="Calibri"/>
      <family val="2"/>
    </font>
    <font>
      <sz val="10"/>
      <color indexed="9"/>
      <name val="Calibri"/>
      <family val="2"/>
    </font>
    <font>
      <sz val="10"/>
      <color theme="0"/>
      <name val="Calibri"/>
      <family val="2"/>
    </font>
    <font>
      <sz val="11"/>
      <name val="Calibri"/>
      <family val="2"/>
    </font>
    <font>
      <b/>
      <sz val="10"/>
      <color indexed="12"/>
      <name val="Arial"/>
      <family val="2"/>
    </font>
    <font>
      <b/>
      <sz val="16"/>
      <color indexed="10"/>
      <name val="Arial"/>
      <family val="2"/>
    </font>
    <font>
      <b/>
      <sz val="10"/>
      <name val="Arial"/>
      <family val="2"/>
    </font>
    <font>
      <sz val="8"/>
      <name val="Arial"/>
      <family val="2"/>
    </font>
    <font>
      <b/>
      <sz val="14"/>
      <color indexed="12"/>
      <name val="Arial"/>
      <family val="2"/>
    </font>
    <font>
      <b/>
      <i/>
      <sz val="10"/>
      <name val="Arial"/>
      <family val="2"/>
    </font>
    <font>
      <sz val="10"/>
      <color indexed="8"/>
      <name val="Arial"/>
      <family val="2"/>
    </font>
    <font>
      <sz val="11"/>
      <color theme="1"/>
      <name val="Calibri"/>
      <family val="2"/>
      <scheme val="minor"/>
    </font>
    <font>
      <sz val="11"/>
      <color theme="0"/>
      <name val="Calibri"/>
      <family val="2"/>
      <scheme val="minor"/>
    </font>
    <font>
      <b/>
      <sz val="18"/>
      <name val="Arial"/>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Verdana"/>
      <family val="2"/>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Arial"/>
      <family val="2"/>
    </font>
    <font>
      <b/>
      <sz val="11"/>
      <color rgb="FF3F3F3F"/>
      <name val="Calibri"/>
      <family val="2"/>
      <scheme val="minor"/>
    </font>
    <font>
      <b/>
      <sz val="8"/>
      <color rgb="FF000000"/>
      <name val="Arial"/>
      <family val="2"/>
    </font>
    <font>
      <sz val="11"/>
      <name val="Times New Roman"/>
      <family val="1"/>
    </font>
    <font>
      <b/>
      <sz val="11"/>
      <name val="Times New Roman"/>
      <family val="1"/>
    </font>
    <font>
      <b/>
      <sz val="12"/>
      <name val="Times New Roman"/>
      <family val="1"/>
    </font>
    <font>
      <b/>
      <sz val="18"/>
      <color indexed="56"/>
      <name val="Cambria"/>
      <family val="2"/>
    </font>
    <font>
      <b/>
      <sz val="11"/>
      <color theme="1"/>
      <name val="Calibri"/>
      <family val="2"/>
      <scheme val="minor"/>
    </font>
    <font>
      <sz val="11"/>
      <color rgb="FFFF0000"/>
      <name val="Calibri"/>
      <family val="2"/>
      <scheme val="minor"/>
    </font>
    <font>
      <b/>
      <sz val="10"/>
      <color rgb="FF0000CC"/>
      <name val="Arial"/>
      <family val="2"/>
    </font>
    <font>
      <b/>
      <sz val="22"/>
      <color indexed="10"/>
      <name val="Calibri"/>
      <family val="2"/>
    </font>
    <font>
      <sz val="14"/>
      <color indexed="10"/>
      <name val="Calibri"/>
      <family val="2"/>
    </font>
    <font>
      <sz val="10"/>
      <color indexed="21"/>
      <name val="Arial"/>
      <family val="2"/>
    </font>
    <font>
      <u/>
      <sz val="12"/>
      <color indexed="12"/>
      <name val="Calibri"/>
      <family val="2"/>
    </font>
    <font>
      <sz val="10"/>
      <color indexed="21"/>
      <name val="Calibri"/>
      <family val="2"/>
    </font>
    <font>
      <u/>
      <sz val="16"/>
      <color indexed="9"/>
      <name val="Calibri"/>
      <family val="2"/>
    </font>
    <font>
      <sz val="16"/>
      <color indexed="9"/>
      <name val="Calibri"/>
      <family val="2"/>
    </font>
    <font>
      <sz val="16"/>
      <color indexed="21"/>
      <name val="Calibri"/>
      <family val="2"/>
    </font>
    <font>
      <sz val="14"/>
      <color indexed="9"/>
      <name val="Calibri"/>
      <family val="2"/>
    </font>
    <font>
      <sz val="10"/>
      <name val="Arial"/>
      <family val="2"/>
    </font>
    <font>
      <b/>
      <u/>
      <sz val="14"/>
      <color theme="0"/>
      <name val="Calibri"/>
      <family val="2"/>
    </font>
    <font>
      <sz val="10"/>
      <color theme="0"/>
      <name val="Arial"/>
      <family val="2"/>
    </font>
    <font>
      <b/>
      <sz val="22"/>
      <color theme="0"/>
      <name val="Calibri"/>
      <family val="2"/>
    </font>
    <font>
      <sz val="12"/>
      <name val="Times New Roman"/>
      <family val="1"/>
    </font>
    <font>
      <u/>
      <sz val="12"/>
      <color indexed="12"/>
      <name val="Calibri"/>
      <family val="2"/>
      <scheme val="minor"/>
    </font>
    <font>
      <sz val="12"/>
      <name val="Calibri"/>
      <family val="2"/>
      <scheme val="minor"/>
    </font>
    <font>
      <sz val="12"/>
      <color theme="0" tint="-0.14999847407452621"/>
      <name val="Calibri"/>
      <family val="2"/>
    </font>
    <font>
      <i/>
      <sz val="12"/>
      <name val="Calibri"/>
      <family val="2"/>
      <scheme val="minor"/>
    </font>
    <font>
      <u/>
      <sz val="16"/>
      <color theme="0"/>
      <name val="Calibri"/>
      <family val="2"/>
      <scheme val="minor"/>
    </font>
    <font>
      <sz val="10"/>
      <color rgb="FFFF0000"/>
      <name val="Arial"/>
      <family val="2"/>
    </font>
    <font>
      <i/>
      <sz val="12"/>
      <name val="Calibri"/>
      <family val="2"/>
    </font>
  </fonts>
  <fills count="42">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theme="0"/>
        <bgColor indexed="64"/>
      </patternFill>
    </fill>
    <fill>
      <patternFill patternType="solid">
        <fgColor theme="0" tint="-0.24994659260841701"/>
        <bgColor indexed="64"/>
      </patternFill>
    </fill>
    <fill>
      <patternFill patternType="solid">
        <fgColor indexed="47"/>
        <bgColor indexed="64"/>
      </patternFill>
    </fill>
    <fill>
      <patternFill patternType="solid">
        <fgColor indexed="43"/>
        <bgColor indexed="64"/>
      </patternFill>
    </fill>
    <fill>
      <patternFill patternType="solid">
        <fgColor theme="9" tint="0.59999389629810485"/>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102">
    <xf numFmtId="0" fontId="0" fillId="0" borderId="0"/>
    <xf numFmtId="166" fontId="9" fillId="0" borderId="0" applyFont="0" applyFill="0" applyBorder="0" applyAlignment="0" applyProtection="0"/>
    <xf numFmtId="9" fontId="9" fillId="0" borderId="0" applyFont="0" applyFill="0" applyBorder="0" applyAlignment="0" applyProtection="0"/>
    <xf numFmtId="0" fontId="13" fillId="0" borderId="0" applyNumberFormat="0" applyFill="0" applyBorder="0" applyAlignment="0" applyProtection="0">
      <alignment vertical="top"/>
      <protection locked="0"/>
    </xf>
    <xf numFmtId="165" fontId="9" fillId="0" borderId="0" applyFont="0" applyFill="0" applyBorder="0" applyAlignment="0" applyProtection="0"/>
    <xf numFmtId="0" fontId="9" fillId="0" borderId="0"/>
    <xf numFmtId="0" fontId="53" fillId="18" borderId="0" applyNumberFormat="0" applyBorder="0" applyAlignment="0" applyProtection="0"/>
    <xf numFmtId="0" fontId="53" fillId="22" borderId="0" applyNumberFormat="0" applyBorder="0" applyAlignment="0" applyProtection="0"/>
    <xf numFmtId="0" fontId="53" fillId="26" borderId="0" applyNumberFormat="0" applyBorder="0" applyAlignment="0" applyProtection="0"/>
    <xf numFmtId="0" fontId="53" fillId="30" borderId="0" applyNumberFormat="0" applyBorder="0" applyAlignment="0" applyProtection="0"/>
    <xf numFmtId="0" fontId="53" fillId="34" borderId="0" applyNumberFormat="0" applyBorder="0" applyAlignment="0" applyProtection="0"/>
    <xf numFmtId="0" fontId="53" fillId="38" borderId="0" applyNumberFormat="0" applyBorder="0" applyAlignment="0" applyProtection="0"/>
    <xf numFmtId="0" fontId="53" fillId="19" borderId="0" applyNumberFormat="0" applyBorder="0" applyAlignment="0" applyProtection="0"/>
    <xf numFmtId="0" fontId="53" fillId="23" borderId="0" applyNumberFormat="0" applyBorder="0" applyAlignment="0" applyProtection="0"/>
    <xf numFmtId="0" fontId="53" fillId="27" borderId="0" applyNumberFormat="0" applyBorder="0" applyAlignment="0" applyProtection="0"/>
    <xf numFmtId="0" fontId="53" fillId="31" borderId="0" applyNumberFormat="0" applyBorder="0" applyAlignment="0" applyProtection="0"/>
    <xf numFmtId="0" fontId="53" fillId="35" borderId="0" applyNumberFormat="0" applyBorder="0" applyAlignment="0" applyProtection="0"/>
    <xf numFmtId="0" fontId="53" fillId="39" borderId="0" applyNumberFormat="0" applyBorder="0" applyAlignment="0" applyProtection="0"/>
    <xf numFmtId="0" fontId="54" fillId="20" borderId="0" applyNumberFormat="0" applyBorder="0" applyAlignment="0" applyProtection="0"/>
    <xf numFmtId="0" fontId="54" fillId="24" borderId="0" applyNumberFormat="0" applyBorder="0" applyAlignment="0" applyProtection="0"/>
    <xf numFmtId="0" fontId="54" fillId="28" borderId="0" applyNumberFormat="0" applyBorder="0" applyAlignment="0" applyProtection="0"/>
    <xf numFmtId="0" fontId="54" fillId="32" borderId="0" applyNumberFormat="0" applyBorder="0" applyAlignment="0" applyProtection="0"/>
    <xf numFmtId="0" fontId="54" fillId="36" borderId="0" applyNumberFormat="0" applyBorder="0" applyAlignment="0" applyProtection="0"/>
    <xf numFmtId="0" fontId="54" fillId="40" borderId="0" applyNumberFormat="0" applyBorder="0" applyAlignment="0" applyProtection="0"/>
    <xf numFmtId="0" fontId="54" fillId="17" borderId="0" applyNumberFormat="0" applyBorder="0" applyAlignment="0" applyProtection="0"/>
    <xf numFmtId="0" fontId="54" fillId="21" borderId="0" applyNumberFormat="0" applyBorder="0" applyAlignment="0" applyProtection="0"/>
    <xf numFmtId="0" fontId="54" fillId="25" borderId="0" applyNumberFormat="0" applyBorder="0" applyAlignment="0" applyProtection="0"/>
    <xf numFmtId="0" fontId="54" fillId="29" borderId="0" applyNumberFormat="0" applyBorder="0" applyAlignment="0" applyProtection="0"/>
    <xf numFmtId="0" fontId="54" fillId="33" borderId="0" applyNumberFormat="0" applyBorder="0" applyAlignment="0" applyProtection="0"/>
    <xf numFmtId="0" fontId="54" fillId="37" borderId="0" applyNumberFormat="0" applyBorder="0" applyAlignment="0" applyProtection="0"/>
    <xf numFmtId="0" fontId="55" fillId="0" borderId="0" applyNumberFormat="0" applyFont="0" applyBorder="0" applyAlignment="0">
      <alignment horizontal="left" vertical="center"/>
    </xf>
    <xf numFmtId="0" fontId="56" fillId="11" borderId="0" applyNumberFormat="0" applyBorder="0" applyAlignment="0" applyProtection="0"/>
    <xf numFmtId="0" fontId="57" fillId="14" borderId="19" applyNumberFormat="0" applyAlignment="0" applyProtection="0"/>
    <xf numFmtId="172" fontId="9" fillId="2" borderId="25">
      <alignment horizontal="right" vertical="top"/>
    </xf>
    <xf numFmtId="0" fontId="9" fillId="2" borderId="25">
      <alignment horizontal="left" indent="5"/>
    </xf>
    <xf numFmtId="172" fontId="9" fillId="2" borderId="1" applyNumberFormat="0">
      <alignment horizontal="right" vertical="top"/>
    </xf>
    <xf numFmtId="0" fontId="9" fillId="2" borderId="1">
      <alignment horizontal="left" indent="3"/>
    </xf>
    <xf numFmtId="172" fontId="48" fillId="2" borderId="1" applyNumberFormat="0">
      <alignment horizontal="right" vertical="top"/>
    </xf>
    <xf numFmtId="0" fontId="48" fillId="2" borderId="1">
      <alignment horizontal="left" indent="1"/>
    </xf>
    <xf numFmtId="0" fontId="48" fillId="2" borderId="1">
      <alignment horizontal="right" vertical="top"/>
    </xf>
    <xf numFmtId="0" fontId="48" fillId="2" borderId="1">
      <alignment horizontal="left" indent="2"/>
    </xf>
    <xf numFmtId="172" fontId="9" fillId="2" borderId="1" applyNumberFormat="0">
      <alignment horizontal="right" vertical="top"/>
    </xf>
    <xf numFmtId="0" fontId="9" fillId="2" borderId="1">
      <alignment horizontal="left" indent="3"/>
    </xf>
    <xf numFmtId="0" fontId="58" fillId="15" borderId="22" applyNumberFormat="0" applyAlignment="0" applyProtection="0"/>
    <xf numFmtId="166" fontId="9" fillId="0" borderId="0" applyFont="0" applyFill="0" applyBorder="0" applyAlignment="0" applyProtection="0"/>
    <xf numFmtId="166" fontId="53"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9" fillId="0" borderId="0" applyFont="0" applyFill="0" applyBorder="0" applyAlignment="0" applyProtection="0"/>
    <xf numFmtId="0" fontId="60" fillId="0" borderId="0" applyNumberFormat="0" applyFill="0" applyBorder="0" applyAlignment="0" applyProtection="0"/>
    <xf numFmtId="0" fontId="61" fillId="10" borderId="0" applyNumberFormat="0" applyBorder="0" applyAlignment="0" applyProtection="0"/>
    <xf numFmtId="0" fontId="62" fillId="0" borderId="16" applyNumberFormat="0" applyFill="0" applyAlignment="0" applyProtection="0"/>
    <xf numFmtId="0" fontId="63" fillId="0" borderId="17" applyNumberFormat="0" applyFill="0" applyAlignment="0" applyProtection="0"/>
    <xf numFmtId="0" fontId="64" fillId="0" borderId="18"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13" fillId="0" borderId="0" applyNumberFormat="0" applyFill="0" applyBorder="0" applyAlignment="0" applyProtection="0">
      <alignment vertical="top"/>
      <protection locked="0"/>
    </xf>
    <xf numFmtId="0" fontId="66" fillId="13" borderId="19" applyNumberFormat="0" applyAlignment="0" applyProtection="0"/>
    <xf numFmtId="0" fontId="67" fillId="0" borderId="21" applyNumberFormat="0" applyFill="0" applyAlignment="0" applyProtection="0"/>
    <xf numFmtId="0" fontId="68" fillId="12" borderId="0" applyNumberFormat="0" applyBorder="0" applyAlignment="0" applyProtection="0"/>
    <xf numFmtId="0" fontId="1" fillId="0" borderId="0"/>
    <xf numFmtId="0" fontId="1" fillId="0" borderId="0"/>
    <xf numFmtId="0" fontId="1" fillId="0" borderId="0"/>
    <xf numFmtId="0" fontId="59" fillId="0" borderId="0"/>
    <xf numFmtId="0" fontId="1" fillId="0" borderId="0"/>
    <xf numFmtId="0" fontId="69" fillId="0" borderId="0"/>
    <xf numFmtId="0" fontId="9" fillId="0" borderId="0"/>
    <xf numFmtId="0" fontId="9" fillId="0" borderId="0"/>
    <xf numFmtId="0" fontId="9" fillId="0" borderId="0"/>
    <xf numFmtId="0" fontId="69" fillId="0" borderId="0"/>
    <xf numFmtId="0" fontId="9" fillId="0" borderId="0">
      <alignment horizontal="left" wrapText="1"/>
    </xf>
    <xf numFmtId="0" fontId="1" fillId="0" borderId="0"/>
    <xf numFmtId="0" fontId="1" fillId="0" borderId="0"/>
    <xf numFmtId="0" fontId="52" fillId="0" borderId="0"/>
    <xf numFmtId="0" fontId="9" fillId="0" borderId="0"/>
    <xf numFmtId="0" fontId="1" fillId="0" borderId="0"/>
    <xf numFmtId="0" fontId="53" fillId="16" borderId="23" applyNumberFormat="0" applyFont="0" applyAlignment="0" applyProtection="0"/>
    <xf numFmtId="0" fontId="70" fillId="14" borderId="20" applyNumberFormat="0" applyAlignment="0" applyProtection="0"/>
    <xf numFmtId="9" fontId="9"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0" fontId="71" fillId="0" borderId="0" applyNumberFormat="0" applyBorder="0" applyProtection="0">
      <alignment horizontal="left"/>
    </xf>
    <xf numFmtId="173" fontId="72" fillId="0" borderId="26" applyFill="0" applyBorder="0" applyProtection="0">
      <alignment horizontal="right"/>
    </xf>
    <xf numFmtId="0" fontId="73" fillId="0" borderId="0" applyNumberFormat="0" applyFill="0" applyBorder="0" applyProtection="0">
      <alignment horizontal="center" vertical="center" wrapText="1"/>
    </xf>
    <xf numFmtId="1" fontId="74" fillId="0" borderId="0" applyNumberFormat="0" applyFill="0" applyBorder="0" applyProtection="0">
      <alignment horizontal="right" vertical="top"/>
    </xf>
    <xf numFmtId="174" fontId="72" fillId="0" borderId="0" applyNumberFormat="0" applyFill="0" applyBorder="0" applyProtection="0">
      <alignment horizontal="left"/>
    </xf>
    <xf numFmtId="0" fontId="74" fillId="0" borderId="0" applyNumberFormat="0" applyFill="0" applyBorder="0" applyProtection="0">
      <alignment horizontal="left" vertical="top"/>
    </xf>
    <xf numFmtId="0" fontId="75" fillId="0" borderId="0" applyNumberFormat="0" applyFill="0" applyBorder="0" applyAlignment="0" applyProtection="0"/>
    <xf numFmtId="0" fontId="76" fillId="0" borderId="24" applyNumberFormat="0" applyFill="0" applyAlignment="0" applyProtection="0"/>
    <xf numFmtId="0" fontId="77" fillId="0" borderId="0" applyNumberFormat="0" applyFill="0" applyBorder="0" applyAlignment="0" applyProtection="0"/>
    <xf numFmtId="165" fontId="88" fillId="0" borderId="0" applyFont="0" applyFill="0" applyBorder="0" applyAlignment="0" applyProtection="0"/>
  </cellStyleXfs>
  <cellXfs count="406">
    <xf numFmtId="0" fontId="0" fillId="0" borderId="0" xfId="0"/>
    <xf numFmtId="0" fontId="2" fillId="2" borderId="0" xfId="0" applyFont="1" applyFill="1" applyProtection="1"/>
    <xf numFmtId="0" fontId="3" fillId="2" borderId="0" xfId="0" applyFont="1" applyFill="1" applyAlignment="1" applyProtection="1">
      <alignment horizontal="center"/>
    </xf>
    <xf numFmtId="0" fontId="4" fillId="2" borderId="0" xfId="0" applyFont="1" applyFill="1" applyAlignment="1" applyProtection="1">
      <alignment horizontal="right" vertical="center"/>
    </xf>
    <xf numFmtId="0" fontId="5" fillId="2" borderId="0" xfId="0" applyFont="1" applyFill="1" applyAlignment="1" applyProtection="1">
      <alignment horizontal="center" vertical="center"/>
    </xf>
    <xf numFmtId="0" fontId="6" fillId="2" borderId="0" xfId="0" applyFont="1" applyFill="1" applyAlignment="1" applyProtection="1">
      <alignment horizontal="center"/>
    </xf>
    <xf numFmtId="0" fontId="11" fillId="2" borderId="0" xfId="0" applyFont="1" applyFill="1" applyProtection="1"/>
    <xf numFmtId="0" fontId="2" fillId="2" borderId="0" xfId="0" applyFont="1" applyFill="1" applyBorder="1" applyProtection="1"/>
    <xf numFmtId="0" fontId="14" fillId="2" borderId="0" xfId="3" applyFont="1" applyFill="1" applyBorder="1" applyAlignment="1" applyProtection="1">
      <alignment horizontal="left" vertical="center"/>
      <protection locked="0"/>
    </xf>
    <xf numFmtId="0" fontId="15" fillId="2" borderId="0" xfId="0" applyFont="1" applyFill="1" applyAlignment="1" applyProtection="1">
      <alignment horizontal="center"/>
    </xf>
    <xf numFmtId="0" fontId="10" fillId="2" borderId="0" xfId="0" applyFont="1" applyFill="1" applyBorder="1" applyAlignment="1" applyProtection="1">
      <alignment horizontal="right"/>
    </xf>
    <xf numFmtId="0" fontId="16" fillId="2" borderId="0" xfId="0" applyFont="1" applyFill="1" applyBorder="1" applyProtection="1"/>
    <xf numFmtId="0" fontId="17" fillId="2" borderId="0" xfId="0" applyFont="1" applyFill="1" applyBorder="1" applyAlignment="1" applyProtection="1">
      <alignment horizontal="right"/>
    </xf>
    <xf numFmtId="2" fontId="18" fillId="2" borderId="0" xfId="0" applyNumberFormat="1" applyFont="1" applyFill="1" applyProtection="1"/>
    <xf numFmtId="0" fontId="11" fillId="4" borderId="0" xfId="0" applyFont="1" applyFill="1" applyAlignment="1" applyProtection="1">
      <alignment vertical="center" wrapText="1"/>
    </xf>
    <xf numFmtId="167" fontId="2" fillId="2" borderId="0" xfId="1" applyNumberFormat="1" applyFont="1" applyFill="1" applyProtection="1"/>
    <xf numFmtId="0" fontId="19" fillId="0" borderId="0" xfId="0" applyFont="1" applyFill="1" applyBorder="1" applyProtection="1"/>
    <xf numFmtId="0" fontId="19" fillId="2" borderId="0" xfId="0" applyFont="1" applyFill="1" applyBorder="1" applyProtection="1"/>
    <xf numFmtId="164" fontId="19" fillId="0" borderId="0" xfId="0" applyNumberFormat="1" applyFont="1" applyFill="1" applyBorder="1" applyProtection="1"/>
    <xf numFmtId="168" fontId="8" fillId="2" borderId="0" xfId="1" applyNumberFormat="1" applyFont="1" applyFill="1" applyAlignment="1" applyProtection="1">
      <alignment horizontal="center"/>
    </xf>
    <xf numFmtId="168" fontId="20" fillId="2" borderId="0" xfId="1" applyNumberFormat="1" applyFont="1" applyFill="1" applyAlignment="1" applyProtection="1">
      <alignment horizontal="center"/>
    </xf>
    <xf numFmtId="0" fontId="8" fillId="2" borderId="0" xfId="0" applyFont="1" applyFill="1" applyAlignment="1" applyProtection="1">
      <alignment horizontal="center"/>
    </xf>
    <xf numFmtId="0" fontId="2" fillId="2" borderId="0" xfId="0" applyFont="1" applyFill="1" applyBorder="1" applyAlignment="1" applyProtection="1"/>
    <xf numFmtId="0" fontId="21" fillId="2" borderId="0" xfId="0" applyFont="1" applyFill="1" applyBorder="1" applyAlignment="1" applyProtection="1">
      <alignment wrapText="1"/>
    </xf>
    <xf numFmtId="0" fontId="22" fillId="2" borderId="0" xfId="0" applyFont="1" applyFill="1" applyBorder="1" applyAlignment="1" applyProtection="1"/>
    <xf numFmtId="0" fontId="21" fillId="0" borderId="1" xfId="0" applyFont="1" applyFill="1" applyBorder="1" applyAlignment="1" applyProtection="1">
      <alignment horizontal="center" vertical="center"/>
    </xf>
    <xf numFmtId="169" fontId="8" fillId="2" borderId="1" xfId="2" applyNumberFormat="1" applyFont="1" applyFill="1" applyBorder="1" applyAlignment="1" applyProtection="1">
      <alignment horizontal="center" vertical="center"/>
    </xf>
    <xf numFmtId="168" fontId="8" fillId="5" borderId="2" xfId="1" applyNumberFormat="1" applyFont="1" applyFill="1" applyBorder="1" applyAlignment="1" applyProtection="1">
      <alignment horizontal="center" vertical="center"/>
    </xf>
    <xf numFmtId="168" fontId="8" fillId="5" borderId="3" xfId="1" applyNumberFormat="1" applyFont="1" applyFill="1" applyBorder="1" applyAlignment="1" applyProtection="1">
      <alignment horizontal="center" vertical="center"/>
    </xf>
    <xf numFmtId="0" fontId="21" fillId="2" borderId="0" xfId="0" applyFont="1" applyFill="1" applyBorder="1" applyAlignment="1" applyProtection="1">
      <alignment vertical="justify" wrapText="1"/>
    </xf>
    <xf numFmtId="168" fontId="8" fillId="5" borderId="1" xfId="1" applyNumberFormat="1" applyFont="1" applyFill="1" applyBorder="1" applyAlignment="1" applyProtection="1">
      <alignment horizontal="center" vertical="center"/>
    </xf>
    <xf numFmtId="168" fontId="20" fillId="2" borderId="0" xfId="1" applyNumberFormat="1" applyFont="1" applyFill="1" applyAlignment="1" applyProtection="1">
      <alignment horizontal="left"/>
    </xf>
    <xf numFmtId="168" fontId="8" fillId="5" borderId="4" xfId="1" applyNumberFormat="1" applyFont="1" applyFill="1" applyBorder="1" applyAlignment="1" applyProtection="1">
      <alignment horizontal="center" vertical="center"/>
    </xf>
    <xf numFmtId="168" fontId="8" fillId="5" borderId="5" xfId="1" applyNumberFormat="1" applyFont="1" applyFill="1" applyBorder="1" applyAlignment="1" applyProtection="1">
      <alignment horizontal="center" vertical="center"/>
    </xf>
    <xf numFmtId="168" fontId="8" fillId="5" borderId="6" xfId="1" applyNumberFormat="1" applyFont="1" applyFill="1" applyBorder="1" applyAlignment="1" applyProtection="1">
      <alignment horizontal="center" vertical="center"/>
    </xf>
    <xf numFmtId="168" fontId="8" fillId="2" borderId="0" xfId="1" applyNumberFormat="1" applyFont="1" applyFill="1" applyBorder="1" applyAlignment="1" applyProtection="1">
      <alignment horizontal="center" vertical="justify"/>
    </xf>
    <xf numFmtId="169" fontId="8" fillId="2" borderId="0" xfId="1" applyNumberFormat="1" applyFont="1" applyFill="1" applyBorder="1" applyAlignment="1" applyProtection="1">
      <alignment horizontal="center" vertical="justify"/>
    </xf>
    <xf numFmtId="0" fontId="23" fillId="2" borderId="0" xfId="0" applyFont="1" applyFill="1" applyAlignment="1" applyProtection="1">
      <alignment horizontal="center"/>
    </xf>
    <xf numFmtId="170" fontId="19" fillId="2" borderId="0" xfId="0" applyNumberFormat="1" applyFont="1" applyFill="1" applyBorder="1" applyAlignment="1" applyProtection="1">
      <alignment horizontal="center"/>
    </xf>
    <xf numFmtId="169" fontId="19" fillId="2" borderId="0" xfId="0" applyNumberFormat="1" applyFont="1" applyFill="1" applyBorder="1" applyAlignment="1" applyProtection="1">
      <alignment horizontal="center"/>
    </xf>
    <xf numFmtId="0" fontId="24" fillId="2" borderId="0" xfId="0" applyFont="1" applyFill="1" applyBorder="1" applyAlignment="1" applyProtection="1">
      <alignment horizontal="center" vertical="justify" wrapText="1"/>
    </xf>
    <xf numFmtId="0" fontId="24" fillId="2" borderId="0" xfId="0" applyFont="1" applyFill="1" applyBorder="1" applyAlignment="1" applyProtection="1">
      <alignment vertical="justify" wrapText="1"/>
    </xf>
    <xf numFmtId="169" fontId="24" fillId="2" borderId="0" xfId="0" applyNumberFormat="1" applyFont="1" applyFill="1" applyBorder="1" applyAlignment="1" applyProtection="1">
      <alignment horizontal="center" vertical="justify" wrapText="1"/>
    </xf>
    <xf numFmtId="170" fontId="25" fillId="3" borderId="0" xfId="0" applyNumberFormat="1" applyFont="1" applyFill="1" applyBorder="1" applyAlignment="1" applyProtection="1">
      <alignment horizontal="left" vertical="center"/>
    </xf>
    <xf numFmtId="0" fontId="25" fillId="3" borderId="0" xfId="0" applyFont="1" applyFill="1" applyBorder="1" applyAlignment="1" applyProtection="1">
      <alignment horizontal="center" vertical="center"/>
    </xf>
    <xf numFmtId="170" fontId="25" fillId="3" borderId="0" xfId="0" applyNumberFormat="1" applyFont="1" applyFill="1" applyBorder="1" applyAlignment="1" applyProtection="1">
      <alignment horizontal="center" vertical="center"/>
    </xf>
    <xf numFmtId="0" fontId="21" fillId="2" borderId="0" xfId="0" applyFont="1" applyFill="1" applyBorder="1" applyProtection="1"/>
    <xf numFmtId="0" fontId="26" fillId="2" borderId="0" xfId="0" applyFont="1" applyFill="1" applyBorder="1" applyAlignment="1" applyProtection="1">
      <alignment horizontal="left" vertical="top" wrapText="1"/>
    </xf>
    <xf numFmtId="0" fontId="2" fillId="0" borderId="0" xfId="0" applyFont="1" applyFill="1" applyProtection="1"/>
    <xf numFmtId="0" fontId="24" fillId="2" borderId="0" xfId="0" applyFont="1" applyFill="1" applyBorder="1" applyProtection="1"/>
    <xf numFmtId="0" fontId="11" fillId="2" borderId="0" xfId="0" applyFont="1" applyFill="1" applyBorder="1" applyProtection="1"/>
    <xf numFmtId="0" fontId="18" fillId="2" borderId="0" xfId="0" applyFont="1" applyFill="1" applyProtection="1"/>
    <xf numFmtId="0" fontId="26" fillId="2" borderId="0" xfId="0" applyFont="1" applyFill="1" applyBorder="1" applyProtection="1"/>
    <xf numFmtId="167" fontId="11" fillId="2" borderId="0" xfId="1" applyNumberFormat="1" applyFont="1" applyFill="1" applyBorder="1" applyProtection="1"/>
    <xf numFmtId="167" fontId="2" fillId="2" borderId="0" xfId="1" applyNumberFormat="1" applyFont="1" applyFill="1" applyBorder="1" applyProtection="1"/>
    <xf numFmtId="0" fontId="9" fillId="0" borderId="0" xfId="0" applyFont="1" applyProtection="1"/>
    <xf numFmtId="0" fontId="9" fillId="0" borderId="0" xfId="0" applyFont="1"/>
    <xf numFmtId="0" fontId="0" fillId="0" borderId="0" xfId="0" applyFill="1"/>
    <xf numFmtId="0" fontId="3" fillId="2" borderId="0" xfId="0" applyFont="1" applyFill="1" applyAlignment="1" applyProtection="1"/>
    <xf numFmtId="0" fontId="2" fillId="2" borderId="0" xfId="0" applyFont="1" applyFill="1" applyAlignment="1" applyProtection="1">
      <alignment horizontal="center"/>
    </xf>
    <xf numFmtId="3" fontId="8" fillId="2" borderId="0" xfId="1" applyNumberFormat="1" applyFont="1" applyFill="1" applyAlignment="1" applyProtection="1">
      <alignment horizontal="center"/>
    </xf>
    <xf numFmtId="0" fontId="30" fillId="2" borderId="0" xfId="0" applyFont="1" applyFill="1" applyProtection="1"/>
    <xf numFmtId="3" fontId="2" fillId="2" borderId="0" xfId="0" applyNumberFormat="1" applyFont="1" applyFill="1" applyProtection="1"/>
    <xf numFmtId="0" fontId="30" fillId="2" borderId="0" xfId="0" applyFont="1" applyFill="1" applyAlignment="1" applyProtection="1"/>
    <xf numFmtId="3" fontId="8" fillId="2" borderId="0" xfId="0" applyNumberFormat="1" applyFont="1" applyFill="1" applyAlignment="1">
      <alignment horizontal="center"/>
    </xf>
    <xf numFmtId="0" fontId="0" fillId="2" borderId="0" xfId="0" applyFill="1" applyAlignment="1"/>
    <xf numFmtId="0" fontId="19" fillId="0" borderId="0" xfId="0" applyFont="1" applyFill="1" applyProtection="1"/>
    <xf numFmtId="0" fontId="2" fillId="2" borderId="4" xfId="0" applyFont="1" applyFill="1" applyBorder="1" applyProtection="1"/>
    <xf numFmtId="0" fontId="17" fillId="2" borderId="0" xfId="0" applyFont="1" applyFill="1" applyBorder="1" applyAlignment="1" applyProtection="1">
      <alignment horizontal="left"/>
    </xf>
    <xf numFmtId="0" fontId="21" fillId="4" borderId="1" xfId="0" applyFont="1" applyFill="1" applyBorder="1" applyAlignment="1" applyProtection="1">
      <alignment horizontal="center" vertical="center" wrapText="1"/>
    </xf>
    <xf numFmtId="0" fontId="26" fillId="2" borderId="0" xfId="0" applyFont="1" applyFill="1" applyBorder="1" applyAlignment="1" applyProtection="1">
      <alignment horizontal="center"/>
    </xf>
    <xf numFmtId="0" fontId="8" fillId="2" borderId="0" xfId="0" applyFont="1" applyFill="1" applyAlignment="1" applyProtection="1">
      <alignment horizontal="center" vertical="center"/>
    </xf>
    <xf numFmtId="170" fontId="19" fillId="2" borderId="0" xfId="0" applyNumberFormat="1" applyFont="1" applyFill="1" applyAlignment="1" applyProtection="1">
      <alignment horizontal="center"/>
    </xf>
    <xf numFmtId="0" fontId="32" fillId="2" borderId="0" xfId="0" applyFont="1" applyFill="1" applyProtection="1"/>
    <xf numFmtId="0" fontId="15" fillId="2" borderId="0" xfId="0" applyFont="1" applyFill="1" applyBorder="1" applyAlignment="1" applyProtection="1">
      <alignment wrapText="1"/>
    </xf>
    <xf numFmtId="169" fontId="8" fillId="2" borderId="0" xfId="1" applyNumberFormat="1" applyFont="1" applyFill="1" applyAlignment="1" applyProtection="1">
      <alignment horizontal="center"/>
    </xf>
    <xf numFmtId="0" fontId="22" fillId="2" borderId="0" xfId="0" applyFont="1" applyFill="1" applyBorder="1" applyAlignment="1" applyProtection="1">
      <alignment wrapText="1"/>
    </xf>
    <xf numFmtId="169" fontId="19" fillId="2" borderId="0" xfId="1" applyNumberFormat="1" applyFont="1" applyFill="1" applyBorder="1" applyAlignment="1" applyProtection="1">
      <alignment horizontal="center"/>
    </xf>
    <xf numFmtId="2" fontId="19" fillId="2" borderId="0" xfId="1" applyNumberFormat="1" applyFont="1" applyFill="1" applyBorder="1" applyAlignment="1" applyProtection="1">
      <alignment horizontal="center"/>
    </xf>
    <xf numFmtId="0" fontId="15" fillId="2" borderId="0" xfId="0" applyFont="1" applyFill="1" applyProtection="1"/>
    <xf numFmtId="0" fontId="2" fillId="2" borderId="0" xfId="0" applyFont="1" applyFill="1" applyAlignment="1" applyProtection="1">
      <alignment horizontal="left"/>
    </xf>
    <xf numFmtId="0" fontId="2" fillId="2" borderId="0" xfId="0" applyFont="1" applyFill="1" applyBorder="1" applyAlignment="1" applyProtection="1">
      <alignment horizontal="left"/>
    </xf>
    <xf numFmtId="0" fontId="0" fillId="2" borderId="0" xfId="0" applyFill="1" applyBorder="1" applyProtection="1"/>
    <xf numFmtId="2" fontId="2" fillId="2" borderId="0" xfId="0" applyNumberFormat="1" applyFont="1" applyFill="1" applyProtection="1"/>
    <xf numFmtId="0" fontId="23" fillId="2" borderId="0" xfId="0" applyFont="1" applyFill="1" applyAlignment="1" applyProtection="1">
      <alignment horizontal="left" wrapText="1"/>
    </xf>
    <xf numFmtId="0" fontId="8" fillId="0" borderId="0" xfId="0" applyFont="1" applyFill="1" applyAlignment="1" applyProtection="1">
      <alignment wrapText="1"/>
    </xf>
    <xf numFmtId="0" fontId="8" fillId="2" borderId="0" xfId="0" applyFont="1" applyFill="1" applyAlignment="1" applyProtection="1">
      <alignment horizontal="left" wrapText="1"/>
    </xf>
    <xf numFmtId="0" fontId="3" fillId="2" borderId="0" xfId="0" applyFont="1" applyFill="1" applyAlignment="1" applyProtection="1">
      <alignment horizontal="left"/>
    </xf>
    <xf numFmtId="0" fontId="15" fillId="2" borderId="0" xfId="0" applyFont="1" applyFill="1" applyAlignment="1" applyProtection="1"/>
    <xf numFmtId="0" fontId="10" fillId="2" borderId="0" xfId="0" applyFont="1" applyFill="1" applyBorder="1" applyProtection="1"/>
    <xf numFmtId="170" fontId="24" fillId="2" borderId="0" xfId="0" applyNumberFormat="1" applyFont="1" applyFill="1" applyAlignment="1" applyProtection="1">
      <alignment horizontal="center"/>
    </xf>
    <xf numFmtId="169" fontId="24" fillId="2" borderId="0" xfId="0" applyNumberFormat="1" applyFont="1" applyFill="1" applyBorder="1" applyAlignment="1" applyProtection="1">
      <alignment horizontal="center"/>
    </xf>
    <xf numFmtId="0" fontId="38" fillId="2" borderId="0" xfId="0" applyFont="1" applyFill="1" applyBorder="1" applyAlignment="1" applyProtection="1">
      <alignment wrapText="1"/>
    </xf>
    <xf numFmtId="169" fontId="37" fillId="2" borderId="0" xfId="0" applyNumberFormat="1" applyFont="1" applyFill="1" applyBorder="1" applyAlignment="1" applyProtection="1">
      <alignment horizontal="center" wrapText="1"/>
    </xf>
    <xf numFmtId="0" fontId="39" fillId="2" borderId="0" xfId="0" applyFont="1" applyFill="1" applyBorder="1" applyAlignment="1" applyProtection="1">
      <alignment wrapText="1"/>
    </xf>
    <xf numFmtId="0" fontId="2" fillId="2" borderId="0" xfId="0" applyFont="1" applyFill="1" applyBorder="1" applyAlignment="1" applyProtection="1">
      <alignment wrapText="1"/>
    </xf>
    <xf numFmtId="0" fontId="41" fillId="2" borderId="0" xfId="0" applyFont="1" applyFill="1" applyBorder="1" applyAlignment="1" applyProtection="1">
      <alignment wrapText="1"/>
    </xf>
    <xf numFmtId="0" fontId="0" fillId="2" borderId="0" xfId="0" applyFill="1" applyBorder="1" applyAlignment="1" applyProtection="1"/>
    <xf numFmtId="0" fontId="22" fillId="2" borderId="0" xfId="0" applyFont="1" applyFill="1" applyBorder="1" applyAlignment="1" applyProtection="1">
      <alignment horizontal="center"/>
    </xf>
    <xf numFmtId="0" fontId="41" fillId="0" borderId="0" xfId="0" applyFont="1" applyAlignment="1" applyProtection="1">
      <alignment wrapText="1"/>
    </xf>
    <xf numFmtId="0" fontId="43" fillId="2" borderId="0" xfId="0" applyFont="1" applyFill="1" applyProtection="1"/>
    <xf numFmtId="0" fontId="44" fillId="2" borderId="0" xfId="0" applyFont="1" applyFill="1" applyBorder="1" applyAlignment="1" applyProtection="1">
      <alignment wrapText="1"/>
    </xf>
    <xf numFmtId="169" fontId="37" fillId="2" borderId="0" xfId="1" applyNumberFormat="1" applyFont="1" applyFill="1" applyBorder="1" applyAlignment="1" applyProtection="1">
      <alignment horizontal="center"/>
    </xf>
    <xf numFmtId="0" fontId="32" fillId="2" borderId="0" xfId="0" applyFont="1" applyFill="1" applyBorder="1" applyProtection="1"/>
    <xf numFmtId="0" fontId="45" fillId="2" borderId="0" xfId="0" applyFont="1" applyFill="1" applyBorder="1" applyAlignment="1" applyProtection="1"/>
    <xf numFmtId="169" fontId="8" fillId="2" borderId="0" xfId="1" applyNumberFormat="1" applyFont="1" applyFill="1" applyBorder="1" applyAlignment="1" applyProtection="1"/>
    <xf numFmtId="0" fontId="8" fillId="2" borderId="0" xfId="0" applyFont="1" applyFill="1" applyBorder="1" applyAlignment="1" applyProtection="1">
      <alignment horizontal="center"/>
    </xf>
    <xf numFmtId="0" fontId="43" fillId="2" borderId="0" xfId="0" applyFont="1" applyFill="1" applyBorder="1" applyProtection="1"/>
    <xf numFmtId="9" fontId="38" fillId="2" borderId="0" xfId="0" applyNumberFormat="1" applyFont="1" applyFill="1" applyBorder="1" applyAlignment="1" applyProtection="1">
      <alignment horizontal="center" wrapText="1"/>
    </xf>
    <xf numFmtId="0" fontId="39" fillId="2" borderId="0" xfId="0" applyFont="1" applyFill="1" applyBorder="1" applyAlignment="1" applyProtection="1">
      <alignment horizontal="center" wrapText="1"/>
    </xf>
    <xf numFmtId="167" fontId="34" fillId="2" borderId="0" xfId="1" applyNumberFormat="1" applyFont="1" applyFill="1" applyBorder="1" applyAlignment="1" applyProtection="1"/>
    <xf numFmtId="0" fontId="38" fillId="2" borderId="0" xfId="0" applyFont="1" applyFill="1" applyBorder="1" applyAlignment="1" applyProtection="1">
      <alignment horizontal="center" wrapText="1"/>
    </xf>
    <xf numFmtId="0" fontId="17" fillId="2" borderId="0" xfId="0" applyFont="1" applyFill="1" applyBorder="1" applyProtection="1"/>
    <xf numFmtId="0" fontId="8" fillId="2" borderId="0" xfId="0" applyFont="1" applyFill="1" applyProtection="1"/>
    <xf numFmtId="0" fontId="8" fillId="2" borderId="0" xfId="0" applyFont="1" applyFill="1" applyAlignment="1" applyProtection="1">
      <alignment wrapText="1"/>
    </xf>
    <xf numFmtId="0" fontId="46" fillId="0" borderId="0" xfId="0" applyFont="1"/>
    <xf numFmtId="0" fontId="47" fillId="0" borderId="0" xfId="0" applyFont="1"/>
    <xf numFmtId="0" fontId="13" fillId="0" borderId="0" xfId="3" applyFill="1" applyAlignment="1" applyProtection="1"/>
    <xf numFmtId="0" fontId="13" fillId="6" borderId="0" xfId="3" applyFill="1" applyAlignment="1" applyProtection="1"/>
    <xf numFmtId="0" fontId="48" fillId="0" borderId="0" xfId="0" applyFont="1" applyFill="1" applyAlignment="1">
      <alignment horizontal="center"/>
    </xf>
    <xf numFmtId="167" fontId="48" fillId="6" borderId="0" xfId="1" applyNumberFormat="1" applyFont="1" applyFill="1" applyAlignment="1">
      <alignment horizontal="center"/>
    </xf>
    <xf numFmtId="167" fontId="0" fillId="0" borderId="0" xfId="1" applyNumberFormat="1" applyFont="1"/>
    <xf numFmtId="0" fontId="23" fillId="0" borderId="0" xfId="0" applyFont="1" applyFill="1" applyAlignment="1">
      <alignment horizontal="center"/>
    </xf>
    <xf numFmtId="0" fontId="23" fillId="0" borderId="0" xfId="0" applyFont="1" applyFill="1"/>
    <xf numFmtId="0" fontId="23" fillId="6" borderId="0" xfId="0" applyFont="1" applyFill="1" applyAlignment="1">
      <alignment horizontal="center"/>
    </xf>
    <xf numFmtId="0" fontId="23" fillId="6" borderId="0" xfId="0" applyFont="1" applyFill="1"/>
    <xf numFmtId="0" fontId="23" fillId="0" borderId="0" xfId="0" applyFont="1"/>
    <xf numFmtId="0" fontId="23" fillId="0" borderId="0" xfId="0" applyFont="1" applyAlignment="1">
      <alignment horizontal="center"/>
    </xf>
    <xf numFmtId="0" fontId="49" fillId="7" borderId="10" xfId="0" applyFont="1" applyFill="1" applyBorder="1" applyAlignment="1">
      <alignment wrapText="1"/>
    </xf>
    <xf numFmtId="0" fontId="0" fillId="7" borderId="10" xfId="0" applyFill="1" applyBorder="1"/>
    <xf numFmtId="0" fontId="0" fillId="0" borderId="10" xfId="0" applyFill="1" applyBorder="1"/>
    <xf numFmtId="0" fontId="0" fillId="0" borderId="0" xfId="0" applyFill="1" applyBorder="1"/>
    <xf numFmtId="0" fontId="48" fillId="0" borderId="0" xfId="0" applyFont="1"/>
    <xf numFmtId="0" fontId="48" fillId="0" borderId="0" xfId="0" applyFont="1" applyFill="1" applyAlignment="1">
      <alignment horizontal="center" wrapText="1"/>
    </xf>
    <xf numFmtId="0" fontId="48" fillId="6" borderId="0" xfId="0" applyFont="1" applyFill="1" applyAlignment="1">
      <alignment wrapText="1"/>
    </xf>
    <xf numFmtId="0" fontId="0" fillId="0" borderId="0" xfId="0" applyAlignment="1"/>
    <xf numFmtId="0" fontId="50" fillId="0" borderId="0" xfId="0" applyFont="1" applyFill="1"/>
    <xf numFmtId="0" fontId="0" fillId="0" borderId="0" xfId="0" applyFill="1" applyAlignment="1">
      <alignment horizontal="center" wrapText="1"/>
    </xf>
    <xf numFmtId="0" fontId="9" fillId="0" borderId="0" xfId="0" applyFont="1" applyFill="1" applyAlignment="1">
      <alignment horizontal="center" wrapText="1"/>
    </xf>
    <xf numFmtId="0" fontId="48" fillId="7" borderId="10" xfId="0" applyFont="1" applyFill="1" applyBorder="1" applyAlignment="1">
      <alignment horizontal="center" wrapText="1"/>
    </xf>
    <xf numFmtId="0" fontId="9" fillId="0" borderId="0" xfId="0" applyFont="1" applyFill="1"/>
    <xf numFmtId="0" fontId="9" fillId="6" borderId="0" xfId="0" applyFont="1" applyFill="1"/>
    <xf numFmtId="167" fontId="9" fillId="6" borderId="0" xfId="1" applyNumberFormat="1" applyFont="1" applyFill="1"/>
    <xf numFmtId="167" fontId="9" fillId="0" borderId="0" xfId="1" applyNumberFormat="1" applyFont="1"/>
    <xf numFmtId="0" fontId="9" fillId="7" borderId="10" xfId="0" applyFont="1" applyFill="1" applyBorder="1"/>
    <xf numFmtId="0" fontId="9" fillId="0" borderId="0" xfId="0" applyFont="1" applyFill="1" applyBorder="1"/>
    <xf numFmtId="0" fontId="9" fillId="0" borderId="10" xfId="0" applyFont="1" applyFill="1" applyBorder="1"/>
    <xf numFmtId="3" fontId="0" fillId="0" borderId="0" xfId="0" applyNumberFormat="1"/>
    <xf numFmtId="0" fontId="0" fillId="0" borderId="0" xfId="0" applyAlignment="1" applyProtection="1">
      <alignment horizontal="left"/>
    </xf>
    <xf numFmtId="167" fontId="0" fillId="0" borderId="0" xfId="1" applyNumberFormat="1" applyFont="1" applyFill="1"/>
    <xf numFmtId="167" fontId="46" fillId="6" borderId="0" xfId="0" applyNumberFormat="1" applyFont="1" applyFill="1"/>
    <xf numFmtId="3" fontId="46" fillId="6" borderId="0" xfId="0" applyNumberFormat="1" applyFont="1" applyFill="1"/>
    <xf numFmtId="9" fontId="0" fillId="0" borderId="0" xfId="0" applyNumberFormat="1" applyFill="1"/>
    <xf numFmtId="10" fontId="0" fillId="0" borderId="0" xfId="0" applyNumberFormat="1" applyFill="1"/>
    <xf numFmtId="171" fontId="46" fillId="0" borderId="0" xfId="4" applyNumberFormat="1" applyFont="1" applyFill="1"/>
    <xf numFmtId="169" fontId="0" fillId="7" borderId="10" xfId="0" applyNumberFormat="1" applyFill="1" applyBorder="1"/>
    <xf numFmtId="169" fontId="46" fillId="0" borderId="11" xfId="0" applyNumberFormat="1" applyFont="1" applyFill="1" applyBorder="1"/>
    <xf numFmtId="169" fontId="0" fillId="0" borderId="0" xfId="0" applyNumberFormat="1" applyFill="1" applyBorder="1"/>
    <xf numFmtId="169" fontId="46" fillId="0" borderId="0" xfId="0" applyNumberFormat="1" applyFont="1" applyFill="1" applyBorder="1"/>
    <xf numFmtId="169" fontId="48" fillId="8" borderId="0" xfId="0" applyNumberFormat="1" applyFont="1" applyFill="1" applyBorder="1"/>
    <xf numFmtId="3" fontId="0" fillId="0" borderId="0" xfId="0" applyNumberFormat="1" applyFill="1" applyBorder="1" applyAlignment="1">
      <alignment horizontal="center"/>
    </xf>
    <xf numFmtId="0" fontId="0" fillId="0" borderId="0" xfId="0" applyBorder="1"/>
    <xf numFmtId="167" fontId="9" fillId="0" borderId="12" xfId="1" applyNumberFormat="1" applyFont="1" applyFill="1" applyBorder="1"/>
    <xf numFmtId="168" fontId="48" fillId="0" borderId="0" xfId="0" applyNumberFormat="1" applyFont="1" applyFill="1" applyBorder="1"/>
    <xf numFmtId="168" fontId="46" fillId="9" borderId="0" xfId="0" applyNumberFormat="1" applyFont="1" applyFill="1" applyBorder="1"/>
    <xf numFmtId="0" fontId="9" fillId="0" borderId="2" xfId="0" applyFont="1" applyBorder="1"/>
    <xf numFmtId="0" fontId="48" fillId="0" borderId="13" xfId="0" applyFont="1" applyBorder="1"/>
    <xf numFmtId="0" fontId="9" fillId="0" borderId="11" xfId="0" applyFont="1" applyBorder="1"/>
    <xf numFmtId="0" fontId="48" fillId="0" borderId="10" xfId="0" applyFont="1" applyBorder="1"/>
    <xf numFmtId="0" fontId="9" fillId="0" borderId="14" xfId="0" applyFont="1" applyBorder="1"/>
    <xf numFmtId="0" fontId="48" fillId="0" borderId="15" xfId="0" applyFont="1" applyBorder="1"/>
    <xf numFmtId="0" fontId="0" fillId="0" borderId="0" xfId="0" applyFill="1" applyAlignment="1" applyProtection="1">
      <alignment horizontal="left"/>
    </xf>
    <xf numFmtId="167" fontId="46" fillId="0" borderId="0" xfId="0" applyNumberFormat="1" applyFont="1" applyFill="1"/>
    <xf numFmtId="171" fontId="51" fillId="0" borderId="0" xfId="4" applyNumberFormat="1" applyFont="1" applyFill="1"/>
    <xf numFmtId="0" fontId="0" fillId="0" borderId="11" xfId="0" applyFill="1" applyBorder="1"/>
    <xf numFmtId="164" fontId="0" fillId="7" borderId="10" xfId="0" applyNumberFormat="1" applyFill="1" applyBorder="1"/>
    <xf numFmtId="1" fontId="0" fillId="6" borderId="0" xfId="0" applyNumberFormat="1" applyFill="1"/>
    <xf numFmtId="167" fontId="0" fillId="6" borderId="0" xfId="1" applyNumberFormat="1" applyFont="1" applyFill="1"/>
    <xf numFmtId="171" fontId="46" fillId="0" borderId="0" xfId="4" applyNumberFormat="1" applyFont="1" applyFill="1" applyBorder="1"/>
    <xf numFmtId="3" fontId="0" fillId="0" borderId="0" xfId="0" applyNumberFormat="1" applyFill="1"/>
    <xf numFmtId="9" fontId="0" fillId="0" borderId="0" xfId="2" applyFont="1"/>
    <xf numFmtId="171" fontId="0" fillId="0" borderId="0" xfId="0" applyNumberFormat="1" applyFill="1"/>
    <xf numFmtId="171" fontId="52" fillId="0" borderId="0" xfId="0" applyNumberFormat="1" applyFont="1" applyFill="1" applyBorder="1"/>
    <xf numFmtId="167" fontId="0" fillId="0" borderId="0" xfId="0" applyNumberFormat="1" applyFill="1"/>
    <xf numFmtId="167" fontId="46" fillId="0" borderId="0" xfId="1" applyNumberFormat="1" applyFont="1" applyFill="1"/>
    <xf numFmtId="0" fontId="0" fillId="2" borderId="0" xfId="0" applyFill="1" applyAlignment="1">
      <alignment horizontal="left"/>
    </xf>
    <xf numFmtId="0" fontId="8" fillId="4" borderId="0" xfId="0" applyFont="1" applyFill="1" applyAlignment="1" applyProtection="1">
      <alignment horizontal="left" wrapText="1"/>
    </xf>
    <xf numFmtId="0" fontId="23" fillId="4" borderId="0" xfId="0" applyFont="1" applyFill="1" applyAlignment="1" applyProtection="1">
      <alignment horizontal="left"/>
    </xf>
    <xf numFmtId="0" fontId="0" fillId="4" borderId="0" xfId="0" applyFill="1" applyAlignment="1">
      <alignment horizontal="left"/>
    </xf>
    <xf numFmtId="0" fontId="0" fillId="4" borderId="0" xfId="0" applyFill="1" applyAlignment="1">
      <alignment horizontal="left" wrapText="1"/>
    </xf>
    <xf numFmtId="169" fontId="8" fillId="41" borderId="1" xfId="2" applyNumberFormat="1" applyFont="1" applyFill="1" applyBorder="1" applyAlignment="1" applyProtection="1">
      <alignment horizontal="center" vertical="center"/>
    </xf>
    <xf numFmtId="169" fontId="23" fillId="41" borderId="5" xfId="1" applyNumberFormat="1" applyFont="1" applyFill="1" applyBorder="1" applyAlignment="1" applyProtection="1">
      <alignment horizontal="center" vertical="center"/>
    </xf>
    <xf numFmtId="169" fontId="23" fillId="4" borderId="1" xfId="1" applyNumberFormat="1" applyFont="1" applyFill="1" applyBorder="1" applyAlignment="1" applyProtection="1">
      <alignment horizontal="center" vertical="center"/>
    </xf>
    <xf numFmtId="169" fontId="8" fillId="41" borderId="3" xfId="2" applyNumberFormat="1" applyFont="1" applyFill="1" applyBorder="1" applyAlignment="1" applyProtection="1">
      <alignment horizontal="center" vertical="center"/>
    </xf>
    <xf numFmtId="169" fontId="78" fillId="0" borderId="0" xfId="0" applyNumberFormat="1" applyFont="1" applyFill="1" applyBorder="1"/>
    <xf numFmtId="175" fontId="48" fillId="0" borderId="0" xfId="0" applyNumberFormat="1" applyFont="1" applyFill="1" applyBorder="1"/>
    <xf numFmtId="0" fontId="48" fillId="0" borderId="0" xfId="0" applyFont="1" applyAlignment="1">
      <alignment horizontal="center" wrapText="1"/>
    </xf>
    <xf numFmtId="176" fontId="78" fillId="0" borderId="0" xfId="1" applyNumberFormat="1" applyFont="1" applyFill="1" applyAlignment="1" applyProtection="1">
      <alignment horizontal="right"/>
    </xf>
    <xf numFmtId="166" fontId="0" fillId="0" borderId="0" xfId="0" applyNumberFormat="1"/>
    <xf numFmtId="177" fontId="48" fillId="0" borderId="0" xfId="0" applyNumberFormat="1" applyFont="1" applyFill="1" applyBorder="1"/>
    <xf numFmtId="168" fontId="0" fillId="0" borderId="0" xfId="0" applyNumberFormat="1"/>
    <xf numFmtId="168" fontId="0" fillId="0" borderId="0" xfId="0" applyNumberFormat="1" applyFill="1" applyBorder="1"/>
    <xf numFmtId="169" fontId="37" fillId="4" borderId="0" xfId="1" applyNumberFormat="1" applyFont="1" applyFill="1" applyBorder="1" applyAlignment="1" applyProtection="1">
      <alignment horizontal="center"/>
    </xf>
    <xf numFmtId="0" fontId="3" fillId="2" borderId="0" xfId="0" applyFont="1" applyFill="1" applyAlignment="1" applyProtection="1">
      <alignment horizontal="left"/>
    </xf>
    <xf numFmtId="0" fontId="0" fillId="4" borderId="0" xfId="0" applyFill="1"/>
    <xf numFmtId="0" fontId="82" fillId="0" borderId="0" xfId="3" applyFont="1" applyAlignment="1" applyProtection="1"/>
    <xf numFmtId="0" fontId="0" fillId="2" borderId="0" xfId="0" applyFill="1" applyProtection="1"/>
    <xf numFmtId="0" fontId="79" fillId="2" borderId="0" xfId="0" applyFont="1" applyFill="1" applyAlignment="1" applyProtection="1">
      <alignment textRotation="135"/>
    </xf>
    <xf numFmtId="0" fontId="80" fillId="2" borderId="0" xfId="0" applyFont="1" applyFill="1" applyProtection="1"/>
    <xf numFmtId="0" fontId="45" fillId="2" borderId="0" xfId="0" applyFont="1" applyFill="1" applyProtection="1"/>
    <xf numFmtId="0" fontId="81" fillId="2" borderId="0" xfId="0" applyFont="1" applyFill="1" applyProtection="1"/>
    <xf numFmtId="0" fontId="43" fillId="3" borderId="0" xfId="0" applyFont="1" applyFill="1" applyProtection="1"/>
    <xf numFmtId="0" fontId="83" fillId="3" borderId="0" xfId="0" applyFont="1" applyFill="1" applyProtection="1"/>
    <xf numFmtId="0" fontId="85" fillId="3" borderId="0" xfId="0" applyFont="1" applyFill="1" applyProtection="1"/>
    <xf numFmtId="0" fontId="86" fillId="3" borderId="0" xfId="0" applyFont="1" applyFill="1" applyProtection="1"/>
    <xf numFmtId="0" fontId="86" fillId="2" borderId="0" xfId="0" applyFont="1" applyFill="1" applyProtection="1"/>
    <xf numFmtId="0" fontId="83" fillId="2" borderId="0" xfId="0" applyFont="1" applyFill="1" applyProtection="1"/>
    <xf numFmtId="0" fontId="0" fillId="2" borderId="0" xfId="0" applyFill="1" applyAlignment="1" applyProtection="1">
      <alignment textRotation="132"/>
    </xf>
    <xf numFmtId="0" fontId="87" fillId="3" borderId="0" xfId="0" applyFont="1" applyFill="1" applyProtection="1"/>
    <xf numFmtId="0" fontId="2" fillId="4" borderId="0" xfId="0" applyFont="1" applyFill="1" applyBorder="1" applyProtection="1"/>
    <xf numFmtId="0" fontId="0" fillId="4" borderId="0" xfId="0" applyFill="1" applyBorder="1"/>
    <xf numFmtId="3" fontId="78" fillId="6" borderId="0" xfId="0" applyNumberFormat="1" applyFont="1" applyFill="1"/>
    <xf numFmtId="0" fontId="21" fillId="2" borderId="1" xfId="0" applyFont="1" applyFill="1" applyBorder="1" applyAlignment="1" applyProtection="1">
      <alignment horizontal="center" vertical="center" wrapText="1"/>
    </xf>
    <xf numFmtId="0" fontId="8" fillId="4" borderId="0" xfId="0" applyFont="1" applyFill="1" applyAlignment="1" applyProtection="1">
      <alignment horizontal="left" wrapText="1"/>
    </xf>
    <xf numFmtId="0" fontId="26" fillId="2" borderId="0" xfId="0" applyFont="1" applyFill="1" applyProtection="1"/>
    <xf numFmtId="0" fontId="11" fillId="2" borderId="0" xfId="0" applyFont="1" applyFill="1" applyAlignment="1" applyProtection="1">
      <alignment horizontal="left"/>
    </xf>
    <xf numFmtId="0" fontId="11" fillId="2" borderId="0" xfId="0" applyFont="1" applyFill="1" applyBorder="1" applyAlignment="1" applyProtection="1">
      <alignment horizontal="left"/>
    </xf>
    <xf numFmtId="0" fontId="21" fillId="4" borderId="4" xfId="0" applyFont="1" applyFill="1" applyBorder="1" applyAlignment="1" applyProtection="1">
      <alignment horizontal="center" vertical="center" wrapText="1"/>
    </xf>
    <xf numFmtId="0" fontId="21" fillId="0" borderId="4" xfId="0" applyFont="1" applyFill="1" applyBorder="1" applyAlignment="1" applyProtection="1">
      <alignment horizontal="center" vertical="center"/>
    </xf>
    <xf numFmtId="168" fontId="8" fillId="2" borderId="1" xfId="1" applyNumberFormat="1"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167" fontId="8" fillId="2" borderId="15" xfId="1" applyNumberFormat="1" applyFont="1" applyFill="1" applyBorder="1" applyAlignment="1" applyProtection="1">
      <alignment horizontal="center" vertical="center"/>
    </xf>
    <xf numFmtId="169" fontId="4" fillId="2" borderId="0" xfId="1" applyNumberFormat="1" applyFont="1" applyFill="1" applyBorder="1" applyAlignment="1" applyProtection="1">
      <alignment horizontal="center" vertical="justify"/>
    </xf>
    <xf numFmtId="3" fontId="8" fillId="2" borderId="8" xfId="1" applyNumberFormat="1" applyFont="1" applyFill="1" applyBorder="1" applyAlignment="1" applyProtection="1">
      <alignment horizontal="center" vertical="center"/>
    </xf>
    <xf numFmtId="169" fontId="8" fillId="2" borderId="0" xfId="1" applyNumberFormat="1" applyFont="1" applyFill="1" applyAlignment="1" applyProtection="1">
      <alignment horizontal="center" vertical="center"/>
    </xf>
    <xf numFmtId="3" fontId="8" fillId="2" borderId="9" xfId="1" applyNumberFormat="1" applyFont="1" applyFill="1" applyBorder="1" applyAlignment="1" applyProtection="1">
      <alignment horizontal="center" vertical="center"/>
    </xf>
    <xf numFmtId="3" fontId="8" fillId="0" borderId="9" xfId="1" applyNumberFormat="1" applyFont="1" applyFill="1" applyBorder="1" applyAlignment="1" applyProtection="1">
      <alignment horizontal="center" vertical="center"/>
    </xf>
    <xf numFmtId="3" fontId="2" fillId="2" borderId="27" xfId="0" applyNumberFormat="1" applyFont="1" applyFill="1" applyBorder="1" applyAlignment="1" applyProtection="1">
      <alignment vertical="center"/>
    </xf>
    <xf numFmtId="3" fontId="8" fillId="2" borderId="27" xfId="0" applyNumberFormat="1" applyFont="1" applyFill="1" applyBorder="1" applyAlignment="1" applyProtection="1">
      <alignment horizontal="center" vertical="center"/>
    </xf>
    <xf numFmtId="0" fontId="2" fillId="2" borderId="4" xfId="0" applyFont="1" applyFill="1" applyBorder="1" applyAlignment="1" applyProtection="1">
      <alignment vertical="center"/>
    </xf>
    <xf numFmtId="0" fontId="31" fillId="2" borderId="5" xfId="0" applyFont="1" applyFill="1" applyBorder="1" applyAlignment="1" applyProtection="1">
      <alignment horizontal="center" vertical="center"/>
    </xf>
    <xf numFmtId="0" fontId="17" fillId="2" borderId="6" xfId="0" applyFont="1" applyFill="1" applyBorder="1" applyAlignment="1" applyProtection="1">
      <alignment vertical="center"/>
    </xf>
    <xf numFmtId="169" fontId="35" fillId="4" borderId="0" xfId="0" applyNumberFormat="1" applyFont="1" applyFill="1" applyBorder="1" applyAlignment="1" applyProtection="1">
      <alignment wrapText="1"/>
    </xf>
    <xf numFmtId="0" fontId="0" fillId="4" borderId="0" xfId="0" applyFill="1" applyAlignment="1" applyProtection="1">
      <alignment wrapText="1"/>
    </xf>
    <xf numFmtId="0" fontId="2" fillId="4" borderId="0" xfId="0" applyFont="1" applyFill="1" applyProtection="1"/>
    <xf numFmtId="2" fontId="19" fillId="4" borderId="0" xfId="1" applyNumberFormat="1" applyFont="1" applyFill="1" applyBorder="1" applyAlignment="1" applyProtection="1">
      <alignment horizontal="center"/>
    </xf>
    <xf numFmtId="1" fontId="8" fillId="4" borderId="0" xfId="0" applyNumberFormat="1" applyFont="1" applyFill="1" applyBorder="1" applyAlignment="1" applyProtection="1">
      <alignment vertical="center"/>
    </xf>
    <xf numFmtId="1" fontId="8" fillId="4" borderId="7" xfId="0" applyNumberFormat="1" applyFont="1" applyFill="1" applyBorder="1" applyAlignment="1" applyProtection="1">
      <alignment vertical="center"/>
    </xf>
    <xf numFmtId="169" fontId="19" fillId="4" borderId="0" xfId="1" applyNumberFormat="1" applyFont="1" applyFill="1" applyBorder="1" applyAlignment="1" applyProtection="1">
      <alignment horizontal="center"/>
    </xf>
    <xf numFmtId="10" fontId="8" fillId="4" borderId="0" xfId="2" applyNumberFormat="1" applyFont="1" applyFill="1" applyBorder="1" applyAlignment="1" applyProtection="1">
      <alignment horizontal="center" vertical="center"/>
    </xf>
    <xf numFmtId="171" fontId="8" fillId="4" borderId="0" xfId="101" applyNumberFormat="1" applyFont="1" applyFill="1" applyBorder="1" applyAlignment="1" applyProtection="1">
      <alignment horizontal="center" vertical="center"/>
    </xf>
    <xf numFmtId="0" fontId="34" fillId="4" borderId="0" xfId="1" applyNumberFormat="1" applyFont="1" applyFill="1" applyBorder="1" applyAlignment="1" applyProtection="1">
      <alignment horizontal="center" vertical="center"/>
    </xf>
    <xf numFmtId="167" fontId="8" fillId="4" borderId="0" xfId="1" applyNumberFormat="1" applyFont="1" applyFill="1" applyAlignment="1" applyProtection="1">
      <alignment horizontal="center" vertical="center"/>
    </xf>
    <xf numFmtId="0" fontId="26" fillId="4" borderId="0" xfId="0" applyFont="1" applyFill="1" applyBorder="1" applyAlignment="1" applyProtection="1">
      <alignment vertical="center" wrapText="1"/>
    </xf>
    <xf numFmtId="171" fontId="8" fillId="4" borderId="29" xfId="101" applyNumberFormat="1" applyFont="1" applyFill="1" applyBorder="1" applyAlignment="1" applyProtection="1">
      <alignment vertical="center" wrapText="1"/>
    </xf>
    <xf numFmtId="0" fontId="26" fillId="4" borderId="0" xfId="0" applyFont="1" applyFill="1" applyBorder="1" applyAlignment="1" applyProtection="1">
      <alignment horizontal="center" wrapText="1"/>
    </xf>
    <xf numFmtId="3" fontId="8" fillId="4" borderId="28" xfId="0" applyNumberFormat="1" applyFont="1" applyFill="1" applyBorder="1" applyAlignment="1" applyProtection="1">
      <alignment horizontal="center" vertical="center"/>
    </xf>
    <xf numFmtId="3" fontId="8" fillId="4" borderId="9" xfId="1" applyNumberFormat="1" applyFont="1" applyFill="1" applyBorder="1" applyAlignment="1" applyProtection="1">
      <alignment horizontal="center" vertical="center"/>
    </xf>
    <xf numFmtId="10" fontId="8" fillId="4" borderId="9" xfId="2" applyNumberFormat="1" applyFont="1" applyFill="1" applyBorder="1" applyAlignment="1" applyProtection="1">
      <alignment horizontal="center" vertical="center"/>
    </xf>
    <xf numFmtId="171" fontId="8" fillId="4" borderId="29" xfId="101" applyNumberFormat="1" applyFont="1" applyFill="1" applyBorder="1" applyAlignment="1" applyProtection="1">
      <alignment horizontal="center" vertical="center"/>
    </xf>
    <xf numFmtId="1" fontId="8" fillId="4" borderId="9" xfId="1" applyNumberFormat="1" applyFont="1" applyFill="1" applyBorder="1" applyAlignment="1" applyProtection="1">
      <alignment horizontal="center" vertical="center"/>
    </xf>
    <xf numFmtId="0" fontId="15" fillId="4" borderId="0" xfId="0" applyFont="1" applyFill="1" applyBorder="1" applyAlignment="1" applyProtection="1">
      <alignment horizontal="left" vertical="center"/>
    </xf>
    <xf numFmtId="0" fontId="15" fillId="4" borderId="0" xfId="0" applyFont="1" applyFill="1" applyAlignment="1" applyProtection="1">
      <alignment horizontal="left" vertical="center"/>
    </xf>
    <xf numFmtId="0" fontId="15" fillId="4" borderId="0" xfId="0" applyFont="1" applyFill="1" applyBorder="1" applyAlignment="1" applyProtection="1">
      <alignment vertical="center" wrapText="1"/>
    </xf>
    <xf numFmtId="0" fontId="21" fillId="4" borderId="0" xfId="0" applyFont="1" applyFill="1" applyBorder="1" applyAlignment="1" applyProtection="1">
      <alignment vertical="center" wrapText="1"/>
    </xf>
    <xf numFmtId="9" fontId="8" fillId="2" borderId="34" xfId="2" applyFont="1" applyFill="1" applyBorder="1" applyAlignment="1" applyProtection="1">
      <alignment horizontal="center" vertical="center"/>
    </xf>
    <xf numFmtId="168" fontId="8" fillId="2" borderId="4" xfId="1" applyNumberFormat="1" applyFont="1" applyFill="1" applyBorder="1" applyAlignment="1" applyProtection="1">
      <alignment horizontal="center" vertical="center"/>
    </xf>
    <xf numFmtId="168" fontId="8" fillId="2" borderId="5" xfId="1" applyNumberFormat="1" applyFont="1" applyFill="1" applyBorder="1" applyAlignment="1" applyProtection="1">
      <alignment horizontal="center" vertical="center"/>
    </xf>
    <xf numFmtId="168" fontId="8" fillId="2" borderId="6" xfId="1" applyNumberFormat="1" applyFont="1" applyFill="1" applyBorder="1" applyAlignment="1" applyProtection="1">
      <alignment horizontal="center" vertical="center"/>
    </xf>
    <xf numFmtId="9" fontId="8" fillId="2" borderId="1" xfId="2" applyFont="1" applyFill="1" applyBorder="1" applyAlignment="1" applyProtection="1">
      <alignment horizontal="center" vertical="center"/>
    </xf>
    <xf numFmtId="167" fontId="8" fillId="2" borderId="1" xfId="2" applyNumberFormat="1"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2" fillId="2" borderId="5" xfId="0" applyFont="1" applyFill="1" applyBorder="1" applyProtection="1"/>
    <xf numFmtId="0" fontId="2" fillId="2" borderId="6" xfId="0" applyFont="1" applyFill="1" applyBorder="1" applyAlignment="1" applyProtection="1">
      <alignment vertical="center"/>
    </xf>
    <xf numFmtId="0" fontId="17" fillId="2" borderId="6" xfId="0" applyFont="1" applyFill="1" applyBorder="1" applyAlignment="1" applyProtection="1">
      <alignment horizontal="center" vertical="center"/>
    </xf>
    <xf numFmtId="3" fontId="34" fillId="3" borderId="9" xfId="1" applyNumberFormat="1" applyFont="1" applyFill="1" applyBorder="1" applyAlignment="1" applyProtection="1">
      <alignment horizontal="center" vertical="center"/>
      <protection locked="0"/>
    </xf>
    <xf numFmtId="3" fontId="8" fillId="2" borderId="0" xfId="1" applyNumberFormat="1" applyFont="1" applyFill="1" applyAlignment="1" applyProtection="1">
      <alignment horizontal="center" vertical="center"/>
    </xf>
    <xf numFmtId="3" fontId="8" fillId="2" borderId="0" xfId="0" applyNumberFormat="1" applyFont="1" applyFill="1" applyAlignment="1" applyProtection="1">
      <alignment horizontal="center" vertical="center"/>
    </xf>
    <xf numFmtId="3" fontId="2" fillId="2" borderId="0" xfId="0" applyNumberFormat="1" applyFont="1" applyFill="1" applyAlignment="1" applyProtection="1">
      <alignment horizontal="center" vertical="center"/>
    </xf>
    <xf numFmtId="3" fontId="34" fillId="2" borderId="0" xfId="1" applyNumberFormat="1" applyFont="1" applyFill="1" applyBorder="1" applyAlignment="1" applyProtection="1">
      <alignment horizontal="center" vertical="center"/>
    </xf>
    <xf numFmtId="171" fontId="2" fillId="4" borderId="0" xfId="0" applyNumberFormat="1" applyFont="1" applyFill="1" applyProtection="1"/>
    <xf numFmtId="170" fontId="2" fillId="4" borderId="0" xfId="0" applyNumberFormat="1" applyFont="1" applyFill="1" applyBorder="1" applyProtection="1"/>
    <xf numFmtId="171" fontId="2" fillId="2" borderId="0" xfId="0" applyNumberFormat="1" applyFont="1" applyFill="1" applyProtection="1"/>
    <xf numFmtId="9" fontId="8" fillId="2" borderId="1" xfId="2" applyNumberFormat="1" applyFont="1" applyFill="1" applyBorder="1" applyAlignment="1" applyProtection="1">
      <alignment horizontal="center" vertical="center"/>
    </xf>
    <xf numFmtId="10" fontId="0" fillId="0" borderId="0" xfId="2" applyNumberFormat="1" applyFont="1"/>
    <xf numFmtId="3" fontId="37" fillId="4" borderId="0" xfId="1" applyNumberFormat="1" applyFont="1" applyFill="1" applyBorder="1" applyAlignment="1" applyProtection="1">
      <alignment horizontal="center"/>
    </xf>
    <xf numFmtId="170" fontId="37" fillId="2" borderId="0" xfId="1" applyNumberFormat="1" applyFont="1" applyFill="1" applyBorder="1" applyAlignment="1" applyProtection="1">
      <alignment horizontal="center"/>
    </xf>
    <xf numFmtId="0" fontId="89" fillId="2" borderId="0" xfId="0" applyFont="1" applyFill="1" applyBorder="1" applyProtection="1"/>
    <xf numFmtId="0" fontId="5" fillId="2" borderId="0" xfId="0" applyFont="1" applyFill="1" applyBorder="1" applyAlignment="1" applyProtection="1">
      <alignment wrapText="1"/>
    </xf>
    <xf numFmtId="167" fontId="90" fillId="2" borderId="0" xfId="1" applyNumberFormat="1" applyFont="1" applyFill="1" applyBorder="1"/>
    <xf numFmtId="0" fontId="4" fillId="2" borderId="0" xfId="0" applyFont="1" applyFill="1" applyBorder="1" applyAlignment="1" applyProtection="1">
      <alignment horizontal="center"/>
    </xf>
    <xf numFmtId="0" fontId="44" fillId="2" borderId="0" xfId="0" applyFont="1" applyFill="1" applyBorder="1" applyProtection="1"/>
    <xf numFmtId="0" fontId="91" fillId="2" borderId="0" xfId="0" applyFont="1" applyFill="1" applyBorder="1" applyAlignment="1" applyProtection="1">
      <alignment horizontal="center" vertical="center"/>
    </xf>
    <xf numFmtId="168" fontId="4" fillId="4" borderId="5" xfId="1" applyNumberFormat="1" applyFont="1" applyFill="1" applyBorder="1" applyAlignment="1" applyProtection="1">
      <alignment horizontal="center" vertical="center"/>
    </xf>
    <xf numFmtId="0" fontId="48" fillId="0" borderId="11" xfId="0" applyFont="1" applyFill="1" applyBorder="1" applyAlignment="1"/>
    <xf numFmtId="0" fontId="48" fillId="0" borderId="0" xfId="0" applyFont="1" applyFill="1" applyAlignment="1"/>
    <xf numFmtId="3" fontId="37" fillId="4" borderId="0" xfId="0" applyNumberFormat="1" applyFont="1" applyFill="1" applyBorder="1" applyProtection="1"/>
    <xf numFmtId="0" fontId="9" fillId="0" borderId="0" xfId="0" applyFont="1" applyAlignment="1">
      <alignment wrapText="1"/>
    </xf>
    <xf numFmtId="9" fontId="19" fillId="4" borderId="0" xfId="2" applyFont="1" applyFill="1" applyBorder="1" applyAlignment="1" applyProtection="1">
      <alignment horizontal="center"/>
    </xf>
    <xf numFmtId="0" fontId="23" fillId="4" borderId="0" xfId="0" applyFont="1" applyFill="1" applyAlignment="1">
      <alignment vertical="center"/>
    </xf>
    <xf numFmtId="0" fontId="23" fillId="4" borderId="9" xfId="0" applyFont="1" applyFill="1" applyBorder="1" applyAlignment="1">
      <alignment vertical="center" wrapText="1"/>
    </xf>
    <xf numFmtId="0" fontId="92" fillId="4" borderId="0" xfId="0" applyFont="1" applyFill="1" applyAlignment="1">
      <alignment vertical="center"/>
    </xf>
    <xf numFmtId="0" fontId="23" fillId="4" borderId="0" xfId="0" applyFont="1" applyFill="1" applyBorder="1" applyAlignment="1">
      <alignment vertical="center" wrapText="1"/>
    </xf>
    <xf numFmtId="0" fontId="8" fillId="4" borderId="1" xfId="0" applyFont="1" applyFill="1" applyBorder="1" applyAlignment="1">
      <alignment vertical="center" wrapText="1"/>
    </xf>
    <xf numFmtId="3" fontId="8" fillId="4" borderId="1" xfId="0" applyNumberFormat="1" applyFont="1" applyFill="1" applyBorder="1" applyAlignment="1">
      <alignment vertical="center" wrapText="1"/>
    </xf>
    <xf numFmtId="0" fontId="8" fillId="4" borderId="39" xfId="0" applyFont="1" applyFill="1" applyBorder="1" applyAlignment="1">
      <alignment vertical="center" wrapText="1"/>
    </xf>
    <xf numFmtId="3" fontId="8" fillId="4" borderId="39" xfId="0" applyNumberFormat="1" applyFont="1" applyFill="1" applyBorder="1" applyAlignment="1">
      <alignment vertical="center" wrapText="1"/>
    </xf>
    <xf numFmtId="16" fontId="8" fillId="4" borderId="32" xfId="0" quotePrefix="1" applyNumberFormat="1" applyFont="1" applyFill="1" applyBorder="1" applyAlignment="1">
      <alignment horizontal="center" vertical="center" wrapText="1"/>
    </xf>
    <xf numFmtId="16" fontId="8" fillId="4" borderId="42" xfId="0" quotePrefix="1" applyNumberFormat="1" applyFont="1" applyFill="1" applyBorder="1" applyAlignment="1">
      <alignment horizontal="center" vertical="center" wrapText="1"/>
    </xf>
    <xf numFmtId="16" fontId="8" fillId="4" borderId="15" xfId="0" quotePrefix="1" applyNumberFormat="1" applyFont="1" applyFill="1" applyBorder="1" applyAlignment="1">
      <alignment horizontal="center" vertical="center" wrapText="1"/>
    </xf>
    <xf numFmtId="3" fontId="8" fillId="4" borderId="6" xfId="0" applyNumberFormat="1" applyFont="1" applyFill="1" applyBorder="1" applyAlignment="1">
      <alignment vertical="center" wrapText="1"/>
    </xf>
    <xf numFmtId="0" fontId="8" fillId="4" borderId="6" xfId="0" applyFont="1" applyFill="1" applyBorder="1" applyAlignment="1">
      <alignment vertical="center" wrapText="1"/>
    </xf>
    <xf numFmtId="0" fontId="8" fillId="4" borderId="47" xfId="0" applyFont="1" applyFill="1" applyBorder="1" applyAlignment="1">
      <alignment vertical="center" wrapText="1"/>
    </xf>
    <xf numFmtId="3" fontId="8" fillId="4" borderId="48" xfId="0" applyNumberFormat="1" applyFont="1" applyFill="1" applyBorder="1" applyAlignment="1">
      <alignment horizontal="right" vertical="center" wrapText="1"/>
    </xf>
    <xf numFmtId="0" fontId="8" fillId="4" borderId="48" xfId="0" applyFont="1" applyFill="1" applyBorder="1" applyAlignment="1">
      <alignment horizontal="right" vertical="center" wrapText="1"/>
    </xf>
    <xf numFmtId="0" fontId="23" fillId="4" borderId="47" xfId="0" applyFont="1" applyFill="1" applyBorder="1" applyAlignment="1">
      <alignment horizontal="right" vertical="center" wrapText="1"/>
    </xf>
    <xf numFmtId="169" fontId="23" fillId="4" borderId="40" xfId="0" applyNumberFormat="1" applyFont="1" applyFill="1" applyBorder="1" applyAlignment="1">
      <alignment vertical="center" wrapText="1"/>
    </xf>
    <xf numFmtId="0" fontId="23" fillId="4" borderId="45"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4" xfId="0" applyFont="1" applyFill="1" applyBorder="1" applyAlignment="1">
      <alignment horizontal="center" vertical="center" wrapText="1"/>
    </xf>
    <xf numFmtId="164" fontId="8" fillId="4" borderId="48" xfId="0" applyNumberFormat="1" applyFont="1" applyFill="1" applyBorder="1" applyAlignment="1">
      <alignment horizontal="right" vertical="center" wrapText="1"/>
    </xf>
    <xf numFmtId="164" fontId="8" fillId="4" borderId="49" xfId="0" applyNumberFormat="1" applyFont="1" applyFill="1" applyBorder="1" applyAlignment="1">
      <alignment horizontal="right" vertical="center" wrapText="1"/>
    </xf>
    <xf numFmtId="0" fontId="8" fillId="4" borderId="50" xfId="0" applyFont="1" applyFill="1" applyBorder="1" applyAlignment="1">
      <alignment horizontal="right" vertical="center" wrapText="1"/>
    </xf>
    <xf numFmtId="0" fontId="8" fillId="4" borderId="13" xfId="0" applyFont="1" applyFill="1" applyBorder="1" applyAlignment="1">
      <alignment vertical="center" wrapText="1"/>
    </xf>
    <xf numFmtId="0" fontId="8" fillId="4" borderId="3" xfId="0" applyFont="1" applyFill="1" applyBorder="1" applyAlignment="1">
      <alignment vertical="center" wrapText="1"/>
    </xf>
    <xf numFmtId="0" fontId="8" fillId="4" borderId="51" xfId="0" applyFont="1" applyFill="1" applyBorder="1" applyAlignment="1">
      <alignment vertical="center" wrapText="1"/>
    </xf>
    <xf numFmtId="0" fontId="23" fillId="4" borderId="27" xfId="0" applyFont="1" applyFill="1" applyBorder="1" applyAlignment="1">
      <alignment vertical="center" wrapText="1"/>
    </xf>
    <xf numFmtId="0" fontId="8" fillId="4" borderId="12" xfId="0" applyFont="1" applyFill="1" applyBorder="1" applyAlignment="1">
      <alignment vertical="center" wrapText="1"/>
    </xf>
    <xf numFmtId="0" fontId="8" fillId="4" borderId="5" xfId="0" applyFont="1" applyFill="1" applyBorder="1" applyAlignment="1">
      <alignment vertical="center" wrapText="1"/>
    </xf>
    <xf numFmtId="0" fontId="8" fillId="4" borderId="26" xfId="0" applyFont="1" applyFill="1" applyBorder="1" applyAlignment="1">
      <alignment vertical="center" wrapText="1"/>
    </xf>
    <xf numFmtId="0" fontId="93" fillId="4" borderId="52" xfId="3" applyFont="1" applyFill="1" applyBorder="1" applyAlignment="1" applyProtection="1">
      <alignment vertical="center" wrapText="1"/>
    </xf>
    <xf numFmtId="0" fontId="93" fillId="4" borderId="5" xfId="3" applyFont="1" applyFill="1" applyBorder="1" applyAlignment="1" applyProtection="1">
      <alignment vertical="center" wrapText="1"/>
    </xf>
    <xf numFmtId="0" fontId="8" fillId="4" borderId="52" xfId="0" applyFont="1" applyFill="1" applyBorder="1" applyAlignment="1">
      <alignment vertical="center" wrapText="1"/>
    </xf>
    <xf numFmtId="0" fontId="0" fillId="4" borderId="53" xfId="0" applyFill="1" applyBorder="1"/>
    <xf numFmtId="0" fontId="9" fillId="4" borderId="48" xfId="0" applyFont="1" applyFill="1" applyBorder="1" applyAlignment="1">
      <alignment horizontal="center"/>
    </xf>
    <xf numFmtId="0" fontId="9" fillId="4" borderId="49" xfId="0" applyFont="1" applyFill="1" applyBorder="1" applyAlignment="1">
      <alignment horizontal="center"/>
    </xf>
    <xf numFmtId="169" fontId="95" fillId="4" borderId="46" xfId="0" applyNumberFormat="1" applyFont="1" applyFill="1" applyBorder="1" applyAlignment="1">
      <alignment vertical="center" wrapText="1"/>
    </xf>
    <xf numFmtId="169" fontId="95" fillId="4" borderId="40" xfId="0" applyNumberFormat="1" applyFont="1" applyFill="1" applyBorder="1" applyAlignment="1">
      <alignment vertical="center" wrapText="1"/>
    </xf>
    <xf numFmtId="169" fontId="95" fillId="4" borderId="41" xfId="0" applyNumberFormat="1" applyFont="1" applyFill="1" applyBorder="1" applyAlignment="1">
      <alignment vertical="center" wrapText="1"/>
    </xf>
    <xf numFmtId="0" fontId="13" fillId="4" borderId="0" xfId="3" applyFill="1" applyAlignment="1" applyProtection="1"/>
    <xf numFmtId="0" fontId="46" fillId="0" borderId="0" xfId="0" applyFont="1" applyBorder="1"/>
    <xf numFmtId="0" fontId="48" fillId="6" borderId="0" xfId="0" applyFont="1" applyFill="1" applyBorder="1" applyAlignment="1">
      <alignment horizontal="center" wrapText="1"/>
    </xf>
    <xf numFmtId="178" fontId="0" fillId="0" borderId="0" xfId="0" applyNumberFormat="1" applyBorder="1"/>
    <xf numFmtId="0" fontId="9" fillId="0" borderId="0" xfId="0" applyFont="1" applyBorder="1"/>
    <xf numFmtId="167" fontId="0" fillId="0" borderId="0" xfId="1" applyNumberFormat="1" applyFont="1" applyFill="1" applyBorder="1"/>
    <xf numFmtId="3" fontId="0" fillId="0" borderId="0" xfId="0" applyNumberFormat="1" applyBorder="1"/>
    <xf numFmtId="179" fontId="46" fillId="0" borderId="0" xfId="0" applyNumberFormat="1" applyFont="1" applyFill="1"/>
    <xf numFmtId="0" fontId="48" fillId="0" borderId="0" xfId="0" applyFont="1" applyFill="1" applyBorder="1" applyAlignment="1"/>
    <xf numFmtId="169" fontId="9" fillId="7" borderId="10" xfId="0" applyNumberFormat="1" applyFont="1" applyFill="1" applyBorder="1"/>
    <xf numFmtId="169" fontId="98" fillId="7" borderId="10" xfId="0" applyNumberFormat="1" applyFont="1" applyFill="1" applyBorder="1"/>
    <xf numFmtId="169" fontId="9" fillId="0" borderId="10" xfId="0" applyNumberFormat="1" applyFont="1" applyFill="1" applyBorder="1"/>
    <xf numFmtId="0" fontId="99" fillId="2" borderId="0" xfId="0" applyFont="1" applyFill="1" applyAlignment="1" applyProtection="1">
      <alignment vertical="top"/>
    </xf>
    <xf numFmtId="0" fontId="97" fillId="3" borderId="0" xfId="3" applyFont="1" applyFill="1" applyAlignment="1" applyProtection="1">
      <alignment horizontal="center"/>
    </xf>
    <xf numFmtId="0" fontId="84" fillId="3" borderId="0" xfId="3" applyFont="1" applyFill="1" applyAlignment="1" applyProtection="1">
      <alignment horizontal="center"/>
      <protection locked="0"/>
    </xf>
    <xf numFmtId="0" fontId="26" fillId="2" borderId="0" xfId="0" applyFont="1" applyFill="1" applyBorder="1" applyAlignment="1" applyProtection="1">
      <alignment horizontal="left" vertical="top" wrapText="1"/>
    </xf>
    <xf numFmtId="0" fontId="94" fillId="4" borderId="33" xfId="0" applyFont="1" applyFill="1" applyBorder="1" applyAlignment="1">
      <alignment horizontal="left" vertical="center" wrapText="1"/>
    </xf>
    <xf numFmtId="0" fontId="94" fillId="4" borderId="31" xfId="0" applyFont="1" applyFill="1" applyBorder="1" applyAlignment="1">
      <alignment horizontal="left" vertical="center" wrapText="1"/>
    </xf>
    <xf numFmtId="0" fontId="94" fillId="4" borderId="30" xfId="0" applyFont="1" applyFill="1" applyBorder="1" applyAlignment="1">
      <alignment horizontal="left" vertical="center" wrapText="1"/>
    </xf>
    <xf numFmtId="0" fontId="94" fillId="4" borderId="37" xfId="0" applyFont="1" applyFill="1" applyBorder="1" applyAlignment="1">
      <alignment horizontal="left" vertical="center" wrapText="1"/>
    </xf>
    <xf numFmtId="0" fontId="94" fillId="4" borderId="0" xfId="0" applyFont="1" applyFill="1" applyBorder="1" applyAlignment="1">
      <alignment horizontal="left" vertical="center" wrapText="1"/>
    </xf>
    <xf numFmtId="0" fontId="94" fillId="4" borderId="7" xfId="0" applyFont="1" applyFill="1" applyBorder="1" applyAlignment="1">
      <alignment horizontal="left" vertical="center" wrapText="1"/>
    </xf>
    <xf numFmtId="0" fontId="94" fillId="4" borderId="38" xfId="0" applyFont="1" applyFill="1" applyBorder="1" applyAlignment="1">
      <alignment horizontal="left" vertical="center" wrapText="1"/>
    </xf>
    <xf numFmtId="0" fontId="94" fillId="4" borderId="35" xfId="0" applyFont="1" applyFill="1" applyBorder="1" applyAlignment="1">
      <alignment horizontal="left" vertical="center" wrapText="1"/>
    </xf>
    <xf numFmtId="0" fontId="94" fillId="4" borderId="36" xfId="0" applyFont="1" applyFill="1" applyBorder="1" applyAlignment="1">
      <alignment horizontal="left" vertical="center" wrapText="1"/>
    </xf>
    <xf numFmtId="169" fontId="24" fillId="2" borderId="0" xfId="0" applyNumberFormat="1" applyFont="1" applyFill="1" applyBorder="1" applyAlignment="1" applyProtection="1">
      <alignment horizontal="center"/>
    </xf>
    <xf numFmtId="0" fontId="21" fillId="2" borderId="4"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 xfId="0" applyFont="1" applyFill="1" applyBorder="1" applyAlignment="1" applyProtection="1">
      <alignment horizontal="center" vertical="center" wrapText="1"/>
    </xf>
    <xf numFmtId="0" fontId="3" fillId="2" borderId="0" xfId="0" applyFont="1" applyFill="1" applyAlignment="1" applyProtection="1">
      <alignment horizontal="left"/>
    </xf>
    <xf numFmtId="0" fontId="7" fillId="3" borderId="0" xfId="0" applyFont="1" applyFill="1" applyAlignment="1" applyProtection="1">
      <alignment horizontal="center" vertical="center"/>
      <protection locked="0"/>
    </xf>
    <xf numFmtId="0" fontId="8" fillId="4" borderId="0" xfId="0" applyFont="1" applyFill="1" applyAlignment="1" applyProtection="1">
      <alignment horizontal="center"/>
    </xf>
    <xf numFmtId="0" fontId="8" fillId="4" borderId="0" xfId="0" applyFont="1" applyFill="1" applyAlignment="1" applyProtection="1">
      <alignment horizontal="center" vertical="center"/>
    </xf>
    <xf numFmtId="0" fontId="22" fillId="0" borderId="1" xfId="0" applyFont="1" applyFill="1" applyBorder="1" applyAlignment="1" applyProtection="1">
      <alignment horizontal="center" vertical="center"/>
    </xf>
    <xf numFmtId="0" fontId="23" fillId="4" borderId="0" xfId="0" applyFont="1" applyFill="1" applyAlignment="1" applyProtection="1">
      <alignment horizontal="left" wrapText="1"/>
    </xf>
    <xf numFmtId="0" fontId="23" fillId="0" borderId="0" xfId="0" applyFont="1" applyFill="1" applyAlignment="1" applyProtection="1">
      <alignment horizontal="left" wrapText="1"/>
    </xf>
    <xf numFmtId="0" fontId="22" fillId="4" borderId="0" xfId="0" applyFont="1" applyFill="1" applyBorder="1" applyAlignment="1" applyProtection="1">
      <alignment horizontal="center" vertical="center"/>
    </xf>
    <xf numFmtId="0" fontId="10" fillId="2" borderId="0" xfId="0" applyFont="1" applyFill="1" applyBorder="1" applyAlignment="1" applyProtection="1">
      <alignment horizontal="center"/>
    </xf>
    <xf numFmtId="0" fontId="15" fillId="4" borderId="0" xfId="0" applyFont="1" applyFill="1" applyAlignment="1">
      <alignment horizontal="left" vertical="top" wrapText="1"/>
    </xf>
    <xf numFmtId="0" fontId="15" fillId="4" borderId="7" xfId="0" applyFont="1" applyFill="1" applyBorder="1" applyAlignment="1">
      <alignment horizontal="left" vertical="top" wrapText="1"/>
    </xf>
    <xf numFmtId="0" fontId="15" fillId="4" borderId="0" xfId="0" applyFont="1" applyFill="1" applyAlignment="1" applyProtection="1">
      <alignment horizontal="left" vertical="center"/>
    </xf>
    <xf numFmtId="0" fontId="8" fillId="0" borderId="0" xfId="0" applyFont="1" applyFill="1" applyAlignment="1" applyProtection="1">
      <alignment horizontal="left" wrapText="1"/>
    </xf>
    <xf numFmtId="0" fontId="32" fillId="4" borderId="0" xfId="0" applyFont="1" applyFill="1" applyAlignment="1" applyProtection="1">
      <alignment horizontal="left" vertical="center" wrapText="1"/>
    </xf>
    <xf numFmtId="0" fontId="0" fillId="4" borderId="7" xfId="0" applyFill="1" applyBorder="1" applyAlignment="1">
      <alignment horizontal="left" vertical="center" wrapText="1"/>
    </xf>
    <xf numFmtId="0" fontId="15" fillId="0" borderId="0" xfId="0" applyFont="1" applyAlignment="1">
      <alignment horizontal="left" vertical="top" wrapText="1"/>
    </xf>
    <xf numFmtId="0" fontId="15" fillId="0" borderId="7" xfId="0" applyFont="1" applyBorder="1" applyAlignment="1">
      <alignment horizontal="left" vertical="top" wrapText="1"/>
    </xf>
    <xf numFmtId="0" fontId="15" fillId="2" borderId="0" xfId="0" applyFont="1" applyFill="1" applyAlignment="1" applyProtection="1">
      <alignment horizontal="left" vertical="center" wrapText="1"/>
    </xf>
    <xf numFmtId="0" fontId="15" fillId="2" borderId="7" xfId="0" applyFont="1" applyFill="1" applyBorder="1" applyAlignment="1" applyProtection="1">
      <alignment horizontal="left" vertical="center" wrapText="1"/>
    </xf>
    <xf numFmtId="0" fontId="23" fillId="4" borderId="0" xfId="0" applyFont="1" applyFill="1" applyAlignment="1" applyProtection="1">
      <alignment horizontal="left"/>
    </xf>
    <xf numFmtId="0" fontId="0" fillId="4" borderId="0" xfId="0" applyFill="1" applyAlignment="1">
      <alignment horizontal="left"/>
    </xf>
    <xf numFmtId="0" fontId="0" fillId="4" borderId="0" xfId="0" applyFill="1" applyAlignment="1">
      <alignment horizontal="left" wrapText="1"/>
    </xf>
    <xf numFmtId="0" fontId="8" fillId="4" borderId="0" xfId="0" applyFont="1" applyFill="1" applyAlignment="1" applyProtection="1">
      <alignment horizontal="left" wrapText="1"/>
    </xf>
    <xf numFmtId="0" fontId="15" fillId="4" borderId="0" xfId="0" applyFont="1" applyFill="1" applyBorder="1" applyAlignment="1" applyProtection="1">
      <alignment horizontal="left" vertical="center" wrapText="1"/>
    </xf>
    <xf numFmtId="0" fontId="7" fillId="3" borderId="0" xfId="0" applyNumberFormat="1" applyFont="1" applyFill="1" applyAlignment="1" applyProtection="1">
      <alignment horizontal="center"/>
      <protection locked="0"/>
    </xf>
    <xf numFmtId="0" fontId="40" fillId="2" borderId="0" xfId="0" applyFont="1" applyFill="1" applyAlignment="1" applyProtection="1">
      <alignment horizontal="center" wrapText="1"/>
    </xf>
    <xf numFmtId="0" fontId="40" fillId="2" borderId="0" xfId="0" applyFont="1" applyFill="1" applyBorder="1" applyAlignment="1" applyProtection="1">
      <alignment horizontal="center" wrapText="1"/>
    </xf>
    <xf numFmtId="0" fontId="0" fillId="0" borderId="0" xfId="0" applyAlignment="1" applyProtection="1">
      <alignment wrapText="1"/>
    </xf>
    <xf numFmtId="0" fontId="21" fillId="2" borderId="0" xfId="0" applyFont="1" applyFill="1" applyBorder="1" applyAlignment="1" applyProtection="1">
      <alignment horizontal="center" wrapText="1"/>
    </xf>
    <xf numFmtId="0" fontId="21" fillId="2" borderId="7" xfId="0" applyFont="1" applyFill="1" applyBorder="1" applyAlignment="1" applyProtection="1">
      <alignment horizontal="center" wrapText="1"/>
    </xf>
    <xf numFmtId="0" fontId="21" fillId="2" borderId="0" xfId="0" applyFont="1" applyFill="1" applyAlignment="1" applyProtection="1">
      <alignment horizontal="center" wrapText="1"/>
    </xf>
    <xf numFmtId="0" fontId="21" fillId="2" borderId="0" xfId="0" applyFont="1" applyFill="1" applyAlignment="1" applyProtection="1">
      <alignment horizontal="center"/>
    </xf>
    <xf numFmtId="0" fontId="21" fillId="2" borderId="7" xfId="0" applyFont="1" applyFill="1" applyBorder="1" applyAlignment="1" applyProtection="1">
      <alignment horizontal="center"/>
    </xf>
    <xf numFmtId="1" fontId="8" fillId="2" borderId="35" xfId="1" applyNumberFormat="1" applyFont="1" applyFill="1" applyBorder="1" applyAlignment="1" applyProtection="1">
      <alignment horizontal="center" vertical="center"/>
    </xf>
    <xf numFmtId="0" fontId="48" fillId="0" borderId="0" xfId="0" applyFont="1" applyFill="1" applyAlignment="1">
      <alignment horizontal="center"/>
    </xf>
    <xf numFmtId="167" fontId="48" fillId="6" borderId="0" xfId="1" applyNumberFormat="1" applyFont="1" applyFill="1" applyAlignment="1">
      <alignment horizontal="center"/>
    </xf>
    <xf numFmtId="0" fontId="48" fillId="6" borderId="0" xfId="0" applyFont="1" applyFill="1" applyAlignment="1">
      <alignment horizontal="center"/>
    </xf>
    <xf numFmtId="0" fontId="48" fillId="0" borderId="0" xfId="0" applyFont="1" applyAlignment="1">
      <alignment horizontal="center"/>
    </xf>
  </cellXfs>
  <cellStyles count="102">
    <cellStyle name="%" xfId="5"/>
    <cellStyle name="20% - Accent1 2" xfId="6"/>
    <cellStyle name="20% - Accent2 2" xfId="7"/>
    <cellStyle name="20% - Accent3 2" xfId="8"/>
    <cellStyle name="20% - Accent4 2" xfId="9"/>
    <cellStyle name="20% - Accent5 2" xfId="10"/>
    <cellStyle name="20% - Accent6 2" xfId="11"/>
    <cellStyle name="40% - Accent1 2" xfId="12"/>
    <cellStyle name="40% - Accent2 2" xfId="13"/>
    <cellStyle name="40% - Accent3 2" xfId="14"/>
    <cellStyle name="40% - Accent4 2" xfId="15"/>
    <cellStyle name="40% - Accent5 2" xfId="16"/>
    <cellStyle name="40% - Accent6 2" xfId="17"/>
    <cellStyle name="60% - Accent1 2" xfId="18"/>
    <cellStyle name="60% - Accent2 2" xfId="19"/>
    <cellStyle name="60% - Accent3 2" xfId="20"/>
    <cellStyle name="60% - Accent4 2" xfId="21"/>
    <cellStyle name="60% - Accent5 2" xfId="22"/>
    <cellStyle name="60% - Accent6 2" xfId="23"/>
    <cellStyle name="Accent1 2" xfId="24"/>
    <cellStyle name="Accent2 2" xfId="25"/>
    <cellStyle name="Accent3 2" xfId="26"/>
    <cellStyle name="Accent4 2" xfId="27"/>
    <cellStyle name="Accent5 2" xfId="28"/>
    <cellStyle name="Accent6 2" xfId="29"/>
    <cellStyle name="avt31l" xfId="30"/>
    <cellStyle name="Bad 2" xfId="31"/>
    <cellStyle name="Calculation 2" xfId="32"/>
    <cellStyle name="CellBACode" xfId="33"/>
    <cellStyle name="CellBAName" xfId="34"/>
    <cellStyle name="CellMCCode" xfId="35"/>
    <cellStyle name="CellMCName" xfId="36"/>
    <cellStyle name="CellNationCode" xfId="37"/>
    <cellStyle name="CellNationName" xfId="38"/>
    <cellStyle name="CellRegionCode" xfId="39"/>
    <cellStyle name="CellRegionName" xfId="40"/>
    <cellStyle name="CellUACode" xfId="41"/>
    <cellStyle name="CellUAName" xfId="42"/>
    <cellStyle name="Check Cell 2" xfId="43"/>
    <cellStyle name="Comma" xfId="1" builtinId="3"/>
    <cellStyle name="Comma 2" xfId="44"/>
    <cellStyle name="Comma 2 2" xfId="45"/>
    <cellStyle name="Comma 3" xfId="46"/>
    <cellStyle name="Comma 4" xfId="47"/>
    <cellStyle name="Comma 5" xfId="48"/>
    <cellStyle name="Comma 6" xfId="49"/>
    <cellStyle name="Comma 7" xfId="50"/>
    <cellStyle name="Comma 8" xfId="51"/>
    <cellStyle name="Comma 8 2" xfId="52"/>
    <cellStyle name="Comma 9" xfId="53"/>
    <cellStyle name="Currency" xfId="101" builtinId="4"/>
    <cellStyle name="Currency 2" xfId="4"/>
    <cellStyle name="Explanatory Text 2" xfId="54"/>
    <cellStyle name="Good 2" xfId="55"/>
    <cellStyle name="Heading 1 2" xfId="56"/>
    <cellStyle name="Heading 2 2" xfId="57"/>
    <cellStyle name="Heading 3 2" xfId="58"/>
    <cellStyle name="Heading 4 2" xfId="59"/>
    <cellStyle name="Hyperlink" xfId="3" builtinId="8"/>
    <cellStyle name="Hyperlink 2" xfId="60"/>
    <cellStyle name="Hyperlink 3" xfId="61"/>
    <cellStyle name="Input 2" xfId="62"/>
    <cellStyle name="Linked Cell 2" xfId="63"/>
    <cellStyle name="Neutral 2" xfId="64"/>
    <cellStyle name="Normal" xfId="0" builtinId="0"/>
    <cellStyle name="Normal 10" xfId="65"/>
    <cellStyle name="Normal 11" xfId="66"/>
    <cellStyle name="Normal 11 2" xfId="67"/>
    <cellStyle name="Normal 12" xfId="68"/>
    <cellStyle name="Normal 13" xfId="69"/>
    <cellStyle name="Normal 16" xfId="70"/>
    <cellStyle name="Normal 2" xfId="71"/>
    <cellStyle name="Normal 2 2" xfId="72"/>
    <cellStyle name="Normal 3" xfId="73"/>
    <cellStyle name="Normal 3 2" xfId="74"/>
    <cellStyle name="Normal 4" xfId="75"/>
    <cellStyle name="Normal 5" xfId="76"/>
    <cellStyle name="Normal 6" xfId="77"/>
    <cellStyle name="Normal 7" xfId="78"/>
    <cellStyle name="Normal 8" xfId="79"/>
    <cellStyle name="Normal 9" xfId="80"/>
    <cellStyle name="Note 2" xfId="81"/>
    <cellStyle name="Output 2" xfId="82"/>
    <cellStyle name="Percent" xfId="2" builtinId="5"/>
    <cellStyle name="Percent 2" xfId="83"/>
    <cellStyle name="Percent 3" xfId="84"/>
    <cellStyle name="Percent 4" xfId="85"/>
    <cellStyle name="Percent 5" xfId="86"/>
    <cellStyle name="Percent 6" xfId="87"/>
    <cellStyle name="Percent 6 2" xfId="88"/>
    <cellStyle name="Percent 7" xfId="89"/>
    <cellStyle name="Percent 8" xfId="90"/>
    <cellStyle name="Percent 9" xfId="91"/>
    <cellStyle name="Style1" xfId="92"/>
    <cellStyle name="Table Cells" xfId="93"/>
    <cellStyle name="Table Column Headings" xfId="94"/>
    <cellStyle name="Table Number" xfId="95"/>
    <cellStyle name="Table Row Headings" xfId="96"/>
    <cellStyle name="Table Title" xfId="97"/>
    <cellStyle name="Title 2" xfId="98"/>
    <cellStyle name="Total 2" xfId="99"/>
    <cellStyle name="Warning Text 2" xfId="100"/>
  </cellStyles>
  <dxfs count="3">
    <dxf>
      <fill>
        <patternFill patternType="none">
          <fgColor indexed="64"/>
          <bgColor indexed="65"/>
        </patternFill>
      </fill>
    </dxf>
    <dxf>
      <fill>
        <patternFill patternType="none">
          <fgColor indexed="64"/>
          <bgColor indexed="65"/>
        </patternFill>
      </fill>
    </dxf>
    <dxf>
      <font>
        <b/>
        <i val="0"/>
        <strike val="0"/>
        <condense val="0"/>
        <extend val="0"/>
        <outline val="0"/>
        <shadow val="0"/>
        <u val="none"/>
        <vertAlign val="baseline"/>
        <sz val="10"/>
        <color auto="1"/>
        <name val="Calibri"/>
        <scheme val="none"/>
      </font>
      <fill>
        <patternFill patternType="solid">
          <fgColor indexed="64"/>
          <bgColor indexed="9"/>
        </patternFill>
      </fill>
      <protection locked="1" hidden="0"/>
    </dxf>
  </dxfs>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25" b="1" i="0" u="none" strike="noStrike" baseline="0">
                <a:solidFill>
                  <a:srgbClr val="008080"/>
                </a:solidFill>
                <a:latin typeface="Calibri"/>
                <a:ea typeface="Calibri"/>
                <a:cs typeface="Calibri"/>
              </a:defRPr>
            </a:pPr>
            <a:r>
              <a:rPr lang="en-GB"/>
              <a:t>Total New Homes Bonus Payments</a:t>
            </a:r>
          </a:p>
        </c:rich>
      </c:tx>
      <c:layout>
        <c:manualLayout>
          <c:xMode val="edge"/>
          <c:yMode val="edge"/>
          <c:x val="0.28912821381198317"/>
          <c:y val="3.39943342776204E-2"/>
        </c:manualLayout>
      </c:layout>
      <c:overlay val="0"/>
      <c:spPr>
        <a:solidFill>
          <a:srgbClr val="FFFFFF"/>
        </a:solidFill>
        <a:ln w="25400">
          <a:noFill/>
        </a:ln>
      </c:spPr>
    </c:title>
    <c:autoTitleDeleted val="0"/>
    <c:plotArea>
      <c:layout>
        <c:manualLayout>
          <c:layoutTarget val="inner"/>
          <c:xMode val="edge"/>
          <c:yMode val="edge"/>
          <c:x val="0.13869165817646784"/>
          <c:y val="0.17107408788266582"/>
          <c:w val="0.81552012714586175"/>
          <c:h val="0.56830259701926122"/>
        </c:manualLayout>
      </c:layout>
      <c:barChart>
        <c:barDir val="col"/>
        <c:grouping val="stacked"/>
        <c:varyColors val="0"/>
        <c:ser>
          <c:idx val="5"/>
          <c:order val="0"/>
          <c:tx>
            <c:v>Legacy Payments</c:v>
          </c:tx>
          <c:spPr>
            <a:solidFill>
              <a:schemeClr val="bg1">
                <a:lumMod val="75000"/>
              </a:schemeClr>
            </a:solidFill>
          </c:spPr>
          <c:invertIfNegative val="0"/>
          <c:cat>
            <c:strRef>
              <c:f>'Cumulative Payments'!$E$11:$K$11</c:f>
              <c:strCache>
                <c:ptCount val="7"/>
                <c:pt idx="0">
                  <c:v>2011 / 12</c:v>
                </c:pt>
                <c:pt idx="1">
                  <c:v>2012 / 13</c:v>
                </c:pt>
                <c:pt idx="2">
                  <c:v>2013 / 14</c:v>
                </c:pt>
                <c:pt idx="3">
                  <c:v>2014 / 15</c:v>
                </c:pt>
                <c:pt idx="4">
                  <c:v>2015 / 16</c:v>
                </c:pt>
                <c:pt idx="5">
                  <c:v>2016 / 17</c:v>
                </c:pt>
                <c:pt idx="6">
                  <c:v>2017 / 18</c:v>
                </c:pt>
              </c:strCache>
            </c:strRef>
          </c:cat>
          <c:val>
            <c:numRef>
              <c:f>'Cumulative Payments'!$E$20:$K$20</c:f>
              <c:numCache>
                <c:formatCode>"£"#,##0</c:formatCode>
                <c:ptCount val="7"/>
                <c:pt idx="1">
                  <c:v>0</c:v>
                </c:pt>
                <c:pt idx="2">
                  <c:v>0</c:v>
                </c:pt>
                <c:pt idx="3">
                  <c:v>0</c:v>
                </c:pt>
                <c:pt idx="4">
                  <c:v>0</c:v>
                </c:pt>
                <c:pt idx="5">
                  <c:v>0</c:v>
                </c:pt>
                <c:pt idx="6">
                  <c:v>0</c:v>
                </c:pt>
              </c:numCache>
            </c:numRef>
          </c:val>
        </c:ser>
        <c:ser>
          <c:idx val="0"/>
          <c:order val="1"/>
          <c:tx>
            <c:v>In year payment</c:v>
          </c:tx>
          <c:invertIfNegative val="0"/>
          <c:val>
            <c:numRef>
              <c:f>('Cumulative Payments'!$E$12,'Cumulative Payments'!$F$13,'Cumulative Payments'!$G$14,'Cumulative Payments'!$H$15,'Cumulative Payments'!$I$16,'Cumulative Payments'!$J$17)</c:f>
              <c:numCache>
                <c:formatCode>"£"#,##0</c:formatCode>
                <c:ptCount val="6"/>
                <c:pt idx="0">
                  <c:v>0</c:v>
                </c:pt>
                <c:pt idx="1">
                  <c:v>0</c:v>
                </c:pt>
                <c:pt idx="2">
                  <c:v>0</c:v>
                </c:pt>
                <c:pt idx="3">
                  <c:v>0</c:v>
                </c:pt>
                <c:pt idx="4">
                  <c:v>0</c:v>
                </c:pt>
                <c:pt idx="5">
                  <c:v>0</c:v>
                </c:pt>
              </c:numCache>
            </c:numRef>
          </c:val>
        </c:ser>
        <c:ser>
          <c:idx val="6"/>
          <c:order val="2"/>
          <c:tx>
            <c:strRef>
              <c:f>'Cumulative Payments'!$C$18:$D$18</c:f>
              <c:strCache>
                <c:ptCount val="1"/>
                <c:pt idx="0">
                  <c:v>Payments for Year 7</c:v>
                </c:pt>
              </c:strCache>
            </c:strRef>
          </c:tx>
          <c:invertIfNegative val="0"/>
          <c:cat>
            <c:strRef>
              <c:f>'Cumulative Payments'!$E$11:$K$11</c:f>
              <c:strCache>
                <c:ptCount val="7"/>
                <c:pt idx="0">
                  <c:v>2011 / 12</c:v>
                </c:pt>
                <c:pt idx="1">
                  <c:v>2012 / 13</c:v>
                </c:pt>
                <c:pt idx="2">
                  <c:v>2013 / 14</c:v>
                </c:pt>
                <c:pt idx="3">
                  <c:v>2014 / 15</c:v>
                </c:pt>
                <c:pt idx="4">
                  <c:v>2015 / 16</c:v>
                </c:pt>
                <c:pt idx="5">
                  <c:v>2016 / 17</c:v>
                </c:pt>
                <c:pt idx="6">
                  <c:v>2017 / 18</c:v>
                </c:pt>
              </c:strCache>
            </c:strRef>
          </c:cat>
          <c:val>
            <c:numRef>
              <c:f>'Cumulative Payments'!$E$18:$K$18</c:f>
              <c:numCache>
                <c:formatCode>"£"#,##0.00</c:formatCode>
                <c:ptCount val="7"/>
                <c:pt idx="6" formatCode="&quot;£&quot;#,##0">
                  <c:v>197414860.8326757</c:v>
                </c:pt>
              </c:numCache>
            </c:numRef>
          </c:val>
        </c:ser>
        <c:dLbls>
          <c:showLegendKey val="0"/>
          <c:showVal val="0"/>
          <c:showCatName val="0"/>
          <c:showSerName val="0"/>
          <c:showPercent val="0"/>
          <c:showBubbleSize val="0"/>
        </c:dLbls>
        <c:gapWidth val="44"/>
        <c:overlap val="100"/>
        <c:axId val="323954560"/>
        <c:axId val="349340800"/>
      </c:barChart>
      <c:catAx>
        <c:axId val="323954560"/>
        <c:scaling>
          <c:orientation val="minMax"/>
        </c:scaling>
        <c:delete val="0"/>
        <c:axPos val="b"/>
        <c:numFmt formatCode="General" sourceLinked="1"/>
        <c:majorTickMark val="out"/>
        <c:minorTickMark val="none"/>
        <c:tickLblPos val="nextTo"/>
        <c:spPr>
          <a:ln w="3175">
            <a:solidFill>
              <a:srgbClr val="969696"/>
            </a:solidFill>
            <a:prstDash val="solid"/>
          </a:ln>
        </c:spPr>
        <c:txPr>
          <a:bodyPr rot="0" vert="horz"/>
          <a:lstStyle/>
          <a:p>
            <a:pPr>
              <a:defRPr sz="1400" b="1" i="0" u="none" strike="noStrike" baseline="0">
                <a:solidFill>
                  <a:srgbClr val="000000"/>
                </a:solidFill>
                <a:latin typeface="Calibri"/>
                <a:ea typeface="Calibri"/>
                <a:cs typeface="Calibri"/>
              </a:defRPr>
            </a:pPr>
            <a:endParaRPr lang="en-US"/>
          </a:p>
        </c:txPr>
        <c:crossAx val="349340800"/>
        <c:crosses val="autoZero"/>
        <c:auto val="1"/>
        <c:lblAlgn val="ctr"/>
        <c:lblOffset val="100"/>
        <c:tickLblSkip val="1"/>
        <c:tickMarkSkip val="1"/>
        <c:noMultiLvlLbl val="0"/>
      </c:catAx>
      <c:valAx>
        <c:axId val="349340800"/>
        <c:scaling>
          <c:orientation val="minMax"/>
          <c:min val="0"/>
        </c:scaling>
        <c:delete val="0"/>
        <c:axPos val="l"/>
        <c:majorGridlines>
          <c:spPr>
            <a:ln w="3175">
              <a:solidFill>
                <a:srgbClr val="C0C0C0"/>
              </a:solidFill>
              <a:prstDash val="sysDash"/>
            </a:ln>
          </c:spPr>
        </c:majorGridlines>
        <c:numFmt formatCode="&quot;£&quot;#,##0.00" sourceLinked="0"/>
        <c:majorTickMark val="out"/>
        <c:minorTickMark val="none"/>
        <c:tickLblPos val="nextTo"/>
        <c:spPr>
          <a:ln w="3175">
            <a:solidFill>
              <a:srgbClr val="969696"/>
            </a:solidFill>
            <a:prstDash val="solid"/>
          </a:ln>
        </c:spPr>
        <c:txPr>
          <a:bodyPr rot="0" vert="horz"/>
          <a:lstStyle/>
          <a:p>
            <a:pPr>
              <a:defRPr sz="1650" b="1" i="0" u="none" strike="noStrike" baseline="0">
                <a:solidFill>
                  <a:srgbClr val="000000"/>
                </a:solidFill>
                <a:latin typeface="Calibri"/>
                <a:ea typeface="Calibri"/>
                <a:cs typeface="Calibri"/>
              </a:defRPr>
            </a:pPr>
            <a:endParaRPr lang="en-US"/>
          </a:p>
        </c:txPr>
        <c:crossAx val="323954560"/>
        <c:crosses val="autoZero"/>
        <c:crossBetween val="between"/>
        <c:dispUnits>
          <c:builtInUnit val="millions"/>
          <c:dispUnitsLbl>
            <c:layout/>
          </c:dispUnitsLbl>
        </c:dispUnits>
      </c:valAx>
      <c:spPr>
        <a:noFill/>
        <a:ln w="25400">
          <a:noFill/>
        </a:ln>
      </c:spPr>
    </c:plotArea>
    <c:legend>
      <c:legendPos val="b"/>
      <c:layout>
        <c:manualLayout>
          <c:xMode val="edge"/>
          <c:yMode val="edge"/>
          <c:x val="0.2336045965365772"/>
          <c:y val="0.85494722473657836"/>
          <c:w val="0.50217522154249994"/>
          <c:h val="5.6266363270788912E-2"/>
        </c:manualLayout>
      </c:layout>
      <c:overlay val="0"/>
      <c:spPr>
        <a:solidFill>
          <a:srgbClr val="FFFFFF"/>
        </a:solidFill>
        <a:ln w="25400">
          <a:noFill/>
        </a:ln>
      </c:spPr>
      <c:txPr>
        <a:bodyPr/>
        <a:lstStyle/>
        <a:p>
          <a:pPr>
            <a:defRPr sz="118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13</xdr:col>
      <xdr:colOff>581025</xdr:colOff>
      <xdr:row>2</xdr:row>
      <xdr:rowOff>38100</xdr:rowOff>
    </xdr:from>
    <xdr:to>
      <xdr:col>17</xdr:col>
      <xdr:colOff>514350</xdr:colOff>
      <xdr:row>8</xdr:row>
      <xdr:rowOff>57150</xdr:rowOff>
    </xdr:to>
    <xdr:pic>
      <xdr:nvPicPr>
        <xdr:cNvPr id="2" name="Picture 19" descr="DCLG LOGO 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48825" y="38100"/>
          <a:ext cx="237172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3</xdr:row>
      <xdr:rowOff>9526</xdr:rowOff>
    </xdr:from>
    <xdr:to>
      <xdr:col>12</xdr:col>
      <xdr:colOff>409575</xdr:colOff>
      <xdr:row>41</xdr:row>
      <xdr:rowOff>123825</xdr:rowOff>
    </xdr:to>
    <xdr:grpSp>
      <xdr:nvGrpSpPr>
        <xdr:cNvPr id="2" name="Canvas 22"/>
        <xdr:cNvGrpSpPr/>
      </xdr:nvGrpSpPr>
      <xdr:grpSpPr>
        <a:xfrm>
          <a:off x="800100" y="638176"/>
          <a:ext cx="6924675" cy="6877049"/>
          <a:chOff x="0" y="0"/>
          <a:chExt cx="6924675" cy="4838700"/>
        </a:xfrm>
      </xdr:grpSpPr>
      <xdr:sp macro="" textlink="">
        <xdr:nvSpPr>
          <xdr:cNvPr id="3" name="Rectangle 2"/>
          <xdr:cNvSpPr/>
        </xdr:nvSpPr>
        <xdr:spPr>
          <a:xfrm>
            <a:off x="0" y="0"/>
            <a:ext cx="6924675" cy="4838700"/>
          </a:xfrm>
          <a:prstGeom prst="rect">
            <a:avLst/>
          </a:prstGeom>
          <a:noFill/>
          <a:ln>
            <a:noFill/>
          </a:ln>
        </xdr:spPr>
      </xdr:sp>
      <xdr:sp macro="" textlink="">
        <xdr:nvSpPr>
          <xdr:cNvPr id="4" name="Text Box 7"/>
          <xdr:cNvSpPr txBox="1">
            <a:spLocks noChangeArrowheads="1"/>
          </xdr:cNvSpPr>
        </xdr:nvSpPr>
        <xdr:spPr bwMode="auto">
          <a:xfrm>
            <a:off x="57149" y="131357"/>
            <a:ext cx="6848473" cy="363943"/>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spcAft>
                <a:spcPts val="0"/>
              </a:spcAft>
            </a:pPr>
            <a:r>
              <a:rPr lang="en-GB" sz="1200" b="1">
                <a:effectLst/>
                <a:latin typeface="Calibri"/>
                <a:ea typeface="Times New Roman"/>
                <a:cs typeface="Arial"/>
              </a:rPr>
              <a:t>Increase in the dwelling stock in the council tax base, by band</a:t>
            </a:r>
            <a:r>
              <a:rPr lang="en-GB" sz="1200">
                <a:effectLst/>
                <a:latin typeface="Calibri"/>
                <a:ea typeface="Times New Roman"/>
                <a:cs typeface="Arial"/>
              </a:rPr>
              <a:t> = dwelling stock this year minus dwelling stock last year (both net of demolitions and long term empty</a:t>
            </a:r>
            <a:r>
              <a:rPr lang="en-GB" sz="1200" baseline="0">
                <a:effectLst/>
                <a:latin typeface="Calibri"/>
                <a:ea typeface="Times New Roman"/>
                <a:cs typeface="Arial"/>
              </a:rPr>
              <a:t> property</a:t>
            </a:r>
            <a:r>
              <a:rPr lang="en-GB" sz="1200">
                <a:effectLst/>
                <a:latin typeface="Calibri"/>
                <a:ea typeface="Times New Roman"/>
                <a:cs typeface="Arial"/>
              </a:rPr>
              <a:t>)</a:t>
            </a:r>
            <a:endParaRPr lang="en-GB" sz="1200">
              <a:effectLst/>
              <a:latin typeface="Times New Roman"/>
              <a:ea typeface="Times New Roman"/>
            </a:endParaRPr>
          </a:p>
        </xdr:txBody>
      </xdr:sp>
      <xdr:sp macro="" textlink="">
        <xdr:nvSpPr>
          <xdr:cNvPr id="5" name="Text Box 7"/>
          <xdr:cNvSpPr txBox="1">
            <a:spLocks noChangeArrowheads="1"/>
          </xdr:cNvSpPr>
        </xdr:nvSpPr>
        <xdr:spPr bwMode="auto">
          <a:xfrm>
            <a:off x="57150" y="828675"/>
            <a:ext cx="6848473" cy="364604"/>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spcAft>
                <a:spcPts val="0"/>
              </a:spcAft>
            </a:pPr>
            <a:r>
              <a:rPr lang="en-GB" sz="1200" b="1">
                <a:effectLst/>
                <a:latin typeface="Calibri"/>
                <a:ea typeface="Times New Roman"/>
                <a:cs typeface="Arial"/>
              </a:rPr>
              <a:t>Increase in band D equivalent dwellings</a:t>
            </a:r>
            <a:r>
              <a:rPr lang="en-GB" sz="1200">
                <a:effectLst/>
                <a:latin typeface="Calibri"/>
                <a:ea typeface="Times New Roman"/>
                <a:cs typeface="Arial"/>
              </a:rPr>
              <a:t> = increase in stock by band, weighted by band D equivalence, with a lower weight given to bands A-C, and a higher weight given to bands E-H.</a:t>
            </a:r>
            <a:endParaRPr lang="en-GB" sz="1200">
              <a:effectLst/>
              <a:latin typeface="Times New Roman"/>
              <a:ea typeface="Times New Roman"/>
            </a:endParaRPr>
          </a:p>
        </xdr:txBody>
      </xdr:sp>
      <xdr:sp macro="" textlink="">
        <xdr:nvSpPr>
          <xdr:cNvPr id="6" name="Text Box 7"/>
          <xdr:cNvSpPr txBox="1">
            <a:spLocks noChangeArrowheads="1"/>
          </xdr:cNvSpPr>
        </xdr:nvSpPr>
        <xdr:spPr bwMode="auto">
          <a:xfrm>
            <a:off x="57150" y="1537855"/>
            <a:ext cx="6848474" cy="26225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spcAft>
                <a:spcPts val="0"/>
              </a:spcAft>
            </a:pPr>
            <a:r>
              <a:rPr lang="en-GB" sz="1200" b="1">
                <a:effectLst/>
                <a:latin typeface="Calibri"/>
                <a:ea typeface="Times New Roman"/>
                <a:cs typeface="Arial"/>
              </a:rPr>
              <a:t>Baseline</a:t>
            </a:r>
            <a:r>
              <a:rPr lang="en-GB" sz="1200">
                <a:effectLst/>
                <a:latin typeface="Calibri"/>
                <a:ea typeface="Times New Roman"/>
                <a:cs typeface="Arial"/>
              </a:rPr>
              <a:t> = 0.4% of dwelling stock in band D equivalents.</a:t>
            </a:r>
            <a:endParaRPr lang="en-GB" sz="1200">
              <a:effectLst/>
              <a:latin typeface="Times New Roman"/>
              <a:ea typeface="Times New Roman"/>
            </a:endParaRPr>
          </a:p>
        </xdr:txBody>
      </xdr:sp>
      <xdr:sp macro="" textlink="">
        <xdr:nvSpPr>
          <xdr:cNvPr id="7" name="Text Box 7"/>
          <xdr:cNvSpPr txBox="1">
            <a:spLocks noChangeArrowheads="1"/>
          </xdr:cNvSpPr>
        </xdr:nvSpPr>
        <xdr:spPr bwMode="auto">
          <a:xfrm>
            <a:off x="57150" y="2676568"/>
            <a:ext cx="6848474" cy="266648"/>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spcAft>
                <a:spcPts val="0"/>
              </a:spcAft>
            </a:pPr>
            <a:r>
              <a:rPr lang="en-GB" sz="1200" b="1">
                <a:effectLst/>
                <a:latin typeface="Calibri"/>
                <a:ea typeface="Times New Roman"/>
                <a:cs typeface="Arial"/>
              </a:rPr>
              <a:t>Payment for band D equivalents</a:t>
            </a:r>
            <a:r>
              <a:rPr lang="en-GB" sz="1200">
                <a:effectLst/>
                <a:latin typeface="Calibri"/>
                <a:ea typeface="Times New Roman"/>
                <a:cs typeface="Arial"/>
              </a:rPr>
              <a:t> = Units for reward multiplied by average band D council tax payment.</a:t>
            </a:r>
            <a:endParaRPr lang="en-GB" sz="1200">
              <a:effectLst/>
              <a:latin typeface="Times New Roman"/>
              <a:ea typeface="Times New Roman"/>
            </a:endParaRPr>
          </a:p>
        </xdr:txBody>
      </xdr:sp>
      <xdr:sp macro="" textlink="">
        <xdr:nvSpPr>
          <xdr:cNvPr id="8" name="Text Box 7"/>
          <xdr:cNvSpPr txBox="1">
            <a:spLocks noChangeArrowheads="1"/>
          </xdr:cNvSpPr>
        </xdr:nvSpPr>
        <xdr:spPr bwMode="auto">
          <a:xfrm>
            <a:off x="57149" y="3234859"/>
            <a:ext cx="6848475" cy="29698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ctr">
              <a:spcAft>
                <a:spcPts val="0"/>
              </a:spcAft>
            </a:pPr>
            <a:r>
              <a:rPr lang="en-GB" sz="1200" b="1">
                <a:effectLst/>
                <a:latin typeface="Calibri"/>
                <a:ea typeface="Times New Roman"/>
                <a:cs typeface="Arial"/>
              </a:rPr>
              <a:t>Affordable homes payment</a:t>
            </a:r>
            <a:r>
              <a:rPr lang="en-GB" sz="1200">
                <a:effectLst/>
                <a:latin typeface="Calibri"/>
                <a:ea typeface="Times New Roman"/>
                <a:cs typeface="Arial"/>
              </a:rPr>
              <a:t> = Number of affordable homes added over the period multiplied by affordable homes premium (£350).</a:t>
            </a:r>
            <a:endParaRPr lang="en-GB" sz="1200">
              <a:effectLst/>
              <a:latin typeface="Times New Roman"/>
              <a:ea typeface="Times New Roman"/>
            </a:endParaRPr>
          </a:p>
        </xdr:txBody>
      </xdr:sp>
      <xdr:sp macro="" textlink="">
        <xdr:nvSpPr>
          <xdr:cNvPr id="9" name="Text Box 7"/>
          <xdr:cNvSpPr txBox="1">
            <a:spLocks noChangeArrowheads="1"/>
          </xdr:cNvSpPr>
        </xdr:nvSpPr>
        <xdr:spPr bwMode="auto">
          <a:xfrm>
            <a:off x="57149" y="3807481"/>
            <a:ext cx="6848475" cy="3008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spcAft>
                <a:spcPts val="0"/>
              </a:spcAft>
            </a:pPr>
            <a:r>
              <a:rPr lang="en-GB" sz="1200" b="1">
                <a:effectLst/>
                <a:latin typeface="Calibri"/>
                <a:ea typeface="Times New Roman"/>
                <a:cs typeface="Arial"/>
              </a:rPr>
              <a:t>Annual payment</a:t>
            </a:r>
            <a:r>
              <a:rPr lang="en-GB" sz="1200">
                <a:effectLst/>
                <a:latin typeface="Calibri"/>
                <a:ea typeface="Times New Roman"/>
                <a:cs typeface="Arial"/>
              </a:rPr>
              <a:t> = payment for band D equivalents plus affordable homes payment.</a:t>
            </a:r>
            <a:endParaRPr lang="en-GB" sz="1200">
              <a:effectLst/>
              <a:latin typeface="Times New Roman"/>
              <a:ea typeface="Times New Roman"/>
            </a:endParaRPr>
          </a:p>
        </xdr:txBody>
      </xdr:sp>
      <xdr:sp macro="" textlink="">
        <xdr:nvSpPr>
          <xdr:cNvPr id="10" name="Down Arrow 9"/>
          <xdr:cNvSpPr/>
        </xdr:nvSpPr>
        <xdr:spPr>
          <a:xfrm>
            <a:off x="3260653" y="514274"/>
            <a:ext cx="484632" cy="266776"/>
          </a:xfrm>
          <a:prstGeom prst="downArrow">
            <a:avLst>
              <a:gd name="adj1" fmla="val 46069"/>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1" name="Down Arrow 10"/>
          <xdr:cNvSpPr/>
        </xdr:nvSpPr>
        <xdr:spPr>
          <a:xfrm>
            <a:off x="3270112" y="1219591"/>
            <a:ext cx="484505" cy="28535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GB" sz="1200">
                <a:effectLst/>
                <a:ea typeface="Times New Roman"/>
              </a:rPr>
              <a:t> </a:t>
            </a:r>
            <a:endParaRPr lang="en-GB" sz="1200">
              <a:effectLst/>
              <a:latin typeface="Times New Roman"/>
              <a:ea typeface="Times New Roman"/>
            </a:endParaRPr>
          </a:p>
        </xdr:txBody>
      </xdr:sp>
      <xdr:sp macro="" textlink="">
        <xdr:nvSpPr>
          <xdr:cNvPr id="12" name="Down Arrow 11"/>
          <xdr:cNvSpPr/>
        </xdr:nvSpPr>
        <xdr:spPr>
          <a:xfrm>
            <a:off x="3260587" y="1819610"/>
            <a:ext cx="484505" cy="26636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GB" sz="1200">
                <a:effectLst/>
                <a:ea typeface="Times New Roman"/>
              </a:rPr>
              <a:t> </a:t>
            </a:r>
            <a:endParaRPr lang="en-GB" sz="1200">
              <a:effectLst/>
              <a:latin typeface="Times New Roman"/>
              <a:ea typeface="Times New Roman"/>
            </a:endParaRPr>
          </a:p>
          <a:p>
            <a:pPr>
              <a:spcAft>
                <a:spcPts val="0"/>
              </a:spcAft>
            </a:pPr>
            <a:r>
              <a:rPr lang="en-GB" sz="1200">
                <a:effectLst/>
                <a:ea typeface="Times New Roman"/>
              </a:rPr>
              <a:t> </a:t>
            </a:r>
            <a:endParaRPr lang="en-GB" sz="1200">
              <a:effectLst/>
              <a:latin typeface="Times New Roman"/>
              <a:ea typeface="Times New Roman"/>
            </a:endParaRPr>
          </a:p>
          <a:p>
            <a:pPr>
              <a:spcAft>
                <a:spcPts val="0"/>
              </a:spcAft>
            </a:pPr>
            <a:r>
              <a:rPr lang="en-GB" sz="1200">
                <a:effectLst/>
                <a:ea typeface="Times New Roman"/>
              </a:rPr>
              <a:t> </a:t>
            </a:r>
            <a:endParaRPr lang="en-GB" sz="1200">
              <a:effectLst/>
              <a:latin typeface="Times New Roman"/>
              <a:ea typeface="Times New Roman"/>
            </a:endParaRPr>
          </a:p>
          <a:p>
            <a:pPr>
              <a:spcAft>
                <a:spcPts val="0"/>
              </a:spcAft>
            </a:pPr>
            <a:r>
              <a:rPr lang="en-GB" sz="1200">
                <a:effectLst/>
                <a:ea typeface="Times New Roman"/>
              </a:rPr>
              <a:t> </a:t>
            </a:r>
            <a:endParaRPr lang="en-GB" sz="1200">
              <a:effectLst/>
              <a:latin typeface="Times New Roman"/>
              <a:ea typeface="Times New Roman"/>
            </a:endParaRPr>
          </a:p>
          <a:p>
            <a:pPr>
              <a:spcAft>
                <a:spcPts val="0"/>
              </a:spcAft>
            </a:pPr>
            <a:r>
              <a:rPr lang="en-GB" sz="1200">
                <a:effectLst/>
                <a:ea typeface="Times New Roman"/>
              </a:rPr>
              <a:t> </a:t>
            </a:r>
            <a:endParaRPr lang="en-GB" sz="1200">
              <a:effectLst/>
              <a:latin typeface="Times New Roman"/>
              <a:ea typeface="Times New Roman"/>
            </a:endParaRPr>
          </a:p>
        </xdr:txBody>
      </xdr:sp>
      <xdr:sp macro="" textlink="">
        <xdr:nvSpPr>
          <xdr:cNvPr id="13" name="Down Arrow 12"/>
          <xdr:cNvSpPr/>
        </xdr:nvSpPr>
        <xdr:spPr>
          <a:xfrm>
            <a:off x="3270046" y="2397015"/>
            <a:ext cx="484505" cy="27006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GB" sz="1200">
                <a:effectLst/>
                <a:ea typeface="Times New Roman"/>
              </a:rPr>
              <a:t> </a:t>
            </a:r>
            <a:endParaRPr lang="en-GB" sz="1200">
              <a:effectLst/>
              <a:latin typeface="Times New Roman"/>
              <a:ea typeface="Times New Roman"/>
            </a:endParaRPr>
          </a:p>
        </xdr:txBody>
      </xdr:sp>
      <xdr:sp macro="" textlink="">
        <xdr:nvSpPr>
          <xdr:cNvPr id="14" name="Down Arrow 13"/>
          <xdr:cNvSpPr/>
        </xdr:nvSpPr>
        <xdr:spPr>
          <a:xfrm>
            <a:off x="3260521" y="2962266"/>
            <a:ext cx="484505" cy="26306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GB" sz="1200">
                <a:effectLst/>
                <a:ea typeface="Times New Roman"/>
              </a:rPr>
              <a:t> </a:t>
            </a:r>
            <a:endParaRPr lang="en-GB" sz="1200">
              <a:effectLst/>
              <a:latin typeface="Times New Roman"/>
              <a:ea typeface="Times New Roman"/>
            </a:endParaRPr>
          </a:p>
        </xdr:txBody>
      </xdr:sp>
      <xdr:sp macro="" textlink="">
        <xdr:nvSpPr>
          <xdr:cNvPr id="15" name="Down Arrow 14"/>
          <xdr:cNvSpPr/>
        </xdr:nvSpPr>
        <xdr:spPr>
          <a:xfrm>
            <a:off x="3260455" y="3557760"/>
            <a:ext cx="483870" cy="24513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GB" sz="1200">
                <a:effectLst/>
                <a:ea typeface="Times New Roman"/>
              </a:rPr>
              <a:t> </a:t>
            </a:r>
            <a:endParaRPr lang="en-GB" sz="1200">
              <a:effectLst/>
              <a:latin typeface="Times New Roman"/>
              <a:ea typeface="Times New Roman"/>
            </a:endParaRPr>
          </a:p>
        </xdr:txBody>
      </xdr:sp>
      <xdr:sp macro="" textlink="">
        <xdr:nvSpPr>
          <xdr:cNvPr id="16" name="Text Box 7"/>
          <xdr:cNvSpPr txBox="1">
            <a:spLocks noChangeArrowheads="1"/>
          </xdr:cNvSpPr>
        </xdr:nvSpPr>
        <xdr:spPr bwMode="auto">
          <a:xfrm>
            <a:off x="57148" y="4438052"/>
            <a:ext cx="6848475" cy="30539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ctr">
              <a:spcAft>
                <a:spcPts val="0"/>
              </a:spcAft>
            </a:pPr>
            <a:r>
              <a:rPr lang="en-GB" sz="1200" b="1">
                <a:effectLst/>
                <a:latin typeface="Calibri"/>
                <a:ea typeface="Times New Roman"/>
                <a:cs typeface="Arial"/>
              </a:rPr>
              <a:t>Annual payment for Shire Districts </a:t>
            </a:r>
            <a:r>
              <a:rPr lang="en-GB" sz="1200">
                <a:effectLst/>
                <a:latin typeface="Calibri"/>
                <a:ea typeface="Times New Roman"/>
                <a:cs typeface="Arial"/>
              </a:rPr>
              <a:t>= 80% of annual payment, with remaining 20% going to corresponding Shire County</a:t>
            </a:r>
            <a:endParaRPr lang="en-GB" sz="2000">
              <a:effectLst/>
              <a:latin typeface="Times New Roman"/>
              <a:ea typeface="Times New Roman"/>
            </a:endParaRPr>
          </a:p>
        </xdr:txBody>
      </xdr:sp>
      <xdr:sp macro="" textlink="">
        <xdr:nvSpPr>
          <xdr:cNvPr id="17" name="Down Arrow 16"/>
          <xdr:cNvSpPr/>
        </xdr:nvSpPr>
        <xdr:spPr>
          <a:xfrm>
            <a:off x="3260389" y="4146396"/>
            <a:ext cx="483235" cy="2580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GB" sz="1200">
                <a:effectLst/>
                <a:ea typeface="Times New Roman"/>
              </a:rPr>
              <a:t> </a:t>
            </a:r>
            <a:endParaRPr lang="en-GB" sz="1200">
              <a:effectLst/>
              <a:latin typeface="Times New Roman"/>
              <a:ea typeface="Times New Roman"/>
            </a:endParaRPr>
          </a:p>
        </xdr:txBody>
      </xdr:sp>
      <xdr:sp macro="" textlink="">
        <xdr:nvSpPr>
          <xdr:cNvPr id="18" name="Text Box 7"/>
          <xdr:cNvSpPr txBox="1">
            <a:spLocks noChangeArrowheads="1"/>
          </xdr:cNvSpPr>
        </xdr:nvSpPr>
        <xdr:spPr bwMode="auto">
          <a:xfrm>
            <a:off x="57149" y="2086019"/>
            <a:ext cx="6848474" cy="272939"/>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spcAft>
                <a:spcPts val="0"/>
              </a:spcAft>
            </a:pPr>
            <a:r>
              <a:rPr lang="en-GB" sz="1200" b="1">
                <a:effectLst/>
                <a:latin typeface="Calibri"/>
                <a:ea typeface="Times New Roman"/>
                <a:cs typeface="Arial"/>
              </a:rPr>
              <a:t>Units for reward</a:t>
            </a:r>
            <a:r>
              <a:rPr lang="en-GB" sz="1200">
                <a:effectLst/>
                <a:latin typeface="Calibri"/>
                <a:ea typeface="Times New Roman"/>
                <a:cs typeface="Arial"/>
              </a:rPr>
              <a:t> = Growth in band D equivalent dwellings minus units under baseline.</a:t>
            </a:r>
            <a:endParaRPr lang="en-GB" sz="1200">
              <a:effectLst/>
              <a:latin typeface="Times New Roman"/>
              <a:ea typeface="Times New Roman"/>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862852</xdr:colOff>
      <xdr:row>9</xdr:row>
      <xdr:rowOff>142874</xdr:rowOff>
    </xdr:from>
    <xdr:to>
      <xdr:col>14</xdr:col>
      <xdr:colOff>0</xdr:colOff>
      <xdr:row>9</xdr:row>
      <xdr:rowOff>201706</xdr:rowOff>
    </xdr:to>
    <xdr:sp macro="" textlink="">
      <xdr:nvSpPr>
        <xdr:cNvPr id="2" name="Line 132"/>
        <xdr:cNvSpPr>
          <a:spLocks noChangeShapeType="1"/>
        </xdr:cNvSpPr>
      </xdr:nvSpPr>
      <xdr:spPr bwMode="auto">
        <a:xfrm>
          <a:off x="4834777" y="2962274"/>
          <a:ext cx="13724405" cy="58832"/>
        </a:xfrm>
        <a:prstGeom prst="line">
          <a:avLst/>
        </a:prstGeom>
        <a:noFill/>
        <a:ln w="38100">
          <a:solidFill>
            <a:srgbClr xmlns:mc="http://schemas.openxmlformats.org/markup-compatibility/2006" xmlns:a14="http://schemas.microsoft.com/office/drawing/2010/main" val="008080" mc:Ignorable="a14" a14:legacySpreadsheetColorIndex="21"/>
          </a:solidFill>
          <a:round/>
          <a:headEnd/>
          <a:tailEnd type="triangle" w="med" len="me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twoCellAnchor>
    <xdr:from>
      <xdr:col>1</xdr:col>
      <xdr:colOff>1476375</xdr:colOff>
      <xdr:row>10</xdr:row>
      <xdr:rowOff>28575</xdr:rowOff>
    </xdr:from>
    <xdr:to>
      <xdr:col>1</xdr:col>
      <xdr:colOff>1512794</xdr:colOff>
      <xdr:row>17</xdr:row>
      <xdr:rowOff>437029</xdr:rowOff>
    </xdr:to>
    <xdr:sp macro="" textlink="">
      <xdr:nvSpPr>
        <xdr:cNvPr id="3" name="Line 140"/>
        <xdr:cNvSpPr>
          <a:spLocks noChangeShapeType="1"/>
        </xdr:cNvSpPr>
      </xdr:nvSpPr>
      <xdr:spPr bwMode="auto">
        <a:xfrm>
          <a:off x="1756522" y="3222251"/>
          <a:ext cx="36419" cy="3781425"/>
        </a:xfrm>
        <a:prstGeom prst="line">
          <a:avLst/>
        </a:prstGeom>
        <a:noFill/>
        <a:ln w="38100">
          <a:solidFill>
            <a:srgbClr xmlns:mc="http://schemas.openxmlformats.org/markup-compatibility/2006" xmlns:a14="http://schemas.microsoft.com/office/drawing/2010/main" val="008080" mc:Ignorable="a14" a14:legacySpreadsheetColorIndex="21"/>
          </a:solidFill>
          <a:round/>
          <a:headEnd/>
          <a:tailEnd type="triangle" w="med" len="me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twoCellAnchor>
    <xdr:from>
      <xdr:col>5</xdr:col>
      <xdr:colOff>910478</xdr:colOff>
      <xdr:row>19</xdr:row>
      <xdr:rowOff>413494</xdr:rowOff>
    </xdr:from>
    <xdr:to>
      <xdr:col>12</xdr:col>
      <xdr:colOff>705969</xdr:colOff>
      <xdr:row>29</xdr:row>
      <xdr:rowOff>168088</xdr:rowOff>
    </xdr:to>
    <xdr:graphicFrame macro="">
      <xdr:nvGraphicFramePr>
        <xdr:cNvPr id="4" name="Chart 1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513346/Live_Table-_Band_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SCT\P006%20Housing%20Markets\009%20New%20Homes%20Bonus\Sensitivity\20161109%20-%20variable%20threshold.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inc PPs"/>
      <sheetName val="inc PPs %"/>
      <sheetName val="exc PPs"/>
      <sheetName val="exc PPs %"/>
      <sheetName val="Area CT"/>
      <sheetName val="Area CT %"/>
      <sheetName val="list"/>
      <sheetName val="Graph"/>
    </sheetNames>
    <sheetDataSet>
      <sheetData sheetId="0" refreshError="1"/>
      <sheetData sheetId="1">
        <row r="1">
          <cell r="A1" t="str">
            <v>Band D council tax for local authorities from 1993-1994</v>
          </cell>
        </row>
      </sheetData>
      <sheetData sheetId="2"/>
      <sheetData sheetId="3" refreshError="1"/>
      <sheetData sheetId="4" refreshError="1"/>
      <sheetData sheetId="5">
        <row r="421">
          <cell r="B421" t="str">
            <v>England</v>
          </cell>
        </row>
        <row r="423">
          <cell r="B423" t="str">
            <v>Inner London boroughs (excluding GLA)</v>
          </cell>
        </row>
        <row r="424">
          <cell r="B424" t="str">
            <v>Outer London boroughs (excluding GLA)</v>
          </cell>
        </row>
        <row r="425">
          <cell r="B425" t="str">
            <v>London boroughs (excluding GLA)</v>
          </cell>
        </row>
        <row r="426">
          <cell r="B426" t="str">
            <v>Greater London Authority</v>
          </cell>
        </row>
        <row r="427">
          <cell r="B427" t="str">
            <v>Metropolitan districts (excluding major precepting authorities)</v>
          </cell>
        </row>
        <row r="428">
          <cell r="B428" t="str">
            <v>Metropolitan police authorities</v>
          </cell>
        </row>
        <row r="429">
          <cell r="B429" t="str">
            <v>Metropolitan fire and rescue authorities</v>
          </cell>
        </row>
        <row r="430">
          <cell r="B430" t="str">
            <v>Unitary authorities  (excluding major precepting authorities)</v>
          </cell>
        </row>
        <row r="431">
          <cell r="B431" t="str">
            <v>Shire counties</v>
          </cell>
        </row>
        <row r="432">
          <cell r="B432" t="str">
            <v>Shire districts (excluding major precepting authorities)</v>
          </cell>
        </row>
        <row r="433">
          <cell r="B433" t="str">
            <v>Shire police authorities</v>
          </cell>
        </row>
        <row r="434">
          <cell r="B434" t="str">
            <v>Police and Crime Commissioners (excluding Met Police)</v>
          </cell>
        </row>
        <row r="435">
          <cell r="B435" t="str">
            <v>Combined fire and rescue authorities</v>
          </cell>
        </row>
        <row r="437">
          <cell r="B437" t="str">
            <v>Inner London boroughs (including GLA)</v>
          </cell>
        </row>
        <row r="438">
          <cell r="B438" t="str">
            <v>Outer London boroughs (including GLA)</v>
          </cell>
        </row>
        <row r="439">
          <cell r="B439" t="str">
            <v>London boroughs (including GLA)</v>
          </cell>
        </row>
        <row r="440">
          <cell r="B440" t="str">
            <v>Metropolitan districts (including major precepting authorities)</v>
          </cell>
        </row>
        <row r="441">
          <cell r="B441" t="str">
            <v>Unitary authorities  (including major precepting authorities)</v>
          </cell>
        </row>
        <row r="442">
          <cell r="B442" t="str">
            <v>Shire districts (including major precepting authorities)</v>
          </cell>
        </row>
      </sheetData>
      <sheetData sheetId="6" refreshError="1"/>
      <sheetData sheetId="7">
        <row r="4">
          <cell r="B4" t="str">
            <v>Please select an authority from list</v>
          </cell>
        </row>
        <row r="5">
          <cell r="B5" t="str">
            <v>Adur</v>
          </cell>
        </row>
        <row r="6">
          <cell r="B6" t="str">
            <v>Allerdale</v>
          </cell>
        </row>
        <row r="7">
          <cell r="B7" t="str">
            <v>Alnwick</v>
          </cell>
        </row>
        <row r="8">
          <cell r="B8" t="str">
            <v>Amber Valley</v>
          </cell>
        </row>
        <row r="9">
          <cell r="B9" t="str">
            <v>Arun</v>
          </cell>
        </row>
        <row r="10">
          <cell r="B10" t="str">
            <v>Ashfield</v>
          </cell>
        </row>
        <row r="11">
          <cell r="B11" t="str">
            <v>Ashford</v>
          </cell>
        </row>
        <row r="12">
          <cell r="B12" t="str">
            <v xml:space="preserve">Avon  </v>
          </cell>
        </row>
        <row r="13">
          <cell r="B13" t="str">
            <v>Avon &amp; Somerset Police Authority</v>
          </cell>
        </row>
        <row r="14">
          <cell r="B14" t="str">
            <v>Avon Combined Fire Authority</v>
          </cell>
        </row>
        <row r="15">
          <cell r="B15" t="str">
            <v>Aylesbury Vale</v>
          </cell>
        </row>
        <row r="16">
          <cell r="B16" t="str">
            <v>Babergh</v>
          </cell>
        </row>
        <row r="17">
          <cell r="B17" t="str">
            <v>Barking &amp; Dagenham</v>
          </cell>
        </row>
        <row r="18">
          <cell r="B18" t="str">
            <v>Barnet</v>
          </cell>
        </row>
        <row r="19">
          <cell r="B19" t="str">
            <v>Barnsley</v>
          </cell>
        </row>
        <row r="20">
          <cell r="B20" t="str">
            <v>Barrow-in-Furness</v>
          </cell>
        </row>
        <row r="21">
          <cell r="B21" t="str">
            <v>Basildon</v>
          </cell>
        </row>
        <row r="22">
          <cell r="B22" t="str">
            <v>Basingstoke &amp; Deane</v>
          </cell>
        </row>
        <row r="23">
          <cell r="B23" t="str">
            <v>Bassetlaw</v>
          </cell>
        </row>
        <row r="24">
          <cell r="B24" t="str">
            <v>Bath</v>
          </cell>
        </row>
        <row r="25">
          <cell r="B25" t="str">
            <v>Bath &amp; North East Somerset UA</v>
          </cell>
        </row>
        <row r="26">
          <cell r="B26" t="str">
            <v>Bedford</v>
          </cell>
        </row>
        <row r="27">
          <cell r="B27" t="str">
            <v>Bedford UA</v>
          </cell>
        </row>
        <row r="28">
          <cell r="B28" t="str">
            <v>Bedfordshire</v>
          </cell>
        </row>
        <row r="29">
          <cell r="B29" t="str">
            <v>Bedfordshire Combined Fire Authority</v>
          </cell>
        </row>
        <row r="30">
          <cell r="B30" t="str">
            <v>Bedfordshire Police Authority</v>
          </cell>
        </row>
        <row r="31">
          <cell r="B31" t="str">
            <v>Berkshire</v>
          </cell>
        </row>
        <row r="32">
          <cell r="B32" t="str">
            <v>Berkshire Combined Fire Authority</v>
          </cell>
        </row>
        <row r="33">
          <cell r="B33" t="str">
            <v>Berwick-upon-Tweed</v>
          </cell>
        </row>
        <row r="34">
          <cell r="B34" t="str">
            <v>Beverley</v>
          </cell>
        </row>
        <row r="35">
          <cell r="B35" t="str">
            <v>Bexley</v>
          </cell>
        </row>
        <row r="36">
          <cell r="B36" t="str">
            <v>Birmingham</v>
          </cell>
        </row>
        <row r="37">
          <cell r="B37" t="str">
            <v>Blaby</v>
          </cell>
        </row>
        <row r="38">
          <cell r="B38" t="str">
            <v>Blackburn</v>
          </cell>
        </row>
        <row r="39">
          <cell r="B39" t="str">
            <v>Blackburn with Darwen UA</v>
          </cell>
        </row>
        <row r="40">
          <cell r="B40" t="str">
            <v>Blackpool</v>
          </cell>
        </row>
        <row r="41">
          <cell r="B41" t="str">
            <v>Blackpool UA</v>
          </cell>
        </row>
        <row r="42">
          <cell r="B42" t="str">
            <v>Blyth Valley</v>
          </cell>
        </row>
        <row r="43">
          <cell r="B43" t="str">
            <v>Bolsover</v>
          </cell>
        </row>
        <row r="44">
          <cell r="B44" t="str">
            <v>Bolton</v>
          </cell>
        </row>
        <row r="45">
          <cell r="B45" t="str">
            <v>Boothferry</v>
          </cell>
        </row>
        <row r="46">
          <cell r="B46" t="str">
            <v>Boston</v>
          </cell>
        </row>
        <row r="47">
          <cell r="B47" t="str">
            <v>Bournemouth</v>
          </cell>
        </row>
        <row r="48">
          <cell r="B48" t="str">
            <v>Bournemouth UA</v>
          </cell>
        </row>
        <row r="49">
          <cell r="B49" t="str">
            <v>Bracknell Forest</v>
          </cell>
        </row>
        <row r="50">
          <cell r="B50" t="str">
            <v>Bracknell Forest UA</v>
          </cell>
        </row>
        <row r="51">
          <cell r="B51" t="str">
            <v>Bradford</v>
          </cell>
        </row>
        <row r="52">
          <cell r="B52" t="str">
            <v>Braintree</v>
          </cell>
        </row>
        <row r="53">
          <cell r="B53" t="str">
            <v>Breckland</v>
          </cell>
        </row>
        <row r="54">
          <cell r="B54" t="str">
            <v>Brent</v>
          </cell>
        </row>
        <row r="55">
          <cell r="B55" t="str">
            <v>Brentwood</v>
          </cell>
        </row>
        <row r="56">
          <cell r="B56" t="str">
            <v>Bridgnorth</v>
          </cell>
        </row>
        <row r="57">
          <cell r="B57" t="str">
            <v xml:space="preserve">Brighton </v>
          </cell>
        </row>
        <row r="58">
          <cell r="B58" t="str">
            <v>Brighton &amp; Hove UA</v>
          </cell>
        </row>
        <row r="59">
          <cell r="B59" t="str">
            <v>Bristol</v>
          </cell>
        </row>
        <row r="60">
          <cell r="B60" t="str">
            <v>Bristol UA</v>
          </cell>
        </row>
        <row r="61">
          <cell r="B61" t="str">
            <v>Broadland</v>
          </cell>
        </row>
        <row r="62">
          <cell r="B62" t="str">
            <v>Bromley</v>
          </cell>
        </row>
        <row r="63">
          <cell r="B63" t="str">
            <v>Bromsgrove</v>
          </cell>
        </row>
        <row r="64">
          <cell r="B64" t="str">
            <v>Broxbourne</v>
          </cell>
        </row>
        <row r="65">
          <cell r="B65" t="str">
            <v>Broxtowe</v>
          </cell>
        </row>
        <row r="66">
          <cell r="B66" t="str">
            <v>Buckinghamshire</v>
          </cell>
        </row>
        <row r="67">
          <cell r="B67" t="str">
            <v>Buckinghamshire Combined Fire Authority</v>
          </cell>
        </row>
        <row r="68">
          <cell r="B68" t="str">
            <v>Burnley</v>
          </cell>
        </row>
        <row r="69">
          <cell r="B69" t="str">
            <v>Bury</v>
          </cell>
        </row>
        <row r="70">
          <cell r="B70" t="str">
            <v>Calderdale</v>
          </cell>
        </row>
        <row r="71">
          <cell r="B71" t="str">
            <v>Cambridge</v>
          </cell>
        </row>
        <row r="72">
          <cell r="B72" t="str">
            <v>Cambridgeshire</v>
          </cell>
        </row>
        <row r="73">
          <cell r="B73" t="str">
            <v>Cambridgeshire Combined Fire Authority</v>
          </cell>
        </row>
        <row r="74">
          <cell r="B74" t="str">
            <v>Cambridgeshire Police Authority</v>
          </cell>
        </row>
        <row r="75">
          <cell r="B75" t="str">
            <v>Camden</v>
          </cell>
        </row>
        <row r="76">
          <cell r="B76" t="str">
            <v>Cannock Chase</v>
          </cell>
        </row>
        <row r="77">
          <cell r="B77" t="str">
            <v>Canterbury</v>
          </cell>
        </row>
        <row r="78">
          <cell r="B78" t="str">
            <v>Caradon</v>
          </cell>
        </row>
        <row r="79">
          <cell r="B79" t="str">
            <v>Carlisle</v>
          </cell>
        </row>
        <row r="80">
          <cell r="B80" t="str">
            <v>Carrick</v>
          </cell>
        </row>
        <row r="81">
          <cell r="B81" t="str">
            <v>Castle Morpeth</v>
          </cell>
        </row>
        <row r="82">
          <cell r="B82" t="str">
            <v>Castle Point</v>
          </cell>
        </row>
        <row r="83">
          <cell r="B83" t="str">
            <v>Central Bedfordshire UA</v>
          </cell>
        </row>
        <row r="84">
          <cell r="B84" t="str">
            <v>Charnwood</v>
          </cell>
        </row>
        <row r="85">
          <cell r="B85" t="str">
            <v>Chelmsford</v>
          </cell>
        </row>
        <row r="86">
          <cell r="B86" t="str">
            <v>Cheltenham</v>
          </cell>
        </row>
        <row r="87">
          <cell r="B87" t="str">
            <v>Cherwell</v>
          </cell>
        </row>
        <row r="88">
          <cell r="B88" t="str">
            <v>Cheshire</v>
          </cell>
        </row>
        <row r="89">
          <cell r="B89" t="str">
            <v>Cheshire Combined Fire Authority</v>
          </cell>
        </row>
        <row r="90">
          <cell r="B90" t="str">
            <v>Cheshire East UA</v>
          </cell>
        </row>
        <row r="91">
          <cell r="B91" t="str">
            <v>Cheshire Police Authority</v>
          </cell>
        </row>
        <row r="92">
          <cell r="B92" t="str">
            <v>Cheshire West and Chester UA</v>
          </cell>
        </row>
        <row r="93">
          <cell r="B93" t="str">
            <v>Chester</v>
          </cell>
        </row>
        <row r="94">
          <cell r="B94" t="str">
            <v>Chesterfield</v>
          </cell>
        </row>
        <row r="95">
          <cell r="B95" t="str">
            <v>Chester-le-Street</v>
          </cell>
        </row>
        <row r="96">
          <cell r="B96" t="str">
            <v>Chichester</v>
          </cell>
        </row>
        <row r="97">
          <cell r="B97" t="str">
            <v>Chiltern</v>
          </cell>
        </row>
        <row r="98">
          <cell r="B98" t="str">
            <v>Chorley</v>
          </cell>
        </row>
        <row r="99">
          <cell r="B99" t="str">
            <v>Christchurch</v>
          </cell>
        </row>
        <row r="100">
          <cell r="B100" t="str">
            <v>City of London</v>
          </cell>
        </row>
        <row r="101">
          <cell r="B101" t="str">
            <v>City of Nottingham UA</v>
          </cell>
        </row>
        <row r="102">
          <cell r="B102" t="str">
            <v>Cleethorpes</v>
          </cell>
        </row>
        <row r="103">
          <cell r="B103" t="str">
            <v xml:space="preserve">Cleveland  </v>
          </cell>
        </row>
        <row r="104">
          <cell r="B104" t="str">
            <v>Cleveland Combined Fire Authority</v>
          </cell>
        </row>
        <row r="105">
          <cell r="B105" t="str">
            <v>Cleveland Police Authority</v>
          </cell>
        </row>
        <row r="106">
          <cell r="B106" t="str">
            <v>Colchester</v>
          </cell>
        </row>
        <row r="107">
          <cell r="B107" t="str">
            <v>Congleton</v>
          </cell>
        </row>
        <row r="108">
          <cell r="B108" t="str">
            <v>Copeland</v>
          </cell>
        </row>
        <row r="109">
          <cell r="B109" t="str">
            <v>Corby</v>
          </cell>
        </row>
        <row r="110">
          <cell r="B110" t="str">
            <v>Cornwall</v>
          </cell>
        </row>
        <row r="111">
          <cell r="B111" t="str">
            <v>Cornwall UA</v>
          </cell>
        </row>
        <row r="112">
          <cell r="B112" t="str">
            <v>Cotswold</v>
          </cell>
        </row>
        <row r="113">
          <cell r="B113" t="str">
            <v>Coventry</v>
          </cell>
        </row>
        <row r="114">
          <cell r="B114" t="str">
            <v>Craven</v>
          </cell>
        </row>
        <row r="115">
          <cell r="B115" t="str">
            <v>Crawley</v>
          </cell>
        </row>
        <row r="116">
          <cell r="B116" t="str">
            <v>Crewe &amp; Nantwich</v>
          </cell>
        </row>
        <row r="117">
          <cell r="B117" t="str">
            <v>Croydon</v>
          </cell>
        </row>
        <row r="118">
          <cell r="B118" t="str">
            <v>Cumbria</v>
          </cell>
        </row>
        <row r="119">
          <cell r="B119" t="str">
            <v>Cumbria Police Authority</v>
          </cell>
        </row>
        <row r="120">
          <cell r="B120" t="str">
            <v>Dacorum</v>
          </cell>
        </row>
        <row r="121">
          <cell r="B121" t="str">
            <v>Darlington</v>
          </cell>
        </row>
        <row r="122">
          <cell r="B122" t="str">
            <v>Darlington UA</v>
          </cell>
        </row>
        <row r="123">
          <cell r="B123" t="str">
            <v>Dartford</v>
          </cell>
        </row>
        <row r="124">
          <cell r="B124" t="str">
            <v>Daventry</v>
          </cell>
        </row>
        <row r="125">
          <cell r="B125" t="str">
            <v>Derby</v>
          </cell>
        </row>
        <row r="126">
          <cell r="B126" t="str">
            <v>Derby City UA</v>
          </cell>
        </row>
        <row r="127">
          <cell r="B127" t="str">
            <v>Derbyshire</v>
          </cell>
        </row>
        <row r="128">
          <cell r="B128" t="str">
            <v>Derbyshire Combined Fire Authority</v>
          </cell>
        </row>
        <row r="129">
          <cell r="B129" t="str">
            <v>Derbyshire Dales</v>
          </cell>
        </row>
        <row r="130">
          <cell r="B130" t="str">
            <v>Derbyshire Police Authority</v>
          </cell>
        </row>
        <row r="131">
          <cell r="B131" t="str">
            <v>Derwentside</v>
          </cell>
        </row>
        <row r="132">
          <cell r="B132" t="str">
            <v>Devon</v>
          </cell>
        </row>
        <row r="133">
          <cell r="B133" t="str">
            <v>Devon &amp; Cornwall Police Authority</v>
          </cell>
        </row>
        <row r="134">
          <cell r="B134" t="str">
            <v>Devon Combined Fire Authority</v>
          </cell>
        </row>
        <row r="135">
          <cell r="B135" t="str">
            <v>Devon &amp; Somerset Fire Authority</v>
          </cell>
        </row>
        <row r="136">
          <cell r="B136" t="str">
            <v>Doncaster</v>
          </cell>
        </row>
        <row r="137">
          <cell r="B137" t="str">
            <v>Dorset</v>
          </cell>
        </row>
        <row r="138">
          <cell r="B138" t="str">
            <v>Dorset and Wiltshire Fire and Rescue Authority</v>
          </cell>
        </row>
        <row r="139">
          <cell r="B139" t="str">
            <v>Dorset Combined Fire Authority</v>
          </cell>
        </row>
        <row r="140">
          <cell r="B140" t="str">
            <v>Dorset Police Authority</v>
          </cell>
        </row>
        <row r="141">
          <cell r="B141" t="str">
            <v>Dover</v>
          </cell>
        </row>
        <row r="142">
          <cell r="B142" t="str">
            <v>Dudley</v>
          </cell>
        </row>
        <row r="143">
          <cell r="B143" t="str">
            <v>Durham</v>
          </cell>
        </row>
        <row r="144">
          <cell r="B144" t="str">
            <v>Durham UA</v>
          </cell>
        </row>
        <row r="145">
          <cell r="B145" t="str">
            <v>Durham City</v>
          </cell>
        </row>
        <row r="146">
          <cell r="B146" t="str">
            <v>Durham Combined Fire Authority</v>
          </cell>
        </row>
        <row r="147">
          <cell r="B147" t="str">
            <v>Durham Police Authority</v>
          </cell>
        </row>
        <row r="148">
          <cell r="B148" t="str">
            <v>Ealing</v>
          </cell>
        </row>
        <row r="149">
          <cell r="B149" t="str">
            <v>Easington</v>
          </cell>
        </row>
        <row r="150">
          <cell r="B150" t="str">
            <v>East Cambridgeshire</v>
          </cell>
        </row>
        <row r="151">
          <cell r="B151" t="str">
            <v>East Devon</v>
          </cell>
        </row>
        <row r="152">
          <cell r="B152" t="str">
            <v>East Dorset</v>
          </cell>
        </row>
        <row r="153">
          <cell r="B153" t="str">
            <v>East Hampshire</v>
          </cell>
        </row>
        <row r="154">
          <cell r="B154" t="str">
            <v>East Hertfordshire</v>
          </cell>
        </row>
        <row r="155">
          <cell r="B155" t="str">
            <v>East Lindsey</v>
          </cell>
        </row>
        <row r="156">
          <cell r="B156" t="str">
            <v>East Northamptonshire</v>
          </cell>
        </row>
        <row r="157">
          <cell r="B157" t="str">
            <v>East Riding of Yorkshire UA</v>
          </cell>
        </row>
        <row r="158">
          <cell r="B158" t="str">
            <v>East Staffordshire</v>
          </cell>
        </row>
        <row r="159">
          <cell r="B159" t="str">
            <v>East Sussex</v>
          </cell>
        </row>
        <row r="160">
          <cell r="B160" t="str">
            <v>East Sussex Combined Fire Authority</v>
          </cell>
        </row>
        <row r="161">
          <cell r="B161" t="str">
            <v>East Yorkshire</v>
          </cell>
        </row>
        <row r="162">
          <cell r="B162" t="str">
            <v>Eastbourne</v>
          </cell>
        </row>
        <row r="163">
          <cell r="B163" t="str">
            <v>Eastleigh</v>
          </cell>
        </row>
        <row r="164">
          <cell r="B164" t="str">
            <v>Eden</v>
          </cell>
        </row>
        <row r="165">
          <cell r="B165" t="str">
            <v>Ellesmere Port &amp; Neston</v>
          </cell>
        </row>
        <row r="166">
          <cell r="B166" t="str">
            <v>Elmbridge</v>
          </cell>
        </row>
        <row r="167">
          <cell r="B167" t="str">
            <v>Enfield</v>
          </cell>
        </row>
        <row r="168">
          <cell r="B168" t="str">
            <v>Epping Forest</v>
          </cell>
        </row>
        <row r="169">
          <cell r="B169" t="str">
            <v>Epsom &amp; Ewell</v>
          </cell>
        </row>
        <row r="170">
          <cell r="B170" t="str">
            <v>Erewash</v>
          </cell>
        </row>
        <row r="171">
          <cell r="B171" t="str">
            <v>Essex</v>
          </cell>
        </row>
        <row r="172">
          <cell r="B172" t="str">
            <v>Essex Combined Fire Authority</v>
          </cell>
        </row>
        <row r="173">
          <cell r="B173" t="str">
            <v>Essex Police Authority</v>
          </cell>
        </row>
        <row r="174">
          <cell r="B174" t="str">
            <v>Exeter</v>
          </cell>
        </row>
        <row r="175">
          <cell r="B175" t="str">
            <v>Fareham</v>
          </cell>
        </row>
        <row r="176">
          <cell r="B176" t="str">
            <v>Fenland</v>
          </cell>
        </row>
        <row r="177">
          <cell r="B177" t="str">
            <v>Forest Heath</v>
          </cell>
        </row>
        <row r="178">
          <cell r="B178" t="str">
            <v>Forest of Dean</v>
          </cell>
        </row>
        <row r="179">
          <cell r="B179" t="str">
            <v>Fylde</v>
          </cell>
        </row>
        <row r="180">
          <cell r="B180" t="str">
            <v>Gateshead</v>
          </cell>
        </row>
        <row r="181">
          <cell r="B181" t="str">
            <v>Gedling</v>
          </cell>
        </row>
        <row r="182">
          <cell r="B182" t="str">
            <v>Gillingham</v>
          </cell>
        </row>
        <row r="183">
          <cell r="B183" t="str">
            <v>Glanford</v>
          </cell>
        </row>
        <row r="184">
          <cell r="B184" t="str">
            <v>Gloucester</v>
          </cell>
        </row>
        <row r="185">
          <cell r="B185" t="str">
            <v>Gloucestershire</v>
          </cell>
        </row>
        <row r="186">
          <cell r="B186" t="str">
            <v>Gloucestershire Police Authority</v>
          </cell>
        </row>
        <row r="187">
          <cell r="B187" t="str">
            <v>Gosport</v>
          </cell>
        </row>
        <row r="188">
          <cell r="B188" t="str">
            <v>Gravesham</v>
          </cell>
        </row>
        <row r="189">
          <cell r="B189" t="str">
            <v>Great Grimsby</v>
          </cell>
        </row>
        <row r="190">
          <cell r="B190" t="str">
            <v>Great Yarmouth</v>
          </cell>
        </row>
        <row r="191">
          <cell r="B191" t="str">
            <v>Greater London Authority</v>
          </cell>
        </row>
        <row r="192">
          <cell r="B192" t="str">
            <v>Greater Manchester Fire &amp; CD Authority</v>
          </cell>
        </row>
        <row r="193">
          <cell r="B193" t="str">
            <v>Greater Manchester Police Authority</v>
          </cell>
        </row>
        <row r="194">
          <cell r="B194" t="str">
            <v>Greenwich</v>
          </cell>
        </row>
        <row r="195">
          <cell r="B195" t="str">
            <v>Guildford</v>
          </cell>
        </row>
        <row r="196">
          <cell r="B196" t="str">
            <v>Hackney</v>
          </cell>
        </row>
        <row r="197">
          <cell r="B197" t="str">
            <v>Halton</v>
          </cell>
        </row>
        <row r="198">
          <cell r="B198" t="str">
            <v>Halton UA</v>
          </cell>
        </row>
        <row r="199">
          <cell r="B199" t="str">
            <v>Hambleton</v>
          </cell>
        </row>
        <row r="200">
          <cell r="B200" t="str">
            <v>Hammersmith &amp; Fulham</v>
          </cell>
        </row>
        <row r="201">
          <cell r="B201" t="str">
            <v>Hampshire</v>
          </cell>
        </row>
        <row r="202">
          <cell r="B202" t="str">
            <v>Hampshire Combined Fire Authority</v>
          </cell>
        </row>
        <row r="203">
          <cell r="B203" t="str">
            <v>Hampshire Police Authority</v>
          </cell>
        </row>
        <row r="204">
          <cell r="B204" t="str">
            <v>Harborough</v>
          </cell>
        </row>
        <row r="205">
          <cell r="B205" t="str">
            <v>Haringey</v>
          </cell>
        </row>
        <row r="206">
          <cell r="B206" t="str">
            <v>Harlow</v>
          </cell>
        </row>
        <row r="207">
          <cell r="B207" t="str">
            <v>Harrogate</v>
          </cell>
        </row>
        <row r="208">
          <cell r="B208" t="str">
            <v>Harrow</v>
          </cell>
        </row>
        <row r="209">
          <cell r="B209" t="str">
            <v>Hart</v>
          </cell>
        </row>
        <row r="210">
          <cell r="B210" t="str">
            <v>Hartlepool</v>
          </cell>
        </row>
        <row r="211">
          <cell r="B211" t="str">
            <v>Hartlepool UA</v>
          </cell>
        </row>
        <row r="212">
          <cell r="B212" t="str">
            <v>Hastings</v>
          </cell>
        </row>
        <row r="213">
          <cell r="B213" t="str">
            <v>Havant</v>
          </cell>
        </row>
        <row r="214">
          <cell r="B214" t="str">
            <v>Havering</v>
          </cell>
        </row>
        <row r="215">
          <cell r="B215" t="str">
            <v xml:space="preserve">Hereford </v>
          </cell>
        </row>
        <row r="216">
          <cell r="B216" t="str">
            <v>Hereford &amp; Worcester Combined Fire Authority</v>
          </cell>
        </row>
        <row r="217">
          <cell r="B217" t="str">
            <v>Hereford and Worcester</v>
          </cell>
        </row>
        <row r="218">
          <cell r="B218" t="str">
            <v>Herefordshire UA</v>
          </cell>
        </row>
        <row r="219">
          <cell r="B219" t="str">
            <v>Hertfordshire</v>
          </cell>
        </row>
        <row r="220">
          <cell r="B220" t="str">
            <v>Hertfordshire Police Authority</v>
          </cell>
        </row>
        <row r="221">
          <cell r="B221" t="str">
            <v>Hertsmere</v>
          </cell>
        </row>
        <row r="222">
          <cell r="B222" t="str">
            <v>High Peak</v>
          </cell>
        </row>
        <row r="223">
          <cell r="B223" t="str">
            <v>Hillingdon</v>
          </cell>
        </row>
        <row r="224">
          <cell r="B224" t="str">
            <v>Hinckley &amp; Bosworth</v>
          </cell>
        </row>
        <row r="225">
          <cell r="B225" t="str">
            <v>Holderness</v>
          </cell>
        </row>
        <row r="226">
          <cell r="B226" t="str">
            <v>Horsham</v>
          </cell>
        </row>
        <row r="227">
          <cell r="B227" t="str">
            <v>Hounslow</v>
          </cell>
        </row>
        <row r="228">
          <cell r="B228" t="str">
            <v>Hove</v>
          </cell>
        </row>
        <row r="229">
          <cell r="B229" t="str">
            <v xml:space="preserve">Humberside  </v>
          </cell>
        </row>
        <row r="230">
          <cell r="B230" t="str">
            <v>Humberside Combined Fire Authority</v>
          </cell>
        </row>
        <row r="231">
          <cell r="B231" t="str">
            <v>Humberside Police Authority</v>
          </cell>
        </row>
        <row r="232">
          <cell r="B232" t="str">
            <v>Huntingdonshire</v>
          </cell>
        </row>
        <row r="233">
          <cell r="B233" t="str">
            <v>Hyndburn</v>
          </cell>
        </row>
        <row r="234">
          <cell r="B234" t="str">
            <v>Ipswich</v>
          </cell>
        </row>
        <row r="235">
          <cell r="B235" t="str">
            <v>Isle of Wight UA</v>
          </cell>
        </row>
        <row r="236">
          <cell r="B236" t="str">
            <v>Isles of Scilly</v>
          </cell>
        </row>
        <row r="237">
          <cell r="B237" t="str">
            <v>Islington</v>
          </cell>
        </row>
        <row r="238">
          <cell r="B238" t="str">
            <v>Kennet</v>
          </cell>
        </row>
        <row r="239">
          <cell r="B239" t="str">
            <v>Kensington &amp; Chelsea</v>
          </cell>
        </row>
        <row r="240">
          <cell r="B240" t="str">
            <v>Kent</v>
          </cell>
        </row>
        <row r="241">
          <cell r="B241" t="str">
            <v>Kent Combined Fire Authority</v>
          </cell>
        </row>
        <row r="242">
          <cell r="B242" t="str">
            <v>Kent Police Authority</v>
          </cell>
        </row>
        <row r="243">
          <cell r="B243" t="str">
            <v>Kerrier</v>
          </cell>
        </row>
        <row r="244">
          <cell r="B244" t="str">
            <v>Kettering</v>
          </cell>
        </row>
        <row r="245">
          <cell r="B245" t="str">
            <v>King's Lynn &amp; West Norfolk</v>
          </cell>
        </row>
        <row r="246">
          <cell r="B246" t="str">
            <v>Kingston upon Hull</v>
          </cell>
        </row>
        <row r="247">
          <cell r="B247" t="str">
            <v>Kingston upon Hull UA</v>
          </cell>
        </row>
        <row r="248">
          <cell r="B248" t="str">
            <v>Kingston upon Thames</v>
          </cell>
        </row>
        <row r="249">
          <cell r="B249" t="str">
            <v>Kingswood</v>
          </cell>
        </row>
        <row r="250">
          <cell r="B250" t="str">
            <v>Kirklees</v>
          </cell>
        </row>
        <row r="251">
          <cell r="B251" t="str">
            <v>Knowsley</v>
          </cell>
        </row>
        <row r="252">
          <cell r="B252" t="str">
            <v>Lambeth</v>
          </cell>
        </row>
        <row r="253">
          <cell r="B253" t="str">
            <v>Lancashire</v>
          </cell>
        </row>
        <row r="254">
          <cell r="B254" t="str">
            <v>Lancashire Combined Fire Authority</v>
          </cell>
        </row>
        <row r="255">
          <cell r="B255" t="str">
            <v>Lancashire Police Authority</v>
          </cell>
        </row>
        <row r="256">
          <cell r="B256" t="str">
            <v>Lancaster</v>
          </cell>
        </row>
        <row r="257">
          <cell r="B257" t="str">
            <v>Langbaurgh-on-Tees</v>
          </cell>
        </row>
        <row r="258">
          <cell r="B258" t="str">
            <v>Leeds</v>
          </cell>
        </row>
        <row r="259">
          <cell r="B259" t="str">
            <v>Leicester</v>
          </cell>
        </row>
        <row r="260">
          <cell r="B260" t="str">
            <v>Leicester City UA</v>
          </cell>
        </row>
        <row r="261">
          <cell r="B261" t="str">
            <v>Leicestershire</v>
          </cell>
        </row>
        <row r="262">
          <cell r="B262" t="str">
            <v>Leicestershire Combined Fire Authority</v>
          </cell>
        </row>
        <row r="263">
          <cell r="B263" t="str">
            <v>Leicestershire Police Authority</v>
          </cell>
        </row>
        <row r="264">
          <cell r="B264" t="str">
            <v>Leominster</v>
          </cell>
        </row>
        <row r="265">
          <cell r="B265" t="str">
            <v>Lewes</v>
          </cell>
        </row>
        <row r="266">
          <cell r="B266" t="str">
            <v>Lewisham</v>
          </cell>
        </row>
        <row r="267">
          <cell r="B267" t="str">
            <v>Lichfield</v>
          </cell>
        </row>
        <row r="268">
          <cell r="B268" t="str">
            <v>Lincoln</v>
          </cell>
        </row>
        <row r="269">
          <cell r="B269" t="str">
            <v>Lincolnshire</v>
          </cell>
        </row>
        <row r="270">
          <cell r="B270" t="str">
            <v>Lincolnshire Police Authority</v>
          </cell>
        </row>
        <row r="271">
          <cell r="B271" t="str">
            <v>Liverpool</v>
          </cell>
        </row>
        <row r="272">
          <cell r="B272" t="str">
            <v>Luton</v>
          </cell>
        </row>
        <row r="273">
          <cell r="B273" t="str">
            <v>Luton UA</v>
          </cell>
        </row>
        <row r="274">
          <cell r="B274" t="str">
            <v>Macclesfield</v>
          </cell>
        </row>
        <row r="275">
          <cell r="B275" t="str">
            <v>Maidstone</v>
          </cell>
        </row>
        <row r="276">
          <cell r="B276" t="str">
            <v>Maldon</v>
          </cell>
        </row>
        <row r="277">
          <cell r="B277" t="str">
            <v>Malvern Hills</v>
          </cell>
        </row>
        <row r="278">
          <cell r="B278" t="str">
            <v>Manchester</v>
          </cell>
        </row>
        <row r="279">
          <cell r="B279" t="str">
            <v>Mansfield</v>
          </cell>
        </row>
        <row r="280">
          <cell r="B280" t="str">
            <v>Medina</v>
          </cell>
        </row>
        <row r="281">
          <cell r="B281" t="str">
            <v>Medway UA</v>
          </cell>
        </row>
        <row r="282">
          <cell r="B282" t="str">
            <v>Melton</v>
          </cell>
        </row>
        <row r="283">
          <cell r="B283" t="str">
            <v>Mendip</v>
          </cell>
        </row>
        <row r="284">
          <cell r="B284" t="str">
            <v>Merseyside Fire &amp; CD Authority</v>
          </cell>
        </row>
        <row r="285">
          <cell r="B285" t="str">
            <v>Merseyside Police Authority</v>
          </cell>
        </row>
        <row r="286">
          <cell r="B286" t="str">
            <v>Merton</v>
          </cell>
        </row>
        <row r="287">
          <cell r="B287" t="str">
            <v>Mid Bedfordshire</v>
          </cell>
        </row>
        <row r="288">
          <cell r="B288" t="str">
            <v>Mid Devon</v>
          </cell>
        </row>
        <row r="289">
          <cell r="B289" t="str">
            <v>Mid Suffolk</v>
          </cell>
        </row>
        <row r="290">
          <cell r="B290" t="str">
            <v>Mid Sussex</v>
          </cell>
        </row>
        <row r="291">
          <cell r="B291" t="str">
            <v>Middlesbrough</v>
          </cell>
        </row>
        <row r="292">
          <cell r="B292" t="str">
            <v>Middlesbrough UA</v>
          </cell>
        </row>
        <row r="293">
          <cell r="B293" t="str">
            <v>Milton Keynes</v>
          </cell>
        </row>
        <row r="294">
          <cell r="B294" t="str">
            <v>Milton Keynes UA</v>
          </cell>
        </row>
        <row r="295">
          <cell r="B295" t="str">
            <v>Mole Valley</v>
          </cell>
        </row>
        <row r="296">
          <cell r="B296" t="str">
            <v>New Forest</v>
          </cell>
        </row>
        <row r="297">
          <cell r="B297" t="str">
            <v>Newark &amp; Sherwood</v>
          </cell>
        </row>
        <row r="298">
          <cell r="B298" t="str">
            <v>Newbury</v>
          </cell>
        </row>
        <row r="299">
          <cell r="B299" t="str">
            <v>Newcastle upon Tyne</v>
          </cell>
        </row>
        <row r="300">
          <cell r="B300" t="str">
            <v>Newcastle-under-Lyme</v>
          </cell>
        </row>
        <row r="301">
          <cell r="B301" t="str">
            <v>Newham</v>
          </cell>
        </row>
        <row r="302">
          <cell r="B302" t="str">
            <v>Norfolk</v>
          </cell>
        </row>
        <row r="303">
          <cell r="B303" t="str">
            <v>Norfolk Police Authority</v>
          </cell>
        </row>
        <row r="304">
          <cell r="B304" t="str">
            <v>North Bedfordshire</v>
          </cell>
        </row>
        <row r="305">
          <cell r="B305" t="str">
            <v>North Cornwall</v>
          </cell>
        </row>
        <row r="306">
          <cell r="B306" t="str">
            <v>North Devon</v>
          </cell>
        </row>
        <row r="307">
          <cell r="B307" t="str">
            <v>North Dorset</v>
          </cell>
        </row>
        <row r="308">
          <cell r="B308" t="str">
            <v>North East Derbyshire</v>
          </cell>
        </row>
        <row r="309">
          <cell r="B309" t="str">
            <v>North East Lincolnshire UA</v>
          </cell>
        </row>
        <row r="310">
          <cell r="B310" t="str">
            <v>North Hertfordshire</v>
          </cell>
        </row>
        <row r="311">
          <cell r="B311" t="str">
            <v>North Kesteven</v>
          </cell>
        </row>
        <row r="312">
          <cell r="B312" t="str">
            <v>North Lincolnshire UA</v>
          </cell>
        </row>
        <row r="313">
          <cell r="B313" t="str">
            <v>North Norfolk</v>
          </cell>
        </row>
        <row r="314">
          <cell r="B314" t="str">
            <v>North Shropshire</v>
          </cell>
        </row>
        <row r="315">
          <cell r="B315" t="str">
            <v>North Somerset UA</v>
          </cell>
        </row>
        <row r="316">
          <cell r="B316" t="str">
            <v>North Tyneside</v>
          </cell>
        </row>
        <row r="317">
          <cell r="B317" t="str">
            <v>North Warwickshire</v>
          </cell>
        </row>
        <row r="318">
          <cell r="B318" t="str">
            <v>North West Leicestershire</v>
          </cell>
        </row>
        <row r="319">
          <cell r="B319" t="str">
            <v>North Wiltshire</v>
          </cell>
        </row>
        <row r="320">
          <cell r="B320" t="str">
            <v>North Yorkshire</v>
          </cell>
        </row>
        <row r="321">
          <cell r="B321" t="str">
            <v>North Yorkshire Combined Fire Authority</v>
          </cell>
        </row>
        <row r="322">
          <cell r="B322" t="str">
            <v>North Yorkshire Police Authority</v>
          </cell>
        </row>
        <row r="323">
          <cell r="B323" t="str">
            <v>Northampton</v>
          </cell>
        </row>
        <row r="324">
          <cell r="B324" t="str">
            <v>Northamptonshire</v>
          </cell>
        </row>
        <row r="325">
          <cell r="B325" t="str">
            <v>Northamptonshire Police Authority</v>
          </cell>
        </row>
        <row r="326">
          <cell r="B326" t="str">
            <v>Northavon</v>
          </cell>
        </row>
        <row r="327">
          <cell r="B327" t="str">
            <v>Northumberland</v>
          </cell>
        </row>
        <row r="328">
          <cell r="B328" t="str">
            <v>Northumberland UA</v>
          </cell>
        </row>
        <row r="329">
          <cell r="B329" t="str">
            <v>Northumbria Police Authority</v>
          </cell>
        </row>
        <row r="330">
          <cell r="B330" t="str">
            <v>Norwich</v>
          </cell>
        </row>
        <row r="331">
          <cell r="B331" t="str">
            <v>Nottingham</v>
          </cell>
        </row>
        <row r="332">
          <cell r="B332" t="str">
            <v>Nottinghamshire</v>
          </cell>
        </row>
        <row r="333">
          <cell r="B333" t="str">
            <v>Nottinghamshire Combined Fire Authority</v>
          </cell>
        </row>
        <row r="334">
          <cell r="B334" t="str">
            <v>Nottinghamshire Police Authority</v>
          </cell>
        </row>
        <row r="335">
          <cell r="B335" t="str">
            <v>Nuneaton &amp; Bedworth</v>
          </cell>
        </row>
        <row r="336">
          <cell r="B336" t="str">
            <v>Oadby &amp; Wigston</v>
          </cell>
        </row>
        <row r="337">
          <cell r="B337" t="str">
            <v>Oldham</v>
          </cell>
        </row>
        <row r="338">
          <cell r="B338" t="str">
            <v>Oswestry</v>
          </cell>
        </row>
        <row r="339">
          <cell r="B339" t="str">
            <v>Oxford</v>
          </cell>
        </row>
        <row r="340">
          <cell r="B340" t="str">
            <v>Oxfordshire</v>
          </cell>
        </row>
        <row r="341">
          <cell r="B341" t="str">
            <v>Pendle</v>
          </cell>
        </row>
        <row r="342">
          <cell r="B342" t="str">
            <v>Penwith</v>
          </cell>
        </row>
        <row r="343">
          <cell r="B343" t="str">
            <v>Peterborough</v>
          </cell>
        </row>
        <row r="344">
          <cell r="B344" t="str">
            <v>Peterborough UA</v>
          </cell>
        </row>
        <row r="345">
          <cell r="B345" t="str">
            <v>Plymouth</v>
          </cell>
        </row>
        <row r="346">
          <cell r="B346" t="str">
            <v>Plymouth UA</v>
          </cell>
        </row>
        <row r="347">
          <cell r="B347" t="str">
            <v>Poole</v>
          </cell>
        </row>
        <row r="348">
          <cell r="B348" t="str">
            <v>Poole UA</v>
          </cell>
        </row>
        <row r="349">
          <cell r="B349" t="str">
            <v>Portsmouth</v>
          </cell>
        </row>
        <row r="350">
          <cell r="B350" t="str">
            <v>Portsmouth UA</v>
          </cell>
        </row>
        <row r="351">
          <cell r="B351" t="str">
            <v>Preston</v>
          </cell>
        </row>
        <row r="352">
          <cell r="B352" t="str">
            <v>Purbeck</v>
          </cell>
        </row>
        <row r="353">
          <cell r="B353" t="str">
            <v>Reading</v>
          </cell>
        </row>
        <row r="354">
          <cell r="B354" t="str">
            <v>Reading UA</v>
          </cell>
        </row>
        <row r="355">
          <cell r="B355" t="str">
            <v>Receiver for the Metropolitan Police District</v>
          </cell>
        </row>
        <row r="356">
          <cell r="B356" t="str">
            <v>Redbridge</v>
          </cell>
        </row>
        <row r="357">
          <cell r="B357" t="str">
            <v>Redcar &amp; Cleveland UA</v>
          </cell>
        </row>
        <row r="358">
          <cell r="B358" t="str">
            <v>Redditch</v>
          </cell>
        </row>
        <row r="359">
          <cell r="B359" t="str">
            <v>Reigate &amp; Banstead</v>
          </cell>
        </row>
        <row r="360">
          <cell r="B360" t="str">
            <v>Restormel</v>
          </cell>
        </row>
        <row r="361">
          <cell r="B361" t="str">
            <v>Ribble Valley</v>
          </cell>
        </row>
        <row r="362">
          <cell r="B362" t="str">
            <v>Richmond upon Thames</v>
          </cell>
        </row>
        <row r="363">
          <cell r="B363" t="str">
            <v>Richmondshire</v>
          </cell>
        </row>
        <row r="364">
          <cell r="B364" t="str">
            <v>Rochdale</v>
          </cell>
        </row>
        <row r="365">
          <cell r="B365" t="str">
            <v>Rochester upon Medway</v>
          </cell>
        </row>
        <row r="366">
          <cell r="B366" t="str">
            <v>Rochford</v>
          </cell>
        </row>
        <row r="367">
          <cell r="B367" t="str">
            <v>Rossendale</v>
          </cell>
        </row>
        <row r="368">
          <cell r="B368" t="str">
            <v>Rother</v>
          </cell>
        </row>
        <row r="369">
          <cell r="B369" t="str">
            <v>Rotherham</v>
          </cell>
        </row>
        <row r="370">
          <cell r="B370" t="str">
            <v>Rugby</v>
          </cell>
        </row>
        <row r="371">
          <cell r="B371" t="str">
            <v>Runnymede</v>
          </cell>
        </row>
        <row r="372">
          <cell r="B372" t="str">
            <v>Rushcliffe</v>
          </cell>
        </row>
        <row r="373">
          <cell r="B373" t="str">
            <v>Rushmoor</v>
          </cell>
        </row>
        <row r="374">
          <cell r="B374" t="str">
            <v>Rutland</v>
          </cell>
        </row>
        <row r="375">
          <cell r="B375" t="str">
            <v>Rutland UA</v>
          </cell>
        </row>
        <row r="376">
          <cell r="B376" t="str">
            <v>Ryedale</v>
          </cell>
        </row>
        <row r="377">
          <cell r="B377" t="str">
            <v>Salford</v>
          </cell>
        </row>
        <row r="378">
          <cell r="B378" t="str">
            <v>Salisbury</v>
          </cell>
        </row>
        <row r="379">
          <cell r="B379" t="str">
            <v>Sandwell</v>
          </cell>
        </row>
        <row r="380">
          <cell r="B380" t="str">
            <v>Scarborough</v>
          </cell>
        </row>
        <row r="381">
          <cell r="B381" t="str">
            <v>Scunthorpe</v>
          </cell>
        </row>
        <row r="382">
          <cell r="B382" t="str">
            <v>Sedgefield</v>
          </cell>
        </row>
        <row r="383">
          <cell r="B383" t="str">
            <v>Sedgemoor</v>
          </cell>
        </row>
        <row r="384">
          <cell r="B384" t="str">
            <v>Sefton</v>
          </cell>
        </row>
        <row r="385">
          <cell r="B385" t="str">
            <v>Selby</v>
          </cell>
        </row>
        <row r="386">
          <cell r="B386" t="str">
            <v>Sevenoaks</v>
          </cell>
        </row>
        <row r="387">
          <cell r="B387" t="str">
            <v>Sheffield</v>
          </cell>
        </row>
        <row r="388">
          <cell r="B388" t="str">
            <v>Shepway</v>
          </cell>
        </row>
        <row r="389">
          <cell r="B389" t="str">
            <v>Shrewsbury &amp; Atcham</v>
          </cell>
        </row>
        <row r="390">
          <cell r="B390" t="str">
            <v>Shropshire</v>
          </cell>
        </row>
        <row r="391">
          <cell r="B391" t="str">
            <v>Shropshire Combined Fire Authority</v>
          </cell>
        </row>
        <row r="392">
          <cell r="B392" t="str">
            <v>Shropshire UA</v>
          </cell>
        </row>
        <row r="393">
          <cell r="B393" t="str">
            <v>Slough</v>
          </cell>
        </row>
        <row r="394">
          <cell r="B394" t="str">
            <v>Slough UA</v>
          </cell>
        </row>
        <row r="395">
          <cell r="B395" t="str">
            <v>Solihull</v>
          </cell>
        </row>
        <row r="396">
          <cell r="B396" t="str">
            <v>Somerset</v>
          </cell>
        </row>
        <row r="397">
          <cell r="B397" t="str">
            <v>South Bedfordshire</v>
          </cell>
        </row>
        <row r="398">
          <cell r="B398" t="str">
            <v>South Bucks</v>
          </cell>
        </row>
        <row r="399">
          <cell r="B399" t="str">
            <v>South Cambridgeshire</v>
          </cell>
        </row>
        <row r="400">
          <cell r="B400" t="str">
            <v>South Derbyshire</v>
          </cell>
        </row>
        <row r="401">
          <cell r="B401" t="str">
            <v>South Gloucestershire UA</v>
          </cell>
        </row>
        <row r="402">
          <cell r="B402" t="str">
            <v>South Hams</v>
          </cell>
        </row>
        <row r="403">
          <cell r="B403" t="str">
            <v>South Herefordshire</v>
          </cell>
        </row>
        <row r="404">
          <cell r="B404" t="str">
            <v>South Holland</v>
          </cell>
        </row>
        <row r="405">
          <cell r="B405" t="str">
            <v>South Kesteven</v>
          </cell>
        </row>
        <row r="406">
          <cell r="B406" t="str">
            <v>South Lakeland</v>
          </cell>
        </row>
        <row r="407">
          <cell r="B407" t="str">
            <v>South Norfolk</v>
          </cell>
        </row>
        <row r="408">
          <cell r="B408" t="str">
            <v>South Northamptonshire</v>
          </cell>
        </row>
        <row r="409">
          <cell r="B409" t="str">
            <v>South Oxfordshire</v>
          </cell>
        </row>
        <row r="410">
          <cell r="B410" t="str">
            <v>South Ribble</v>
          </cell>
        </row>
        <row r="411">
          <cell r="B411" t="str">
            <v>South Shropshire</v>
          </cell>
        </row>
        <row r="412">
          <cell r="B412" t="str">
            <v>South Somerset</v>
          </cell>
        </row>
        <row r="413">
          <cell r="B413" t="str">
            <v>South Staffordshire</v>
          </cell>
        </row>
        <row r="414">
          <cell r="B414" t="str">
            <v>South Tyneside</v>
          </cell>
        </row>
        <row r="415">
          <cell r="B415" t="str">
            <v>South Wight</v>
          </cell>
        </row>
        <row r="416">
          <cell r="B416" t="str">
            <v>South Yorkshire Fire &amp; CD Authority</v>
          </cell>
        </row>
        <row r="417">
          <cell r="B417" t="str">
            <v>South Yorkshire Police Authority</v>
          </cell>
        </row>
        <row r="418">
          <cell r="B418" t="str">
            <v>Southampton</v>
          </cell>
        </row>
        <row r="419">
          <cell r="B419" t="str">
            <v>Southampton UA</v>
          </cell>
        </row>
        <row r="420">
          <cell r="B420" t="str">
            <v>Southend-on-Sea</v>
          </cell>
        </row>
        <row r="421">
          <cell r="B421" t="str">
            <v>Southend-on-Sea UA</v>
          </cell>
        </row>
        <row r="422">
          <cell r="B422" t="str">
            <v>Southwark</v>
          </cell>
        </row>
        <row r="423">
          <cell r="B423" t="str">
            <v>Spelthorne</v>
          </cell>
        </row>
        <row r="424">
          <cell r="B424" t="str">
            <v>St Albans</v>
          </cell>
        </row>
        <row r="425">
          <cell r="B425" t="str">
            <v>St Edmundsbury</v>
          </cell>
        </row>
        <row r="426">
          <cell r="B426" t="str">
            <v>St Helens</v>
          </cell>
        </row>
        <row r="427">
          <cell r="B427" t="str">
            <v>Stafford</v>
          </cell>
        </row>
        <row r="428">
          <cell r="B428" t="str">
            <v>Staffordshire</v>
          </cell>
        </row>
        <row r="429">
          <cell r="B429" t="str">
            <v>Staffordshire Combined Fire Authority</v>
          </cell>
        </row>
        <row r="430">
          <cell r="B430" t="str">
            <v>Staffordshire Moorlands</v>
          </cell>
        </row>
        <row r="431">
          <cell r="B431" t="str">
            <v>Staffordshire Police Authority</v>
          </cell>
        </row>
        <row r="432">
          <cell r="B432" t="str">
            <v>Stevenage</v>
          </cell>
        </row>
        <row r="433">
          <cell r="B433" t="str">
            <v>Stockport</v>
          </cell>
        </row>
        <row r="434">
          <cell r="B434" t="str">
            <v>Stockton-on-Tees</v>
          </cell>
        </row>
        <row r="435">
          <cell r="B435" t="str">
            <v>Stockton-on-Tees UA</v>
          </cell>
        </row>
        <row r="436">
          <cell r="B436" t="str">
            <v>Stoke-On-Trent</v>
          </cell>
        </row>
        <row r="437">
          <cell r="B437" t="str">
            <v>Stoke-on-Trent UA</v>
          </cell>
        </row>
        <row r="438">
          <cell r="B438" t="str">
            <v>Stratford-on-Avon</v>
          </cell>
        </row>
        <row r="439">
          <cell r="B439" t="str">
            <v>Stroud</v>
          </cell>
        </row>
        <row r="440">
          <cell r="B440" t="str">
            <v>Suffolk</v>
          </cell>
        </row>
        <row r="441">
          <cell r="B441" t="str">
            <v>Suffolk Coastal</v>
          </cell>
        </row>
        <row r="442">
          <cell r="B442" t="str">
            <v>Suffolk Police Authority</v>
          </cell>
        </row>
        <row r="443">
          <cell r="B443" t="str">
            <v>Sunderland</v>
          </cell>
        </row>
        <row r="444">
          <cell r="B444" t="str">
            <v>Surrey</v>
          </cell>
        </row>
        <row r="445">
          <cell r="B445" t="str">
            <v>Surrey Heath</v>
          </cell>
        </row>
        <row r="446">
          <cell r="B446" t="str">
            <v>Surrey Police Authority</v>
          </cell>
        </row>
        <row r="447">
          <cell r="B447" t="str">
            <v>Sussex Police Authority</v>
          </cell>
        </row>
        <row r="448">
          <cell r="B448" t="str">
            <v>Sutton</v>
          </cell>
        </row>
        <row r="449">
          <cell r="B449" t="str">
            <v>Swale</v>
          </cell>
        </row>
        <row r="450">
          <cell r="B450" t="str">
            <v>Swindon UA</v>
          </cell>
        </row>
        <row r="451">
          <cell r="B451" t="str">
            <v>Tameside</v>
          </cell>
        </row>
        <row r="452">
          <cell r="B452" t="str">
            <v>Tamworth</v>
          </cell>
        </row>
        <row r="453">
          <cell r="B453" t="str">
            <v>Tandridge</v>
          </cell>
        </row>
        <row r="454">
          <cell r="B454" t="str">
            <v>Taunton Deane</v>
          </cell>
        </row>
        <row r="455">
          <cell r="B455" t="str">
            <v>Teesdale</v>
          </cell>
        </row>
        <row r="456">
          <cell r="B456" t="str">
            <v>Teignbridge</v>
          </cell>
        </row>
        <row r="457">
          <cell r="B457" t="str">
            <v>Telford and the Wrekin UA</v>
          </cell>
        </row>
        <row r="458">
          <cell r="B458" t="str">
            <v>Tendring</v>
          </cell>
        </row>
        <row r="459">
          <cell r="B459" t="str">
            <v>Test Valley</v>
          </cell>
        </row>
        <row r="460">
          <cell r="B460" t="str">
            <v>Tewkesbury</v>
          </cell>
        </row>
        <row r="461">
          <cell r="B461" t="str">
            <v>Thames Valley Police Authority</v>
          </cell>
        </row>
        <row r="462">
          <cell r="B462" t="str">
            <v>Thamesdown</v>
          </cell>
        </row>
        <row r="463">
          <cell r="B463" t="str">
            <v>Thanet</v>
          </cell>
        </row>
        <row r="464">
          <cell r="B464" t="str">
            <v>The Wrekin</v>
          </cell>
        </row>
        <row r="465">
          <cell r="B465" t="str">
            <v>Three Rivers</v>
          </cell>
        </row>
        <row r="466">
          <cell r="B466" t="str">
            <v>Thurrock</v>
          </cell>
        </row>
        <row r="467">
          <cell r="B467" t="str">
            <v>Thurrock UA</v>
          </cell>
        </row>
        <row r="468">
          <cell r="B468" t="str">
            <v>Tonbridge &amp; Malling</v>
          </cell>
        </row>
        <row r="469">
          <cell r="B469" t="str">
            <v>Torbay</v>
          </cell>
        </row>
        <row r="470">
          <cell r="B470" t="str">
            <v>Torbay UA</v>
          </cell>
        </row>
        <row r="471">
          <cell r="B471" t="str">
            <v>Torridge</v>
          </cell>
        </row>
        <row r="472">
          <cell r="B472" t="str">
            <v>Tower Hamlets</v>
          </cell>
        </row>
        <row r="473">
          <cell r="B473" t="str">
            <v>Trafford</v>
          </cell>
        </row>
        <row r="474">
          <cell r="B474" t="str">
            <v>Tunbridge Wells</v>
          </cell>
        </row>
        <row r="475">
          <cell r="B475" t="str">
            <v>Tyne and Wear Fire &amp; CD Authority</v>
          </cell>
        </row>
        <row r="476">
          <cell r="B476" t="str">
            <v>Tynedale</v>
          </cell>
        </row>
        <row r="477">
          <cell r="B477" t="str">
            <v>Uttlesford</v>
          </cell>
        </row>
        <row r="478">
          <cell r="B478" t="str">
            <v>Vale of White Horse</v>
          </cell>
        </row>
        <row r="479">
          <cell r="B479" t="str">
            <v>Vale Royal</v>
          </cell>
        </row>
        <row r="480">
          <cell r="B480" t="str">
            <v>Wakefield</v>
          </cell>
        </row>
        <row r="481">
          <cell r="B481" t="str">
            <v>Walsall</v>
          </cell>
        </row>
        <row r="482">
          <cell r="B482" t="str">
            <v>Waltham Forest</v>
          </cell>
        </row>
        <row r="483">
          <cell r="B483" t="str">
            <v>Wandsworth</v>
          </cell>
        </row>
        <row r="484">
          <cell r="B484" t="str">
            <v>Wansbeck</v>
          </cell>
        </row>
        <row r="485">
          <cell r="B485" t="str">
            <v>Wansdyke</v>
          </cell>
        </row>
        <row r="486">
          <cell r="B486" t="str">
            <v>Warrington</v>
          </cell>
        </row>
        <row r="487">
          <cell r="B487" t="str">
            <v>Warrington UA</v>
          </cell>
        </row>
        <row r="488">
          <cell r="B488" t="str">
            <v>Warwick</v>
          </cell>
        </row>
        <row r="489">
          <cell r="B489" t="str">
            <v>Warwickshire</v>
          </cell>
        </row>
        <row r="490">
          <cell r="B490" t="str">
            <v>Warwickshire Police Authority</v>
          </cell>
        </row>
        <row r="491">
          <cell r="B491" t="str">
            <v>Watford</v>
          </cell>
        </row>
        <row r="492">
          <cell r="B492" t="str">
            <v>Waveney</v>
          </cell>
        </row>
        <row r="493">
          <cell r="B493" t="str">
            <v>Waverley</v>
          </cell>
        </row>
        <row r="494">
          <cell r="B494" t="str">
            <v>Wealden</v>
          </cell>
        </row>
        <row r="495">
          <cell r="B495" t="str">
            <v>Wear Valley</v>
          </cell>
        </row>
        <row r="496">
          <cell r="B496" t="str">
            <v>Wellingborough</v>
          </cell>
        </row>
        <row r="497">
          <cell r="B497" t="str">
            <v>Welwyn Hatfield</v>
          </cell>
        </row>
        <row r="498">
          <cell r="B498" t="str">
            <v>West Berkshire UA</v>
          </cell>
        </row>
        <row r="499">
          <cell r="B499" t="str">
            <v>West Devon</v>
          </cell>
        </row>
        <row r="500">
          <cell r="B500" t="str">
            <v>West Dorset</v>
          </cell>
        </row>
        <row r="501">
          <cell r="B501" t="str">
            <v>West Lancashire</v>
          </cell>
        </row>
        <row r="502">
          <cell r="B502" t="str">
            <v>West Lindsey</v>
          </cell>
        </row>
        <row r="503">
          <cell r="B503" t="str">
            <v>West Mercia Police Authority</v>
          </cell>
        </row>
        <row r="504">
          <cell r="B504" t="str">
            <v>West Midlands Fire &amp; CD Authority</v>
          </cell>
        </row>
        <row r="505">
          <cell r="B505" t="str">
            <v>West Midlands Police Authority</v>
          </cell>
        </row>
        <row r="506">
          <cell r="B506" t="str">
            <v>West Oxfordshire</v>
          </cell>
        </row>
        <row r="507">
          <cell r="B507" t="str">
            <v>West Somerset</v>
          </cell>
        </row>
        <row r="508">
          <cell r="B508" t="str">
            <v>West Sussex</v>
          </cell>
        </row>
        <row r="509">
          <cell r="B509" t="str">
            <v>West Wiltshire</v>
          </cell>
        </row>
        <row r="510">
          <cell r="B510" t="str">
            <v>West Yorkshire Fire &amp; CD Authority</v>
          </cell>
        </row>
        <row r="511">
          <cell r="B511" t="str">
            <v>West Yorkshire Police Authority</v>
          </cell>
        </row>
        <row r="512">
          <cell r="B512" t="str">
            <v>Westminster</v>
          </cell>
        </row>
        <row r="513">
          <cell r="B513" t="str">
            <v>Weymouth &amp; Portland</v>
          </cell>
        </row>
        <row r="514">
          <cell r="B514" t="str">
            <v>Wigan</v>
          </cell>
        </row>
        <row r="515">
          <cell r="B515" t="str">
            <v>Wiltshire</v>
          </cell>
        </row>
        <row r="516">
          <cell r="B516" t="str">
            <v>Wiltshire UA</v>
          </cell>
        </row>
        <row r="517">
          <cell r="B517" t="str">
            <v>Wiltshire Combined Fire Authority</v>
          </cell>
        </row>
        <row r="518">
          <cell r="B518" t="str">
            <v>Wiltshire Police Authority</v>
          </cell>
        </row>
        <row r="519">
          <cell r="B519" t="str">
            <v>Winchester</v>
          </cell>
        </row>
        <row r="520">
          <cell r="B520" t="str">
            <v>Windsor &amp; Maidenhead</v>
          </cell>
        </row>
        <row r="521">
          <cell r="B521" t="str">
            <v>Windsor &amp; Maidenhead UA</v>
          </cell>
        </row>
        <row r="522">
          <cell r="B522" t="str">
            <v>Wirral</v>
          </cell>
        </row>
        <row r="523">
          <cell r="B523" t="str">
            <v>Woking</v>
          </cell>
        </row>
        <row r="524">
          <cell r="B524" t="str">
            <v>Wokingham</v>
          </cell>
        </row>
        <row r="525">
          <cell r="B525" t="str">
            <v>Wokingham UA</v>
          </cell>
        </row>
        <row r="526">
          <cell r="B526" t="str">
            <v>Wolverhampton</v>
          </cell>
        </row>
        <row r="527">
          <cell r="B527" t="str">
            <v>Woodspring</v>
          </cell>
        </row>
        <row r="528">
          <cell r="B528" t="str">
            <v>Worcester</v>
          </cell>
        </row>
        <row r="529">
          <cell r="B529" t="str">
            <v>Worcestershire</v>
          </cell>
        </row>
        <row r="530">
          <cell r="B530" t="str">
            <v>Worthing</v>
          </cell>
        </row>
        <row r="531">
          <cell r="B531" t="str">
            <v>Wychavon</v>
          </cell>
        </row>
        <row r="532">
          <cell r="B532" t="str">
            <v>Wycombe</v>
          </cell>
        </row>
        <row r="533">
          <cell r="B533" t="str">
            <v>Wyre</v>
          </cell>
        </row>
        <row r="534">
          <cell r="B534" t="str">
            <v>Wyre Forest</v>
          </cell>
        </row>
        <row r="535">
          <cell r="B535" t="str">
            <v>York</v>
          </cell>
        </row>
        <row r="536">
          <cell r="B536" t="str">
            <v>York UA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Summary page"/>
      <sheetName val="Drop-down lists"/>
      <sheetName val="Historical CTB"/>
      <sheetName val="Band D growth - distribution"/>
      <sheetName val="Household Growth"/>
      <sheetName val="Net Additions"/>
      <sheetName val="Delivery test"/>
      <sheetName val="Affordable Housing Supply"/>
      <sheetName val="Growth options"/>
      <sheetName val="council tax projections"/>
      <sheetName val="Appeals data"/>
      <sheetName val="Local Plans"/>
      <sheetName val="goalSeekInfo"/>
      <sheetName val="All years NHB"/>
      <sheetName val="rsklibSimData"/>
      <sheetName val="Inputs and Outputs"/>
      <sheetName val="Yearly budget tolerance"/>
      <sheetName val="Regional analysis by year"/>
      <sheetName val="Analysis of regional results"/>
      <sheetName val="Submission results tables"/>
      <sheetName val="RuralClassification"/>
      <sheetName val="Regional analysis by year (2)"/>
      <sheetName val="Reforms distribution"/>
      <sheetName val="BL and types of authorities"/>
      <sheetName val="BL and specific LAs"/>
      <sheetName val="Housing growth scenarios"/>
    </sheetNames>
    <sheetDataSet>
      <sheetData sheetId="0" refreshError="1"/>
      <sheetData sheetId="1" refreshError="1"/>
      <sheetData sheetId="2">
        <row r="2">
          <cell r="I2">
            <v>0</v>
          </cell>
        </row>
        <row r="3">
          <cell r="I3">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4">
          <cell r="B4">
            <v>0.53</v>
          </cell>
        </row>
      </sheetData>
      <sheetData sheetId="17">
        <row r="4">
          <cell r="CL4" t="str">
            <v>Off</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ables/table1.xml><?xml version="1.0" encoding="utf-8"?>
<table xmlns="http://schemas.openxmlformats.org/spreadsheetml/2006/main" id="2" name="List1" displayName="List1" ref="C45:C401" totalsRowShown="0" headerRowDxfId="2" dataDxfId="1">
  <autoFilter ref="C45:C401"/>
  <tableColumns count="1">
    <tableColumn id="1" name="Column1"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ewhomesbonus@communities.gsi.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s/council-taxbase-2015-in-england" TargetMode="External"/><Relationship Id="rId2" Type="http://schemas.openxmlformats.org/officeDocument/2006/relationships/hyperlink" Target="https://www.gov.uk/government/statistics/council-tax-levels-set-by-local-authorities-in-england-2016-to-2017" TargetMode="External"/><Relationship Id="rId1" Type="http://schemas.openxmlformats.org/officeDocument/2006/relationships/hyperlink" Target="https://www.gov.uk/government/statistical-data-sets/live-tables-on-affordable-housing-supply"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gov.uk/government/statistics/council-taxbase-2016-in-england"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communities.gov.uk/documents/housing/xls/1406068.xls" TargetMode="External"/><Relationship Id="rId1" Type="http://schemas.openxmlformats.org/officeDocument/2006/relationships/hyperlink" Target="http://www.communities.gov.uk/documents/housing/xls/152924.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Y31"/>
  <sheetViews>
    <sheetView showRowColHeaders="0" workbookViewId="0">
      <selection activeCell="C18" sqref="C18:M18"/>
    </sheetView>
  </sheetViews>
  <sheetFormatPr defaultRowHeight="12.75" x14ac:dyDescent="0.2"/>
  <cols>
    <col min="1" max="16384" width="9.140625" style="204"/>
  </cols>
  <sheetData>
    <row r="4" spans="3:25" ht="36" x14ac:dyDescent="0.55000000000000004">
      <c r="C4" s="203" t="s">
        <v>0</v>
      </c>
      <c r="D4" s="2"/>
      <c r="E4" s="206"/>
      <c r="F4" s="206"/>
      <c r="G4" s="206"/>
      <c r="H4" s="206"/>
      <c r="I4" s="206"/>
      <c r="J4" s="206"/>
      <c r="K4" s="206"/>
      <c r="L4" s="206"/>
      <c r="M4" s="206"/>
      <c r="N4" s="206"/>
      <c r="O4"/>
      <c r="P4" s="206"/>
      <c r="Q4" s="206"/>
      <c r="R4" s="206"/>
      <c r="S4" s="206"/>
      <c r="T4" s="206"/>
      <c r="U4" s="207"/>
      <c r="V4" s="206"/>
      <c r="W4" s="206"/>
      <c r="X4" s="206"/>
      <c r="Y4" s="206"/>
    </row>
    <row r="5" spans="3:25" x14ac:dyDescent="0.2">
      <c r="C5" s="206"/>
      <c r="D5" s="206"/>
      <c r="E5" s="206"/>
      <c r="F5" s="206"/>
      <c r="G5" s="206"/>
      <c r="H5" s="206"/>
      <c r="I5" s="206"/>
      <c r="J5" s="206"/>
      <c r="K5" s="206"/>
      <c r="L5" s="206"/>
      <c r="M5" s="206"/>
      <c r="N5" s="206"/>
      <c r="O5" s="206"/>
      <c r="P5" s="206"/>
      <c r="Q5" s="206"/>
      <c r="R5" s="206"/>
      <c r="S5" s="206"/>
      <c r="T5" s="206"/>
      <c r="U5" s="206"/>
      <c r="V5" s="206"/>
      <c r="W5" s="206"/>
      <c r="X5" s="206"/>
      <c r="Y5" s="206"/>
    </row>
    <row r="6" spans="3:25" x14ac:dyDescent="0.2">
      <c r="C6" s="206"/>
      <c r="D6" s="206"/>
      <c r="E6" s="206"/>
      <c r="F6" s="206"/>
      <c r="G6" s="206"/>
      <c r="H6" s="206"/>
      <c r="I6" s="206"/>
      <c r="J6" s="206"/>
      <c r="K6" s="206"/>
      <c r="L6" s="206"/>
      <c r="M6" s="206"/>
      <c r="N6" s="206"/>
      <c r="O6" s="206"/>
      <c r="P6" s="206"/>
      <c r="Q6" s="206"/>
      <c r="R6" s="206"/>
      <c r="S6" s="206"/>
      <c r="T6" s="206"/>
      <c r="U6" s="206"/>
      <c r="V6" s="206"/>
      <c r="W6" s="206"/>
      <c r="X6" s="206"/>
      <c r="Y6" s="206"/>
    </row>
    <row r="7" spans="3:25" ht="18.75" x14ac:dyDescent="0.3">
      <c r="C7" s="208" t="s">
        <v>829</v>
      </c>
      <c r="D7" s="206"/>
      <c r="E7" s="206"/>
      <c r="F7" s="206"/>
      <c r="G7" s="206"/>
      <c r="H7" s="206"/>
      <c r="I7" s="206"/>
      <c r="J7" s="206"/>
      <c r="K7" s="206"/>
      <c r="L7" s="206"/>
      <c r="M7" s="206"/>
      <c r="N7" s="206"/>
      <c r="O7" s="206"/>
      <c r="P7" s="206"/>
      <c r="Q7" s="206"/>
      <c r="R7" s="206"/>
      <c r="S7" s="206"/>
      <c r="T7" s="206"/>
      <c r="U7" s="206"/>
      <c r="V7" s="206"/>
      <c r="W7" s="206"/>
      <c r="X7" s="206"/>
      <c r="Y7" s="206"/>
    </row>
    <row r="8" spans="3:25" x14ac:dyDescent="0.2">
      <c r="C8" s="206"/>
      <c r="D8" s="206"/>
      <c r="E8" s="206"/>
      <c r="F8" s="206"/>
      <c r="G8" s="206"/>
      <c r="H8" s="206"/>
      <c r="I8" s="206"/>
      <c r="J8" s="206"/>
      <c r="K8" s="206"/>
      <c r="L8" s="206"/>
      <c r="M8" s="206"/>
      <c r="N8" s="206"/>
      <c r="O8" s="206"/>
      <c r="P8" s="206"/>
      <c r="Q8" s="206"/>
      <c r="R8" s="206"/>
      <c r="S8" s="206"/>
      <c r="T8" s="206"/>
      <c r="U8" s="206"/>
      <c r="V8" s="206"/>
      <c r="W8" s="206"/>
      <c r="X8" s="206"/>
      <c r="Y8" s="206"/>
    </row>
    <row r="9" spans="3:25" ht="18.75" x14ac:dyDescent="0.3">
      <c r="C9" s="208" t="s">
        <v>830</v>
      </c>
      <c r="D9" s="206"/>
      <c r="E9" s="206"/>
      <c r="F9" s="206"/>
      <c r="G9" s="206"/>
      <c r="H9" s="206"/>
      <c r="I9" s="206"/>
      <c r="J9" s="206"/>
      <c r="K9" s="206"/>
      <c r="L9" s="206"/>
      <c r="M9" s="206"/>
      <c r="N9" s="206"/>
      <c r="O9" s="209" t="s">
        <v>831</v>
      </c>
      <c r="P9" s="206"/>
      <c r="Q9" s="206"/>
      <c r="R9" s="206"/>
      <c r="S9" s="206"/>
      <c r="T9" s="206"/>
      <c r="U9" s="206"/>
      <c r="V9" s="206"/>
      <c r="W9" s="206"/>
      <c r="X9" s="206"/>
      <c r="Y9" s="206"/>
    </row>
    <row r="10" spans="3:25" ht="15" x14ac:dyDescent="0.25">
      <c r="C10" s="206"/>
      <c r="D10" s="206"/>
      <c r="E10" s="206"/>
      <c r="F10" s="206"/>
      <c r="G10" s="206"/>
      <c r="H10" s="206"/>
      <c r="I10" s="206"/>
      <c r="J10" s="206"/>
      <c r="K10" s="206"/>
      <c r="L10" s="206"/>
      <c r="M10" s="206"/>
      <c r="N10" s="206"/>
      <c r="O10" s="209" t="s">
        <v>832</v>
      </c>
      <c r="P10" s="206"/>
      <c r="Q10" s="206"/>
      <c r="R10" s="206"/>
      <c r="S10" s="206"/>
      <c r="T10" s="206"/>
      <c r="U10" s="206"/>
      <c r="V10" s="206"/>
      <c r="W10" s="206"/>
      <c r="X10" s="206"/>
      <c r="Y10" s="206"/>
    </row>
    <row r="11" spans="3:25" ht="15.75" x14ac:dyDescent="0.25">
      <c r="C11" s="206"/>
      <c r="D11" s="206"/>
      <c r="E11" s="206"/>
      <c r="F11" s="206"/>
      <c r="G11" s="206"/>
      <c r="H11" s="206"/>
      <c r="I11" s="206"/>
      <c r="J11" s="206"/>
      <c r="K11" s="206"/>
      <c r="L11" s="206"/>
      <c r="M11" s="206"/>
      <c r="N11" s="206"/>
      <c r="O11" s="205" t="s">
        <v>833</v>
      </c>
      <c r="P11" s="206"/>
      <c r="Q11" s="206"/>
      <c r="R11" s="206"/>
      <c r="S11" s="206"/>
      <c r="T11" s="206"/>
      <c r="U11" s="206"/>
      <c r="V11" s="206"/>
      <c r="W11" s="206"/>
      <c r="X11" s="206"/>
      <c r="Y11" s="206"/>
    </row>
    <row r="12" spans="3:25" x14ac:dyDescent="0.2">
      <c r="C12" s="211"/>
      <c r="D12" s="211"/>
      <c r="E12" s="211"/>
      <c r="F12" s="211"/>
      <c r="G12" s="211"/>
      <c r="H12" s="211"/>
      <c r="I12" s="211"/>
      <c r="J12" s="211"/>
      <c r="K12" s="212"/>
      <c r="L12" s="212"/>
      <c r="M12" s="212"/>
      <c r="N12" s="1"/>
      <c r="O12" s="1"/>
      <c r="P12" s="206"/>
      <c r="Q12" s="206"/>
      <c r="R12" s="206"/>
      <c r="S12" s="206"/>
      <c r="T12" s="206"/>
      <c r="U12" s="206"/>
      <c r="V12" s="206"/>
      <c r="W12" s="206"/>
      <c r="X12" s="206"/>
      <c r="Y12" s="206"/>
    </row>
    <row r="13" spans="3:25" ht="20.25" customHeight="1" x14ac:dyDescent="0.35">
      <c r="C13" s="352" t="s">
        <v>874</v>
      </c>
      <c r="D13" s="352"/>
      <c r="E13" s="352"/>
      <c r="F13" s="352"/>
      <c r="G13" s="352"/>
      <c r="H13" s="352"/>
      <c r="I13" s="352"/>
      <c r="J13" s="352"/>
      <c r="K13" s="352"/>
      <c r="L13" s="352"/>
      <c r="M13" s="352"/>
      <c r="N13" s="1"/>
      <c r="O13" s="1"/>
      <c r="P13" s="206"/>
      <c r="Q13" s="206"/>
      <c r="R13" s="206"/>
      <c r="S13" s="206"/>
      <c r="T13" s="206"/>
      <c r="U13" s="206"/>
      <c r="V13" s="206"/>
      <c r="W13" s="206"/>
      <c r="X13" s="206"/>
      <c r="Y13" s="206"/>
    </row>
    <row r="14" spans="3:25" ht="21" x14ac:dyDescent="0.35">
      <c r="C14" s="213"/>
      <c r="D14" s="213"/>
      <c r="E14" s="213"/>
      <c r="F14" s="213"/>
      <c r="G14" s="213"/>
      <c r="H14" s="213"/>
      <c r="I14" s="213"/>
      <c r="J14" s="213"/>
      <c r="K14" s="214"/>
      <c r="L14" s="214"/>
      <c r="M14" s="214"/>
      <c r="N14" s="1"/>
      <c r="O14" s="1"/>
      <c r="P14" s="206"/>
      <c r="Q14" s="206"/>
      <c r="R14" s="206"/>
      <c r="S14" s="206"/>
      <c r="T14" s="206"/>
      <c r="U14" s="206"/>
      <c r="V14" s="206"/>
      <c r="W14" s="206"/>
      <c r="X14" s="206"/>
      <c r="Y14" s="206"/>
    </row>
    <row r="15" spans="3:25" ht="21" x14ac:dyDescent="0.2">
      <c r="C15" s="206"/>
      <c r="D15" s="206"/>
      <c r="E15" s="206"/>
      <c r="F15" s="206"/>
      <c r="G15" s="206"/>
      <c r="H15" s="206"/>
      <c r="I15" s="206"/>
      <c r="J15" s="206"/>
      <c r="K15" s="206"/>
      <c r="L15" s="206"/>
      <c r="M15" s="206"/>
      <c r="N15" s="1"/>
      <c r="O15" s="354"/>
      <c r="P15" s="354"/>
      <c r="Q15" s="354"/>
      <c r="R15" s="354"/>
      <c r="S15" s="354"/>
      <c r="T15" s="354"/>
      <c r="U15" s="354"/>
      <c r="V15" s="354"/>
      <c r="W15" s="354"/>
      <c r="X15" s="354"/>
      <c r="Y15" s="354"/>
    </row>
    <row r="16" spans="3:25" x14ac:dyDescent="0.2">
      <c r="C16" s="210"/>
      <c r="D16" s="210"/>
      <c r="E16" s="210"/>
      <c r="F16" s="210"/>
      <c r="G16" s="210"/>
      <c r="H16" s="210"/>
      <c r="I16" s="210"/>
      <c r="J16" s="210"/>
      <c r="K16" s="210"/>
      <c r="L16" s="210"/>
      <c r="M16" s="210"/>
      <c r="N16" s="1"/>
      <c r="O16" s="1"/>
      <c r="P16" s="206"/>
      <c r="Q16" s="206"/>
      <c r="R16" s="206"/>
      <c r="S16" s="206"/>
      <c r="T16" s="206"/>
      <c r="U16" s="206"/>
      <c r="V16" s="206"/>
      <c r="W16" s="206"/>
      <c r="X16" s="206"/>
      <c r="Y16" s="206"/>
    </row>
    <row r="17" spans="3:25" x14ac:dyDescent="0.2">
      <c r="C17" s="211"/>
      <c r="D17" s="211"/>
      <c r="E17" s="211"/>
      <c r="F17" s="211"/>
      <c r="G17" s="211"/>
      <c r="H17" s="211"/>
      <c r="I17" s="211"/>
      <c r="J17" s="211"/>
      <c r="K17" s="212"/>
      <c r="L17" s="212"/>
      <c r="M17" s="212"/>
      <c r="N17" s="1"/>
      <c r="O17" s="1"/>
      <c r="P17" s="206"/>
      <c r="Q17" s="206"/>
      <c r="R17" s="206"/>
      <c r="S17" s="206"/>
      <c r="T17" s="206"/>
      <c r="U17" s="206"/>
      <c r="V17" s="206"/>
      <c r="W17" s="206"/>
      <c r="X17" s="206"/>
      <c r="Y17" s="206"/>
    </row>
    <row r="18" spans="3:25" ht="21" x14ac:dyDescent="0.35">
      <c r="C18" s="353" t="s">
        <v>854</v>
      </c>
      <c r="D18" s="353"/>
      <c r="E18" s="353"/>
      <c r="F18" s="353"/>
      <c r="G18" s="353"/>
      <c r="H18" s="353"/>
      <c r="I18" s="353"/>
      <c r="J18" s="353"/>
      <c r="K18" s="353"/>
      <c r="L18" s="353"/>
      <c r="M18" s="353"/>
      <c r="N18" s="1"/>
      <c r="O18" s="1"/>
      <c r="P18" s="206"/>
      <c r="Q18" s="206"/>
      <c r="R18" s="206"/>
      <c r="S18" s="206"/>
      <c r="T18" s="206"/>
      <c r="U18" s="206"/>
      <c r="V18" s="206"/>
      <c r="W18" s="206"/>
      <c r="X18" s="206"/>
      <c r="Y18" s="206"/>
    </row>
    <row r="19" spans="3:25" ht="21" x14ac:dyDescent="0.35">
      <c r="C19" s="213"/>
      <c r="D19" s="213"/>
      <c r="E19" s="213"/>
      <c r="F19" s="213"/>
      <c r="G19" s="213"/>
      <c r="H19" s="213"/>
      <c r="I19" s="213"/>
      <c r="J19" s="213"/>
      <c r="K19" s="214"/>
      <c r="L19" s="214"/>
      <c r="M19" s="214"/>
      <c r="N19" s="1"/>
      <c r="O19" s="1"/>
      <c r="P19" s="206"/>
      <c r="Q19" s="206"/>
      <c r="R19" s="206"/>
      <c r="S19" s="206"/>
      <c r="T19" s="206"/>
      <c r="U19" s="206"/>
      <c r="V19" s="206"/>
      <c r="W19" s="206"/>
      <c r="X19" s="206"/>
      <c r="Y19" s="206"/>
    </row>
    <row r="20" spans="3:25" ht="21" x14ac:dyDescent="0.35">
      <c r="C20" s="215"/>
      <c r="D20" s="215"/>
      <c r="E20" s="215"/>
      <c r="F20" s="215"/>
      <c r="G20" s="215"/>
      <c r="H20" s="215"/>
      <c r="I20" s="215"/>
      <c r="J20" s="215"/>
      <c r="K20" s="215"/>
      <c r="L20" s="215"/>
      <c r="M20" s="216"/>
      <c r="N20" s="1"/>
      <c r="O20" s="1"/>
      <c r="P20" s="206"/>
      <c r="Q20" s="206"/>
      <c r="R20" s="206"/>
      <c r="S20" s="206"/>
      <c r="T20" s="206"/>
      <c r="U20" s="206"/>
      <c r="V20" s="206"/>
      <c r="W20" s="206"/>
      <c r="X20" s="206"/>
      <c r="Y20" s="206"/>
    </row>
    <row r="21" spans="3:25" ht="21" x14ac:dyDescent="0.35">
      <c r="C21" s="215"/>
      <c r="D21" s="215"/>
      <c r="E21" s="215"/>
      <c r="F21" s="215"/>
      <c r="G21" s="215"/>
      <c r="H21" s="215"/>
      <c r="I21" s="215"/>
      <c r="J21" s="215"/>
      <c r="K21" s="215"/>
      <c r="L21" s="215"/>
      <c r="M21" s="216"/>
      <c r="N21" s="206"/>
      <c r="O21" s="206"/>
      <c r="P21" s="206"/>
      <c r="Q21" s="206"/>
      <c r="R21" s="217"/>
      <c r="S21" s="206"/>
      <c r="T21" s="206"/>
      <c r="U21" s="206"/>
      <c r="V21" s="206"/>
      <c r="W21" s="206"/>
      <c r="X21" s="206"/>
      <c r="Y21" s="206"/>
    </row>
    <row r="22" spans="3:25" ht="21" x14ac:dyDescent="0.35">
      <c r="C22" s="213"/>
      <c r="D22" s="213"/>
      <c r="E22" s="213"/>
      <c r="F22" s="213"/>
      <c r="G22" s="213"/>
      <c r="H22" s="213"/>
      <c r="I22" s="213"/>
      <c r="J22" s="213"/>
      <c r="K22" s="214"/>
      <c r="L22" s="214"/>
      <c r="M22" s="212"/>
      <c r="N22" s="1"/>
      <c r="O22" s="1"/>
      <c r="P22" s="206"/>
      <c r="Q22" s="206"/>
      <c r="R22" s="206"/>
      <c r="S22" s="206"/>
      <c r="T22" s="206"/>
      <c r="U22" s="206"/>
      <c r="V22" s="206"/>
      <c r="W22" s="206"/>
      <c r="X22" s="206"/>
      <c r="Y22" s="206"/>
    </row>
    <row r="23" spans="3:25" ht="21" x14ac:dyDescent="0.35">
      <c r="C23" s="352" t="s">
        <v>895</v>
      </c>
      <c r="D23" s="352"/>
      <c r="E23" s="352"/>
      <c r="F23" s="352"/>
      <c r="G23" s="352"/>
      <c r="H23" s="352"/>
      <c r="I23" s="352"/>
      <c r="J23" s="352"/>
      <c r="K23" s="352"/>
      <c r="L23" s="352"/>
      <c r="M23" s="352"/>
      <c r="N23" s="1"/>
      <c r="O23" s="1"/>
      <c r="P23" s="206"/>
      <c r="Q23" s="206"/>
      <c r="R23" s="206"/>
      <c r="S23" s="206"/>
      <c r="T23" s="206"/>
      <c r="U23" s="206"/>
      <c r="V23" s="206"/>
      <c r="W23" s="206"/>
      <c r="X23" s="206"/>
      <c r="Y23" s="206"/>
    </row>
    <row r="24" spans="3:25" ht="21" x14ac:dyDescent="0.35">
      <c r="C24" s="213"/>
      <c r="D24" s="213"/>
      <c r="E24" s="213"/>
      <c r="F24" s="213"/>
      <c r="G24" s="213"/>
      <c r="H24" s="213"/>
      <c r="I24" s="213"/>
      <c r="J24" s="213"/>
      <c r="K24" s="214"/>
      <c r="L24" s="214"/>
      <c r="M24" s="212"/>
      <c r="N24" s="1"/>
      <c r="O24" s="1"/>
      <c r="P24" s="206"/>
      <c r="Q24" s="206"/>
      <c r="R24" s="206"/>
      <c r="S24" s="206"/>
      <c r="T24" s="206"/>
      <c r="U24" s="206"/>
      <c r="V24" s="206"/>
      <c r="W24" s="206"/>
      <c r="X24" s="206"/>
      <c r="Y24" s="206"/>
    </row>
    <row r="25" spans="3:25" ht="21" x14ac:dyDescent="0.35">
      <c r="C25" s="215"/>
      <c r="D25" s="215"/>
      <c r="E25" s="215"/>
      <c r="F25" s="215"/>
      <c r="G25" s="215"/>
      <c r="H25" s="215"/>
      <c r="I25" s="215"/>
      <c r="J25" s="215"/>
      <c r="K25" s="215"/>
      <c r="L25" s="215"/>
      <c r="M25" s="216"/>
      <c r="N25" s="1"/>
      <c r="O25" s="1"/>
      <c r="P25" s="206"/>
      <c r="Q25" s="206"/>
      <c r="R25" s="206"/>
      <c r="S25" s="206"/>
      <c r="T25" s="206"/>
      <c r="U25" s="206"/>
      <c r="V25" s="206"/>
      <c r="W25" s="206"/>
      <c r="X25" s="206"/>
      <c r="Y25" s="206"/>
    </row>
    <row r="26" spans="3:25" ht="21" x14ac:dyDescent="0.35">
      <c r="C26" s="215"/>
      <c r="D26" s="215"/>
      <c r="E26" s="215"/>
      <c r="F26" s="215"/>
      <c r="G26" s="215"/>
      <c r="H26" s="215"/>
      <c r="I26" s="215"/>
      <c r="J26" s="215"/>
      <c r="K26" s="215"/>
      <c r="L26" s="215"/>
      <c r="M26" s="216"/>
      <c r="N26" s="1"/>
      <c r="O26" s="1"/>
      <c r="P26" s="206"/>
      <c r="Q26" s="206"/>
      <c r="R26" s="206"/>
      <c r="S26" s="206"/>
      <c r="T26" s="206"/>
      <c r="U26" s="206"/>
      <c r="V26" s="206"/>
      <c r="W26" s="206"/>
      <c r="X26" s="206"/>
      <c r="Y26" s="206"/>
    </row>
    <row r="27" spans="3:25" ht="21" x14ac:dyDescent="0.35">
      <c r="C27" s="213"/>
      <c r="D27" s="213"/>
      <c r="E27" s="213"/>
      <c r="F27" s="213"/>
      <c r="G27" s="213"/>
      <c r="H27" s="213"/>
      <c r="I27" s="213"/>
      <c r="J27" s="213"/>
      <c r="K27" s="213"/>
      <c r="L27" s="213"/>
      <c r="M27" s="211"/>
      <c r="T27" s="206"/>
      <c r="U27" s="206"/>
      <c r="V27" s="206"/>
      <c r="W27" s="206"/>
      <c r="X27" s="206"/>
      <c r="Y27" s="206"/>
    </row>
    <row r="28" spans="3:25" ht="21" x14ac:dyDescent="0.35">
      <c r="C28" s="213"/>
      <c r="D28" s="353" t="s">
        <v>855</v>
      </c>
      <c r="E28" s="353"/>
      <c r="F28" s="353"/>
      <c r="G28" s="353"/>
      <c r="H28" s="353"/>
      <c r="I28" s="353"/>
      <c r="J28" s="353"/>
      <c r="K28" s="353"/>
      <c r="L28" s="353"/>
      <c r="M28" s="218"/>
    </row>
    <row r="29" spans="3:25" ht="21" x14ac:dyDescent="0.35">
      <c r="C29" s="213"/>
      <c r="D29" s="213"/>
      <c r="E29" s="213"/>
      <c r="F29" s="213"/>
      <c r="G29" s="213"/>
      <c r="H29" s="213"/>
      <c r="I29" s="213"/>
      <c r="J29" s="213"/>
      <c r="K29" s="213"/>
      <c r="L29" s="213"/>
      <c r="M29" s="211"/>
    </row>
    <row r="30" spans="3:25" ht="21" x14ac:dyDescent="0.35">
      <c r="C30" s="6"/>
      <c r="D30" s="6"/>
      <c r="E30" s="6"/>
      <c r="F30" s="6"/>
      <c r="G30" s="6"/>
      <c r="H30" s="6"/>
      <c r="I30" s="6"/>
      <c r="J30" s="6"/>
      <c r="K30" s="6"/>
      <c r="L30" s="6"/>
      <c r="M30" s="1"/>
    </row>
    <row r="31" spans="3:25" x14ac:dyDescent="0.2">
      <c r="C31" s="97"/>
      <c r="D31" s="97"/>
      <c r="E31" s="97"/>
      <c r="F31" s="97"/>
      <c r="G31" s="97"/>
      <c r="H31" s="97"/>
      <c r="I31" s="97"/>
      <c r="J31" s="97"/>
      <c r="K31" s="97"/>
      <c r="L31" s="97"/>
      <c r="M31" s="1"/>
    </row>
  </sheetData>
  <mergeCells count="5">
    <mergeCell ref="C13:M13"/>
    <mergeCell ref="C23:M23"/>
    <mergeCell ref="C18:M18"/>
    <mergeCell ref="O15:Y15"/>
    <mergeCell ref="D28:L28"/>
  </mergeCells>
  <hyperlinks>
    <hyperlink ref="D28" location="'2009 10 net additions'!C12" display="Estimate payments would have received based on 2009/10 delivery"/>
    <hyperlink ref="C18:M18" location="'Cumulative Payments'!B4" tooltip="If you would like to view a summary of your cumulative payments, please click here" display="Cumulative Payments"/>
    <hyperlink ref="D28:L28" location="'Estimates of Payments'!B5" tooltip="If you know the number of housing units to be delivered annually by council tax band, please click here for an illustration of payments" display="Estimate Illustrations of Future Payments by Band"/>
    <hyperlink ref="O11" r:id="rId1"/>
    <hyperlink ref="C13:M13" location="'Calculating NHB'!A1" tooltip="Click here to read how the New Homes Bonus calculations work" display="Calculating the New Homes Bonus"/>
    <hyperlink ref="C23:M23" location="'Year 7 Payments'!A1" tooltip="Click here for more detail about the current year's allocations" display="Current year payments only"/>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35"/>
  <sheetViews>
    <sheetView workbookViewId="0">
      <selection activeCell="B2" sqref="B2"/>
    </sheetView>
  </sheetViews>
  <sheetFormatPr defaultRowHeight="12.75" x14ac:dyDescent="0.2"/>
  <cols>
    <col min="1" max="13" width="9.140625" style="204"/>
    <col min="14" max="14" width="4" style="204" customWidth="1"/>
    <col min="15" max="15" width="3.5703125" style="204" bestFit="1" customWidth="1"/>
    <col min="16" max="16" width="56.7109375" style="204" customWidth="1"/>
    <col min="17" max="16384" width="9.140625" style="204"/>
  </cols>
  <sheetData>
    <row r="2" spans="2:25" ht="21" x14ac:dyDescent="0.2">
      <c r="B2" s="8" t="s">
        <v>4</v>
      </c>
    </row>
    <row r="3" spans="2:25" ht="15.75" x14ac:dyDescent="0.2">
      <c r="B3" s="299" t="s">
        <v>858</v>
      </c>
    </row>
    <row r="4" spans="2:25" ht="16.5" thickBot="1" x14ac:dyDescent="0.25">
      <c r="P4" s="299" t="s">
        <v>859</v>
      </c>
    </row>
    <row r="5" spans="2:25" ht="16.5" thickBot="1" x14ac:dyDescent="0.25">
      <c r="O5" s="333"/>
      <c r="P5" s="326" t="s">
        <v>860</v>
      </c>
      <c r="Q5" s="300" t="s">
        <v>401</v>
      </c>
      <c r="R5" s="317" t="s">
        <v>393</v>
      </c>
      <c r="S5" s="318" t="s">
        <v>394</v>
      </c>
      <c r="T5" s="318" t="s">
        <v>395</v>
      </c>
      <c r="U5" s="318" t="s">
        <v>396</v>
      </c>
      <c r="V5" s="318" t="s">
        <v>397</v>
      </c>
      <c r="W5" s="318" t="s">
        <v>398</v>
      </c>
      <c r="X5" s="318" t="s">
        <v>399</v>
      </c>
      <c r="Y5" s="319" t="s">
        <v>400</v>
      </c>
    </row>
    <row r="6" spans="2:25" ht="15.75" x14ac:dyDescent="0.2">
      <c r="O6" s="334" t="s">
        <v>872</v>
      </c>
      <c r="P6" s="327" t="s">
        <v>871</v>
      </c>
      <c r="Q6" s="312"/>
      <c r="R6" s="309" t="s">
        <v>863</v>
      </c>
      <c r="S6" s="307" t="s">
        <v>864</v>
      </c>
      <c r="T6" s="307" t="s">
        <v>865</v>
      </c>
      <c r="U6" s="307" t="s">
        <v>866</v>
      </c>
      <c r="V6" s="307" t="s">
        <v>867</v>
      </c>
      <c r="W6" s="307" t="s">
        <v>868</v>
      </c>
      <c r="X6" s="307" t="s">
        <v>869</v>
      </c>
      <c r="Y6" s="308" t="s">
        <v>870</v>
      </c>
    </row>
    <row r="7" spans="2:25" ht="14.25" customHeight="1" x14ac:dyDescent="0.2">
      <c r="O7" s="334" t="s">
        <v>877</v>
      </c>
      <c r="P7" s="331" t="s">
        <v>861</v>
      </c>
      <c r="Q7" s="313">
        <v>7521</v>
      </c>
      <c r="R7" s="310">
        <v>1500</v>
      </c>
      <c r="S7" s="304">
        <v>1286</v>
      </c>
      <c r="T7" s="304">
        <v>1125</v>
      </c>
      <c r="U7" s="304">
        <v>1000</v>
      </c>
      <c r="V7" s="303">
        <v>818</v>
      </c>
      <c r="W7" s="303">
        <v>692</v>
      </c>
      <c r="X7" s="303">
        <v>600</v>
      </c>
      <c r="Y7" s="305">
        <v>500</v>
      </c>
    </row>
    <row r="8" spans="2:25" ht="15.75" x14ac:dyDescent="0.2">
      <c r="O8" s="334" t="s">
        <v>878</v>
      </c>
      <c r="P8" s="328" t="s">
        <v>888</v>
      </c>
      <c r="Q8" s="313">
        <v>8000</v>
      </c>
      <c r="R8" s="310">
        <v>1000</v>
      </c>
      <c r="S8" s="304">
        <v>1000</v>
      </c>
      <c r="T8" s="304">
        <v>1000</v>
      </c>
      <c r="U8" s="304">
        <v>1000</v>
      </c>
      <c r="V8" s="304">
        <v>1000</v>
      </c>
      <c r="W8" s="304">
        <v>1000</v>
      </c>
      <c r="X8" s="304">
        <v>1000</v>
      </c>
      <c r="Y8" s="306">
        <v>1000</v>
      </c>
    </row>
    <row r="9" spans="2:25" ht="15.75" x14ac:dyDescent="0.2">
      <c r="O9" s="334" t="s">
        <v>879</v>
      </c>
      <c r="P9" s="331" t="s">
        <v>875</v>
      </c>
      <c r="Q9" s="314">
        <v>75</v>
      </c>
      <c r="R9" s="311">
        <v>15</v>
      </c>
      <c r="S9" s="303">
        <v>13</v>
      </c>
      <c r="T9" s="303">
        <v>11</v>
      </c>
      <c r="U9" s="303">
        <v>10</v>
      </c>
      <c r="V9" s="303">
        <v>8</v>
      </c>
      <c r="W9" s="303">
        <v>7</v>
      </c>
      <c r="X9" s="303">
        <v>6</v>
      </c>
      <c r="Y9" s="305">
        <v>5</v>
      </c>
    </row>
    <row r="10" spans="2:25" ht="15.75" x14ac:dyDescent="0.2">
      <c r="O10" s="334" t="s">
        <v>880</v>
      </c>
      <c r="P10" s="329" t="s">
        <v>889</v>
      </c>
      <c r="Q10" s="322">
        <v>80</v>
      </c>
      <c r="R10" s="323">
        <v>10</v>
      </c>
      <c r="S10" s="324">
        <v>10</v>
      </c>
      <c r="T10" s="324">
        <v>10</v>
      </c>
      <c r="U10" s="324">
        <v>10</v>
      </c>
      <c r="V10" s="324">
        <v>10</v>
      </c>
      <c r="W10" s="324">
        <v>10</v>
      </c>
      <c r="X10" s="324">
        <v>10</v>
      </c>
      <c r="Y10" s="325">
        <v>10</v>
      </c>
    </row>
    <row r="11" spans="2:25" ht="15" customHeight="1" thickBot="1" x14ac:dyDescent="0.25">
      <c r="O11" s="334" t="s">
        <v>881</v>
      </c>
      <c r="P11" s="330" t="s">
        <v>873</v>
      </c>
      <c r="Q11" s="316">
        <v>1529.56</v>
      </c>
      <c r="R11" s="336">
        <v>1019.7066666666666</v>
      </c>
      <c r="S11" s="337">
        <v>1189.6577777777777</v>
      </c>
      <c r="T11" s="337">
        <v>1359.6088888888887</v>
      </c>
      <c r="U11" s="316">
        <v>1529.56</v>
      </c>
      <c r="V11" s="337">
        <v>1869.4622222222224</v>
      </c>
      <c r="W11" s="337">
        <v>2209.3644444444444</v>
      </c>
      <c r="X11" s="337">
        <v>2549.2666666666669</v>
      </c>
      <c r="Y11" s="338">
        <v>3059.12</v>
      </c>
    </row>
    <row r="12" spans="2:25" ht="17.25" customHeight="1" x14ac:dyDescent="0.2">
      <c r="O12" s="334" t="s">
        <v>882</v>
      </c>
      <c r="P12" s="327" t="s">
        <v>890</v>
      </c>
      <c r="Q12" s="315">
        <v>32</v>
      </c>
      <c r="R12" s="302"/>
      <c r="S12" s="302"/>
      <c r="T12" s="302"/>
      <c r="U12" s="302"/>
      <c r="V12" s="302"/>
      <c r="W12" s="302"/>
      <c r="X12" s="302"/>
      <c r="Y12" s="302"/>
    </row>
    <row r="13" spans="2:25" ht="15.75" x14ac:dyDescent="0.2">
      <c r="O13" s="334" t="s">
        <v>883</v>
      </c>
      <c r="P13" s="328" t="s">
        <v>891</v>
      </c>
      <c r="Q13" s="314">
        <v>48</v>
      </c>
      <c r="R13" s="302"/>
      <c r="S13" s="302"/>
      <c r="T13" s="302"/>
      <c r="U13" s="302"/>
      <c r="V13" s="302"/>
      <c r="W13" s="302"/>
      <c r="X13" s="302"/>
      <c r="Y13" s="302"/>
    </row>
    <row r="14" spans="2:25" ht="15.75" x14ac:dyDescent="0.2">
      <c r="O14" s="334" t="s">
        <v>884</v>
      </c>
      <c r="P14" s="328" t="s">
        <v>892</v>
      </c>
      <c r="Q14" s="320">
        <v>73419</v>
      </c>
      <c r="R14" s="302"/>
      <c r="S14" s="302"/>
      <c r="T14" s="302"/>
      <c r="U14" s="302"/>
      <c r="V14" s="302"/>
      <c r="W14" s="302"/>
      <c r="X14" s="302"/>
      <c r="Y14" s="302"/>
    </row>
    <row r="15" spans="2:25" ht="15.75" x14ac:dyDescent="0.2">
      <c r="O15" s="334" t="s">
        <v>885</v>
      </c>
      <c r="P15" s="331" t="s">
        <v>862</v>
      </c>
      <c r="Q15" s="314">
        <v>15</v>
      </c>
      <c r="R15" s="302"/>
      <c r="S15" s="302"/>
      <c r="T15" s="302"/>
      <c r="U15" s="302"/>
      <c r="V15" s="302"/>
      <c r="W15" s="302"/>
      <c r="X15" s="302"/>
      <c r="Y15" s="302"/>
    </row>
    <row r="16" spans="2:25" ht="15.75" x14ac:dyDescent="0.2">
      <c r="O16" s="334" t="s">
        <v>886</v>
      </c>
      <c r="P16" s="328" t="s">
        <v>893</v>
      </c>
      <c r="Q16" s="320">
        <v>5250</v>
      </c>
      <c r="R16" s="302"/>
      <c r="S16" s="302"/>
      <c r="T16" s="302"/>
      <c r="U16" s="302"/>
      <c r="V16" s="302"/>
      <c r="W16" s="302"/>
      <c r="X16" s="302"/>
      <c r="Y16" s="302"/>
    </row>
    <row r="17" spans="15:25" ht="16.5" thickBot="1" x14ac:dyDescent="0.25">
      <c r="O17" s="335" t="s">
        <v>887</v>
      </c>
      <c r="P17" s="332" t="s">
        <v>894</v>
      </c>
      <c r="Q17" s="321">
        <v>78669</v>
      </c>
      <c r="R17" s="302"/>
      <c r="S17" s="302"/>
      <c r="T17" s="302"/>
      <c r="U17" s="302"/>
      <c r="V17" s="302"/>
      <c r="W17" s="302"/>
      <c r="X17" s="302"/>
      <c r="Y17" s="302"/>
    </row>
    <row r="18" spans="15:25" ht="15.75" x14ac:dyDescent="0.2">
      <c r="P18" s="301"/>
    </row>
    <row r="19" spans="15:25" ht="13.5" thickBot="1" x14ac:dyDescent="0.25"/>
    <row r="20" spans="15:25" ht="12.75" customHeight="1" x14ac:dyDescent="0.2">
      <c r="O20" s="355" t="s">
        <v>876</v>
      </c>
      <c r="P20" s="356"/>
      <c r="Q20" s="356"/>
      <c r="R20" s="356"/>
      <c r="S20" s="356"/>
      <c r="T20" s="356"/>
      <c r="U20" s="356"/>
      <c r="V20" s="356"/>
      <c r="W20" s="356"/>
      <c r="X20" s="356"/>
      <c r="Y20" s="357"/>
    </row>
    <row r="21" spans="15:25" ht="12.75" customHeight="1" x14ac:dyDescent="0.2">
      <c r="O21" s="358"/>
      <c r="P21" s="359"/>
      <c r="Q21" s="359"/>
      <c r="R21" s="359"/>
      <c r="S21" s="359"/>
      <c r="T21" s="359"/>
      <c r="U21" s="359"/>
      <c r="V21" s="359"/>
      <c r="W21" s="359"/>
      <c r="X21" s="359"/>
      <c r="Y21" s="360"/>
    </row>
    <row r="22" spans="15:25" ht="12.75" customHeight="1" x14ac:dyDescent="0.2">
      <c r="O22" s="358"/>
      <c r="P22" s="359"/>
      <c r="Q22" s="359"/>
      <c r="R22" s="359"/>
      <c r="S22" s="359"/>
      <c r="T22" s="359"/>
      <c r="U22" s="359"/>
      <c r="V22" s="359"/>
      <c r="W22" s="359"/>
      <c r="X22" s="359"/>
      <c r="Y22" s="360"/>
    </row>
    <row r="23" spans="15:25" ht="12.75" customHeight="1" x14ac:dyDescent="0.2">
      <c r="O23" s="358"/>
      <c r="P23" s="359"/>
      <c r="Q23" s="359"/>
      <c r="R23" s="359"/>
      <c r="S23" s="359"/>
      <c r="T23" s="359"/>
      <c r="U23" s="359"/>
      <c r="V23" s="359"/>
      <c r="W23" s="359"/>
      <c r="X23" s="359"/>
      <c r="Y23" s="360"/>
    </row>
    <row r="24" spans="15:25" ht="12.75" customHeight="1" x14ac:dyDescent="0.2">
      <c r="O24" s="358"/>
      <c r="P24" s="359"/>
      <c r="Q24" s="359"/>
      <c r="R24" s="359"/>
      <c r="S24" s="359"/>
      <c r="T24" s="359"/>
      <c r="U24" s="359"/>
      <c r="V24" s="359"/>
      <c r="W24" s="359"/>
      <c r="X24" s="359"/>
      <c r="Y24" s="360"/>
    </row>
    <row r="25" spans="15:25" ht="12.75" customHeight="1" x14ac:dyDescent="0.2">
      <c r="O25" s="358"/>
      <c r="P25" s="359"/>
      <c r="Q25" s="359"/>
      <c r="R25" s="359"/>
      <c r="S25" s="359"/>
      <c r="T25" s="359"/>
      <c r="U25" s="359"/>
      <c r="V25" s="359"/>
      <c r="W25" s="359"/>
      <c r="X25" s="359"/>
      <c r="Y25" s="360"/>
    </row>
    <row r="26" spans="15:25" ht="12.75" customHeight="1" x14ac:dyDescent="0.2">
      <c r="O26" s="358"/>
      <c r="P26" s="359"/>
      <c r="Q26" s="359"/>
      <c r="R26" s="359"/>
      <c r="S26" s="359"/>
      <c r="T26" s="359"/>
      <c r="U26" s="359"/>
      <c r="V26" s="359"/>
      <c r="W26" s="359"/>
      <c r="X26" s="359"/>
      <c r="Y26" s="360"/>
    </row>
    <row r="27" spans="15:25" ht="13.5" customHeight="1" x14ac:dyDescent="0.2">
      <c r="O27" s="358"/>
      <c r="P27" s="359"/>
      <c r="Q27" s="359"/>
      <c r="R27" s="359"/>
      <c r="S27" s="359"/>
      <c r="T27" s="359"/>
      <c r="U27" s="359"/>
      <c r="V27" s="359"/>
      <c r="W27" s="359"/>
      <c r="X27" s="359"/>
      <c r="Y27" s="360"/>
    </row>
    <row r="28" spans="15:25" ht="12.75" customHeight="1" x14ac:dyDescent="0.2">
      <c r="O28" s="358"/>
      <c r="P28" s="359"/>
      <c r="Q28" s="359"/>
      <c r="R28" s="359"/>
      <c r="S28" s="359"/>
      <c r="T28" s="359"/>
      <c r="U28" s="359"/>
      <c r="V28" s="359"/>
      <c r="W28" s="359"/>
      <c r="X28" s="359"/>
      <c r="Y28" s="360"/>
    </row>
    <row r="29" spans="15:25" ht="12.75" customHeight="1" x14ac:dyDescent="0.2">
      <c r="O29" s="358"/>
      <c r="P29" s="359"/>
      <c r="Q29" s="359"/>
      <c r="R29" s="359"/>
      <c r="S29" s="359"/>
      <c r="T29" s="359"/>
      <c r="U29" s="359"/>
      <c r="V29" s="359"/>
      <c r="W29" s="359"/>
      <c r="X29" s="359"/>
      <c r="Y29" s="360"/>
    </row>
    <row r="30" spans="15:25" ht="12.75" customHeight="1" thickBot="1" x14ac:dyDescent="0.25">
      <c r="O30" s="361"/>
      <c r="P30" s="362"/>
      <c r="Q30" s="362"/>
      <c r="R30" s="362"/>
      <c r="S30" s="362"/>
      <c r="T30" s="362"/>
      <c r="U30" s="362"/>
      <c r="V30" s="362"/>
      <c r="W30" s="362"/>
      <c r="X30" s="362"/>
      <c r="Y30" s="363"/>
    </row>
    <row r="35" spans="16:16" x14ac:dyDescent="0.2">
      <c r="P35" s="339"/>
    </row>
  </sheetData>
  <mergeCells count="1">
    <mergeCell ref="O20:Y30"/>
  </mergeCells>
  <hyperlinks>
    <hyperlink ref="P15" r:id="rId1"/>
    <hyperlink ref="P11" r:id="rId2"/>
    <hyperlink ref="P7" r:id="rId3"/>
    <hyperlink ref="P9" r:id="rId4" display="Growth in dwelling stock"/>
    <hyperlink ref="B2" location="'New Homes Bonus'!I14" tooltip="Click here to return to homepage" display="Return to homepage"/>
  </hyperlinks>
  <pageMargins left="0.7" right="0.7" top="0.75" bottom="0.75" header="0.3" footer="0.3"/>
  <pageSetup paperSize="9" orientation="portrait" r:id="rId5"/>
  <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Q405"/>
  <sheetViews>
    <sheetView showRowColHeaders="0" tabSelected="1" zoomScale="85" zoomScaleNormal="85" workbookViewId="0">
      <selection activeCell="B4" sqref="B4:C4"/>
    </sheetView>
  </sheetViews>
  <sheetFormatPr defaultRowHeight="12.75" x14ac:dyDescent="0.2"/>
  <cols>
    <col min="1" max="1" width="4.140625" style="1" customWidth="1"/>
    <col min="2" max="2" width="25.7109375" style="1" customWidth="1"/>
    <col min="3" max="3" width="29.7109375" style="1" customWidth="1"/>
    <col min="4" max="4" width="13" style="1" customWidth="1"/>
    <col min="5" max="5" width="23.140625" style="1" customWidth="1"/>
    <col min="6" max="14" width="19.7109375" style="1" customWidth="1"/>
    <col min="15" max="15" width="194.85546875" style="1" customWidth="1"/>
    <col min="16" max="16" width="19.5703125" style="1" customWidth="1"/>
    <col min="17" max="17" width="15.5703125" style="1" customWidth="1"/>
    <col min="18" max="18" width="37.140625" style="1" customWidth="1"/>
    <col min="19" max="19" width="24" style="1" customWidth="1"/>
    <col min="20" max="21" width="9.28515625" style="1" bestFit="1" customWidth="1"/>
    <col min="22" max="16384" width="9.140625" style="1"/>
  </cols>
  <sheetData>
    <row r="1" spans="2:17" ht="12.75" customHeight="1" x14ac:dyDescent="0.2"/>
    <row r="2" spans="2:17" ht="33" customHeight="1" x14ac:dyDescent="0.55000000000000004">
      <c r="B2" s="368" t="s">
        <v>0</v>
      </c>
      <c r="C2" s="368"/>
      <c r="D2" s="368"/>
      <c r="E2" s="368"/>
      <c r="F2" s="2"/>
      <c r="K2" s="3" t="s">
        <v>1</v>
      </c>
      <c r="L2" s="4" t="s">
        <v>2</v>
      </c>
    </row>
    <row r="3" spans="2:17" ht="15.75" customHeight="1" x14ac:dyDescent="0.7">
      <c r="B3" s="5"/>
      <c r="C3" s="5"/>
      <c r="D3" s="5"/>
      <c r="E3" s="2"/>
      <c r="F3" s="2"/>
    </row>
    <row r="4" spans="2:17" ht="37.5" customHeight="1" x14ac:dyDescent="0.25">
      <c r="B4" s="369" t="s">
        <v>34</v>
      </c>
      <c r="C4" s="369"/>
      <c r="D4" s="370" t="s">
        <v>388</v>
      </c>
      <c r="E4" s="370"/>
      <c r="F4" s="370"/>
      <c r="G4" s="370"/>
      <c r="H4" s="60" t="str">
        <f>VLOOKUP($B$4,Data!$D$3:$J$359,3,0)</f>
        <v>-</v>
      </c>
    </row>
    <row r="5" spans="2:17" ht="19.5" customHeight="1" x14ac:dyDescent="0.35">
      <c r="C5" s="6"/>
      <c r="D5" s="371" t="s">
        <v>389</v>
      </c>
      <c r="E5" s="371"/>
      <c r="F5" s="371"/>
      <c r="G5" s="371"/>
      <c r="H5" s="60" t="str">
        <f>VLOOKUP($B$4,Data!$D$3:$BG$359,5,0)</f>
        <v>-</v>
      </c>
      <c r="N5" s="7"/>
    </row>
    <row r="6" spans="2:17" ht="21" customHeight="1" x14ac:dyDescent="0.4">
      <c r="B6" s="8" t="s">
        <v>4</v>
      </c>
      <c r="C6" s="9"/>
      <c r="D6" s="371" t="s">
        <v>390</v>
      </c>
      <c r="E6" s="371"/>
      <c r="F6" s="371"/>
      <c r="G6" s="371"/>
      <c r="H6" s="64" t="str">
        <f>VLOOKUP($B$4,Data!$D$3:$J$359,7,0)</f>
        <v>-</v>
      </c>
      <c r="N6" s="10"/>
      <c r="O6" s="11"/>
      <c r="P6" s="12"/>
    </row>
    <row r="7" spans="2:17" ht="18.75" customHeight="1" x14ac:dyDescent="0.25">
      <c r="D7" s="371" t="s">
        <v>391</v>
      </c>
      <c r="E7" s="371"/>
      <c r="F7" s="371"/>
      <c r="G7" s="371"/>
      <c r="H7" s="60" t="str">
        <f>VLOOKUP($B$4,Data!$D$3:$I$359,4,0)</f>
        <v>-</v>
      </c>
      <c r="I7" s="13"/>
      <c r="J7" s="13"/>
      <c r="K7" s="13"/>
      <c r="L7" s="13"/>
      <c r="O7" s="11"/>
      <c r="P7" s="11"/>
    </row>
    <row r="8" spans="2:17" ht="26.25" x14ac:dyDescent="0.4">
      <c r="B8" s="14"/>
      <c r="C8" s="14"/>
      <c r="J8" s="15"/>
      <c r="K8" s="15"/>
      <c r="L8" s="15"/>
      <c r="O8" s="16"/>
      <c r="P8" s="17"/>
      <c r="Q8" s="18"/>
    </row>
    <row r="9" spans="2:17" ht="37.5" customHeight="1" x14ac:dyDescent="0.3">
      <c r="B9" s="14"/>
      <c r="C9" s="14"/>
      <c r="D9" s="19"/>
      <c r="E9" s="19"/>
      <c r="H9" s="19"/>
      <c r="I9" s="20" t="s">
        <v>5</v>
      </c>
      <c r="J9" s="19"/>
      <c r="K9" s="19"/>
      <c r="L9" s="19"/>
      <c r="M9" s="21"/>
      <c r="Q9" s="22"/>
    </row>
    <row r="10" spans="2:17" ht="29.25" customHeight="1" x14ac:dyDescent="0.35">
      <c r="C10" s="23"/>
      <c r="D10" s="19"/>
      <c r="E10" s="19"/>
      <c r="F10" s="19"/>
      <c r="G10" s="19"/>
      <c r="H10" s="19"/>
      <c r="I10" s="19"/>
      <c r="J10" s="19"/>
      <c r="K10" s="19"/>
      <c r="L10" s="19"/>
      <c r="M10" s="21"/>
      <c r="Q10" s="24"/>
    </row>
    <row r="11" spans="2:17" ht="38.25" customHeight="1" x14ac:dyDescent="0.25">
      <c r="B11" s="21" t="s">
        <v>6</v>
      </c>
      <c r="C11" s="372" t="s">
        <v>7</v>
      </c>
      <c r="D11" s="372"/>
      <c r="E11" s="25" t="s">
        <v>8</v>
      </c>
      <c r="F11" s="25" t="s">
        <v>9</v>
      </c>
      <c r="G11" s="25" t="s">
        <v>10</v>
      </c>
      <c r="H11" s="25" t="s">
        <v>11</v>
      </c>
      <c r="I11" s="25" t="s">
        <v>12</v>
      </c>
      <c r="J11" s="25" t="s">
        <v>13</v>
      </c>
      <c r="K11" s="25" t="s">
        <v>14</v>
      </c>
      <c r="L11" s="25" t="s">
        <v>15</v>
      </c>
      <c r="M11" s="25" t="s">
        <v>16</v>
      </c>
      <c r="N11" s="25" t="s">
        <v>17</v>
      </c>
      <c r="Q11" s="22"/>
    </row>
    <row r="12" spans="2:17" ht="38.25" customHeight="1" x14ac:dyDescent="0.2">
      <c r="C12" s="365" t="s">
        <v>18</v>
      </c>
      <c r="D12" s="366"/>
      <c r="E12" s="26">
        <f>INDEX(Data!$D$5:$CE$359,MATCH($B$4,Data!$D$5:$D$359,0),INDEX(Data!$CG$13:$CH$19,MATCH('Cumulative Payments'!$C22,Data!$CG$13:$CG$19),2))</f>
        <v>0</v>
      </c>
      <c r="F12" s="26">
        <f>INDEX(Data!$D$5:$CE$359,MATCH($B$4,Data!$D$5:$D$359,0),INDEX(Data!$CG$13:$CH$19,MATCH('Cumulative Payments'!$C22,Data!$CG$13:$CG$19),2))</f>
        <v>0</v>
      </c>
      <c r="G12" s="26">
        <f>INDEX(Data!$D$5:$CE$359,MATCH($B$4,Data!$D$5:$D$359,0),INDEX(Data!$CG$13:$CH$19,MATCH('Cumulative Payments'!$C22,Data!$CG$13:$CG$19),2))</f>
        <v>0</v>
      </c>
      <c r="H12" s="26">
        <f>INDEX(Data!$D$5:$CE$359,MATCH($B$4,Data!$D$5:$D$359,0),INDEX(Data!$CG$13:$CH$19,MATCH('Cumulative Payments'!$C22,Data!$CG$13:$CG$19),2))</f>
        <v>0</v>
      </c>
      <c r="I12" s="26">
        <f>INDEX(Data!$D$5:$CE$359,MATCH($B$4,Data!$D$5:$D$359,0),INDEX(Data!$CG$13:$CH$19,MATCH('Cumulative Payments'!$C22,Data!$CG$13:$CG$19),2))</f>
        <v>0</v>
      </c>
      <c r="J12" s="26">
        <f>INDEX(Data!$D$5:$CE$359,MATCH($B$4,Data!$D$5:$D$359,0),INDEX(Data!$CG$13:$CH$19,MATCH('Cumulative Payments'!$C22,Data!$CG$13:$CG$19),2))</f>
        <v>0</v>
      </c>
      <c r="K12" s="27"/>
      <c r="L12" s="27"/>
      <c r="M12" s="27"/>
      <c r="N12" s="28"/>
      <c r="Q12" s="29"/>
    </row>
    <row r="13" spans="2:17" ht="38.25" customHeight="1" x14ac:dyDescent="0.2">
      <c r="C13" s="365" t="s">
        <v>19</v>
      </c>
      <c r="D13" s="366"/>
      <c r="E13" s="30"/>
      <c r="F13" s="26">
        <f>INDEX(Data!$D$5:$CE$359,MATCH($B$4,Data!$D$5:$D$359,0),INDEX(Data!$CG$13:$CH$19,MATCH('Cumulative Payments'!$C23,Data!$CG$13:$CG$19),2))</f>
        <v>0</v>
      </c>
      <c r="G13" s="26">
        <f>INDEX(Data!$D$5:$CE$359,MATCH($B$4,Data!$D$5:$D$359,0),INDEX(Data!$CG$13:$CH$19,MATCH('Cumulative Payments'!$C23,Data!$CG$13:$CG$19),2))</f>
        <v>0</v>
      </c>
      <c r="H13" s="26">
        <f>INDEX(Data!$D$5:$CE$359,MATCH($B$4,Data!$D$5:$D$359,0),INDEX(Data!$CG$13:$CH$19,MATCH('Cumulative Payments'!$C23,Data!$CG$13:$CG$19),2))</f>
        <v>0</v>
      </c>
      <c r="I13" s="26">
        <f>INDEX(Data!$D$5:$CE$359,MATCH($B$4,Data!$D$5:$D$359,0),INDEX(Data!$CG$13:$CH$19,MATCH('Cumulative Payments'!$C23,Data!$CG$13:$CG$19),2))</f>
        <v>0</v>
      </c>
      <c r="J13" s="26">
        <f>INDEX(Data!$D$5:$CE$359,MATCH($B$4,Data!$D$5:$D$359,0),INDEX(Data!$CG$13:$CH$19,MATCH('Cumulative Payments'!$C23,Data!$CG$13:$CG$19),2))</f>
        <v>0</v>
      </c>
      <c r="K13" s="190"/>
      <c r="L13" s="27"/>
      <c r="M13" s="27"/>
      <c r="N13" s="28"/>
      <c r="Q13" s="29"/>
    </row>
    <row r="14" spans="2:17" ht="38.25" customHeight="1" x14ac:dyDescent="0.3">
      <c r="B14" s="31" t="s">
        <v>20</v>
      </c>
      <c r="C14" s="367" t="s">
        <v>21</v>
      </c>
      <c r="D14" s="367"/>
      <c r="E14" s="27"/>
      <c r="F14" s="28"/>
      <c r="G14" s="26">
        <f>INDEX(Data!$D$5:$CE$359,MATCH($B$4,Data!$D$5:$D$359,0),INDEX(Data!$CG$13:$CH$19,MATCH('Cumulative Payments'!$C24,Data!$CG$13:$CG$19),2))</f>
        <v>0</v>
      </c>
      <c r="H14" s="26">
        <f>INDEX(Data!$D$5:$CE$359,MATCH($B$4,Data!$D$5:$D$359,0),INDEX(Data!$CG$13:$CH$19,MATCH('Cumulative Payments'!$C24,Data!$CG$13:$CG$19),2))</f>
        <v>0</v>
      </c>
      <c r="I14" s="26">
        <f>INDEX(Data!$D$5:$CE$359,MATCH($B$4,Data!$D$5:$D$359,0),INDEX(Data!$CG$13:$CH$19,MATCH('Cumulative Payments'!$C24,Data!$CG$13:$CG$19),2))</f>
        <v>0</v>
      </c>
      <c r="J14" s="26">
        <f>INDEX(Data!$D$5:$CE$359,MATCH($B$4,Data!$D$5:$D$359,0),INDEX(Data!$CG$13:$CH$19,MATCH('Cumulative Payments'!$C24,Data!$CG$13:$CG$19),2))</f>
        <v>0</v>
      </c>
      <c r="K14" s="26">
        <f>INDEX(Data!$D$5:$CE$359,MATCH($B$4,Data!$D$5:$D$359,0),INDEX(Data!$CG$13:$CH$19,MATCH('Cumulative Payments'!$C24,Data!$CG$13:$CG$19),2))</f>
        <v>0</v>
      </c>
      <c r="L14" s="190"/>
      <c r="M14" s="27"/>
      <c r="N14" s="28"/>
      <c r="Q14" s="29"/>
    </row>
    <row r="15" spans="2:17" ht="38.25" customHeight="1" x14ac:dyDescent="0.2">
      <c r="C15" s="367" t="s">
        <v>22</v>
      </c>
      <c r="D15" s="367"/>
      <c r="E15" s="27"/>
      <c r="F15" s="27"/>
      <c r="G15" s="27"/>
      <c r="H15" s="26">
        <f>INDEX(Data!$D$5:$CE$359,MATCH($B$4,Data!$D$5:$D$359,0),INDEX(Data!$CG$13:$CH$19,MATCH('Cumulative Payments'!$C25,Data!$CG$13:$CG$19),2))</f>
        <v>0</v>
      </c>
      <c r="I15" s="26">
        <f>INDEX(Data!$D$5:$CE$359,MATCH($B$4,Data!$D$5:$D$359,0),INDEX(Data!$CG$13:$CH$19,MATCH('Cumulative Payments'!$C25,Data!$CG$13:$CG$19),2))</f>
        <v>0</v>
      </c>
      <c r="J15" s="26">
        <f>INDEX(Data!$D$5:$CE$359,MATCH($B$4,Data!$D$5:$D$359,0),INDEX(Data!$CG$13:$CH$19,MATCH('Cumulative Payments'!$C25,Data!$CG$13:$CG$19),2))</f>
        <v>0</v>
      </c>
      <c r="K15" s="26">
        <f>INDEX(Data!$D$5:$CE$359,MATCH($B$4,Data!$D$5:$D$359,0),INDEX(Data!$CG$13:$CH$19,MATCH('Cumulative Payments'!$C25,Data!$CG$13:$CG$19),2))</f>
        <v>0</v>
      </c>
      <c r="L15" s="190"/>
      <c r="M15" s="190"/>
      <c r="N15" s="28"/>
      <c r="Q15" s="22"/>
    </row>
    <row r="16" spans="2:17" ht="38.25" customHeight="1" x14ac:dyDescent="0.2">
      <c r="C16" s="367" t="s">
        <v>23</v>
      </c>
      <c r="D16" s="367"/>
      <c r="E16" s="27"/>
      <c r="F16" s="27"/>
      <c r="G16" s="27"/>
      <c r="H16" s="27"/>
      <c r="I16" s="26">
        <f>INDEX(Data!$D$5:$CE$359,MATCH($B$4,Data!$D$5:$D$359,0),INDEX(Data!$CG$13:$CH$19,MATCH('Cumulative Payments'!$C26,Data!$CG$13:$CG$19),2))</f>
        <v>0</v>
      </c>
      <c r="J16" s="26">
        <f>INDEX(Data!$D$5:$CE$359,MATCH($B$4,Data!$D$5:$D$359,0),INDEX(Data!$CG$13:$CH$19,MATCH('Cumulative Payments'!$C26,Data!$CG$13:$CG$19),2))</f>
        <v>0</v>
      </c>
      <c r="K16" s="26">
        <f>INDEX(Data!$D$5:$CE$359,MATCH($B$4,Data!$D$5:$D$359,0),INDEX(Data!$CG$13:$CH$19,MATCH('Cumulative Payments'!$C26,Data!$CG$13:$CG$19),2))</f>
        <v>0</v>
      </c>
      <c r="L16" s="26">
        <f>INDEX(Data!$D$5:$CE$359,MATCH($B$4,Data!$D$5:$D$359,0),INDEX(Data!$CG$13:$CH$19,MATCH('Cumulative Payments'!$C26,Data!$CG$13:$CG$19),2))</f>
        <v>0</v>
      </c>
      <c r="M16" s="190"/>
      <c r="N16" s="190"/>
      <c r="Q16" s="22"/>
    </row>
    <row r="17" spans="2:17" ht="38.25" customHeight="1" x14ac:dyDescent="0.2">
      <c r="C17" s="367" t="s">
        <v>24</v>
      </c>
      <c r="D17" s="367"/>
      <c r="E17" s="27"/>
      <c r="F17" s="27"/>
      <c r="G17" s="27"/>
      <c r="H17" s="27"/>
      <c r="I17" s="27"/>
      <c r="J17" s="26">
        <f>INDEX(Data!$D$5:$CE$359,MATCH($B$4,Data!$D$5:$D$359,0),INDEX(Data!$CG$13:$CH$19,MATCH('Cumulative Payments'!$C27,Data!$CG$13:$CG$19),2))</f>
        <v>0</v>
      </c>
      <c r="K17" s="26">
        <f>INDEX(Data!$D$5:$CE$359,MATCH($B$4,Data!$D$5:$D$359,0),INDEX(Data!$CG$13:$CH$19,MATCH('Cumulative Payments'!$C27,Data!$CG$13:$CG$19),2))</f>
        <v>0</v>
      </c>
      <c r="L17" s="26">
        <f>INDEX(Data!$D$5:$CE$359,MATCH($B$4,Data!$D$5:$D$359,0),INDEX(Data!$CG$13:$CH$19,MATCH('Cumulative Payments'!$C27,Data!$CG$13:$CG$19),2))</f>
        <v>0</v>
      </c>
      <c r="M17" s="26">
        <f>INDEX(Data!$D$5:$CE$359,MATCH($B$4,Data!$D$5:$D$359,0),INDEX(Data!$CG$13:$CH$19,MATCH('Cumulative Payments'!$C27,Data!$CG$13:$CG$19),2))</f>
        <v>0</v>
      </c>
      <c r="N17" s="190"/>
      <c r="Q17" s="22"/>
    </row>
    <row r="18" spans="2:17" ht="38.25" customHeight="1" x14ac:dyDescent="0.2">
      <c r="C18" s="365" t="s">
        <v>815</v>
      </c>
      <c r="D18" s="366"/>
      <c r="E18" s="30"/>
      <c r="F18" s="30"/>
      <c r="G18" s="30"/>
      <c r="H18" s="30"/>
      <c r="I18" s="30"/>
      <c r="J18" s="193"/>
      <c r="K18" s="26">
        <f>INDEX(Data!$D$5:$CE$359,MATCH($B$4,Data!$D$5:$D$359,0),INDEX(Data!$CG$13:$CH$19,MATCH('Cumulative Payments'!$C28,Data!$CG$13:$CG$19),2))</f>
        <v>197414860.8326757</v>
      </c>
      <c r="L18" s="26">
        <f>INDEX(Data!$D$5:$CE$359,MATCH($B$4,Data!$D$5:$D$359,0),INDEX(Data!$CG$13:$CH$19,MATCH('Cumulative Payments'!$C28,Data!$CG$13:$CG$19),2))</f>
        <v>197414860.8326757</v>
      </c>
      <c r="M18" s="26">
        <f>INDEX(Data!$D$5:$CE$359,MATCH($B$4,Data!$D$5:$D$359,0),INDEX(Data!$CG$13:$CH$19,MATCH('Cumulative Payments'!$C28,Data!$CG$13:$CG$19),2))</f>
        <v>197414860.8326757</v>
      </c>
      <c r="N18" s="26">
        <f>INDEX(Data!$D$5:$CE$359,MATCH($B$4,Data!$D$5:$D$359,0),INDEX(Data!$CG$13:$CH$19,MATCH('Cumulative Payments'!$C28,Data!$CG$13:$CG$19),2))</f>
        <v>197414860.8326757</v>
      </c>
      <c r="Q18" s="22"/>
    </row>
    <row r="19" spans="2:17" ht="38.25" customHeight="1" x14ac:dyDescent="0.4">
      <c r="C19" s="367" t="s">
        <v>898</v>
      </c>
      <c r="D19" s="365"/>
      <c r="E19" s="32"/>
      <c r="F19" s="33"/>
      <c r="G19" s="33"/>
      <c r="H19" s="33"/>
      <c r="I19" s="33"/>
      <c r="J19" s="191"/>
      <c r="K19" s="192">
        <f>SUM(K14:K18)</f>
        <v>197414860.8326757</v>
      </c>
      <c r="L19" s="33"/>
      <c r="M19" s="33"/>
      <c r="N19" s="34"/>
      <c r="O19" s="7"/>
      <c r="P19" s="39"/>
      <c r="Q19" s="22"/>
    </row>
    <row r="20" spans="2:17" ht="38.25" customHeight="1" x14ac:dyDescent="0.4">
      <c r="C20" s="29"/>
      <c r="D20" s="35"/>
      <c r="E20" s="232"/>
      <c r="F20" s="232">
        <f>F12</f>
        <v>0</v>
      </c>
      <c r="G20" s="232">
        <f>G12+G13</f>
        <v>0</v>
      </c>
      <c r="H20" s="232">
        <f>H12+H13+H14</f>
        <v>0</v>
      </c>
      <c r="I20" s="232">
        <f>I12+I13+I14+I15</f>
        <v>0</v>
      </c>
      <c r="J20" s="232">
        <f>J12+J13+J14+J15+J16</f>
        <v>0</v>
      </c>
      <c r="K20" s="232">
        <f>K14+K15+K16+K17</f>
        <v>0</v>
      </c>
      <c r="L20" s="19"/>
      <c r="M20" s="37"/>
      <c r="O20" s="7"/>
      <c r="P20" s="39"/>
      <c r="Q20" s="22"/>
    </row>
    <row r="21" spans="2:17" ht="38.25" customHeight="1" x14ac:dyDescent="0.4">
      <c r="C21" s="375" t="s">
        <v>816</v>
      </c>
      <c r="D21" s="375"/>
      <c r="E21" s="375"/>
      <c r="F21" s="36"/>
      <c r="G21" s="36"/>
      <c r="H21" s="36"/>
      <c r="I21" s="36"/>
      <c r="J21" s="36"/>
      <c r="K21" s="36"/>
      <c r="L21" s="19"/>
      <c r="M21" s="37"/>
      <c r="O21" s="7"/>
      <c r="P21" s="39"/>
      <c r="Q21" s="22"/>
    </row>
    <row r="22" spans="2:17" ht="38.25" customHeight="1" x14ac:dyDescent="0.4">
      <c r="C22" s="40" t="s">
        <v>25</v>
      </c>
      <c r="E22" s="42">
        <f>E12</f>
        <v>0</v>
      </c>
      <c r="F22" s="36"/>
      <c r="G22" s="36"/>
      <c r="H22" s="36"/>
      <c r="I22" s="36"/>
      <c r="J22" s="36"/>
      <c r="K22" s="36"/>
      <c r="L22" s="19"/>
      <c r="M22" s="37"/>
      <c r="O22" s="7"/>
      <c r="P22" s="39"/>
      <c r="Q22" s="22"/>
    </row>
    <row r="23" spans="2:17" ht="38.25" customHeight="1" x14ac:dyDescent="0.4">
      <c r="C23" s="40" t="s">
        <v>26</v>
      </c>
      <c r="E23" s="42">
        <f>F13</f>
        <v>0</v>
      </c>
      <c r="F23" s="36"/>
      <c r="G23" s="36"/>
      <c r="H23" s="36"/>
      <c r="I23" s="36"/>
      <c r="J23" s="36"/>
      <c r="K23" s="36"/>
      <c r="L23" s="19"/>
      <c r="M23" s="37"/>
      <c r="O23" s="7"/>
      <c r="P23" s="39"/>
      <c r="Q23" s="22"/>
    </row>
    <row r="24" spans="2:17" ht="38.25" customHeight="1" x14ac:dyDescent="0.4">
      <c r="C24" s="40" t="s">
        <v>27</v>
      </c>
      <c r="D24" s="41"/>
      <c r="E24" s="42">
        <f>G14</f>
        <v>0</v>
      </c>
      <c r="F24" s="36"/>
      <c r="G24" s="36"/>
      <c r="H24" s="36"/>
      <c r="I24" s="36"/>
      <c r="J24" s="36"/>
      <c r="K24" s="36"/>
      <c r="L24" s="19"/>
      <c r="M24" s="37"/>
      <c r="O24" s="7"/>
      <c r="P24" s="39"/>
      <c r="Q24" s="22"/>
    </row>
    <row r="25" spans="2:17" ht="38.25" customHeight="1" x14ac:dyDescent="0.4">
      <c r="C25" s="40" t="s">
        <v>28</v>
      </c>
      <c r="E25" s="42">
        <f>H15</f>
        <v>0</v>
      </c>
      <c r="F25" s="36"/>
      <c r="G25" s="36"/>
      <c r="H25" s="36"/>
      <c r="I25" s="36"/>
      <c r="J25" s="36"/>
      <c r="K25" s="36"/>
      <c r="L25" s="19"/>
      <c r="M25" s="37"/>
      <c r="O25" s="7"/>
      <c r="P25" s="39"/>
      <c r="Q25" s="22"/>
    </row>
    <row r="26" spans="2:17" ht="38.25" customHeight="1" x14ac:dyDescent="0.4">
      <c r="C26" s="40" t="s">
        <v>29</v>
      </c>
      <c r="E26" s="42">
        <f>I16</f>
        <v>0</v>
      </c>
      <c r="F26" s="36"/>
      <c r="G26" s="36"/>
      <c r="H26" s="36"/>
      <c r="I26" s="36"/>
      <c r="J26" s="36"/>
      <c r="K26" s="36"/>
      <c r="L26" s="19"/>
      <c r="M26" s="37"/>
      <c r="O26" s="7"/>
      <c r="P26" s="39"/>
      <c r="Q26" s="22"/>
    </row>
    <row r="27" spans="2:17" ht="38.25" customHeight="1" x14ac:dyDescent="0.4">
      <c r="C27" s="40" t="s">
        <v>30</v>
      </c>
      <c r="E27" s="42">
        <f>J17</f>
        <v>0</v>
      </c>
      <c r="F27" s="36"/>
      <c r="G27" s="36"/>
      <c r="H27" s="36"/>
      <c r="I27" s="36"/>
      <c r="J27" s="36"/>
      <c r="K27" s="36"/>
      <c r="L27" s="19"/>
      <c r="M27" s="37"/>
      <c r="O27" s="7"/>
      <c r="P27" s="39"/>
      <c r="Q27" s="22"/>
    </row>
    <row r="28" spans="2:17" ht="38.25" customHeight="1" x14ac:dyDescent="0.4">
      <c r="C28" s="40" t="s">
        <v>805</v>
      </c>
      <c r="E28" s="42">
        <f>K18</f>
        <v>197414860.8326757</v>
      </c>
      <c r="F28" s="36"/>
      <c r="G28" s="36"/>
      <c r="H28" s="36"/>
      <c r="I28" s="36"/>
      <c r="J28" s="36"/>
      <c r="K28" s="36"/>
      <c r="L28" s="19"/>
      <c r="M28" s="37"/>
      <c r="O28" s="7"/>
      <c r="P28" s="39"/>
      <c r="Q28" s="22"/>
    </row>
    <row r="29" spans="2:17" ht="38.25" customHeight="1" x14ac:dyDescent="0.4">
      <c r="C29" s="43" t="s">
        <v>31</v>
      </c>
      <c r="D29" s="44"/>
      <c r="E29" s="45">
        <f>SUM(E24:E28)</f>
        <v>197414860.8326757</v>
      </c>
      <c r="F29" s="36"/>
      <c r="G29" s="36"/>
      <c r="H29" s="36"/>
      <c r="I29" s="36"/>
      <c r="J29" s="36"/>
      <c r="K29" s="36"/>
      <c r="L29" s="19"/>
      <c r="M29" s="37"/>
      <c r="O29" s="7"/>
      <c r="P29" s="39"/>
      <c r="Q29" s="22"/>
    </row>
    <row r="30" spans="2:17" ht="15.75" x14ac:dyDescent="0.25">
      <c r="F30" s="36"/>
      <c r="G30" s="36"/>
      <c r="H30" s="36"/>
      <c r="I30" s="36"/>
      <c r="J30" s="36"/>
      <c r="K30" s="36"/>
      <c r="L30" s="19"/>
      <c r="M30" s="37"/>
      <c r="O30" s="364"/>
    </row>
    <row r="31" spans="2:17" ht="36" customHeight="1" x14ac:dyDescent="0.3">
      <c r="B31" s="46" t="s">
        <v>32</v>
      </c>
      <c r="C31" s="29"/>
      <c r="D31" s="35"/>
      <c r="E31" s="36"/>
      <c r="F31" s="47"/>
      <c r="G31" s="47"/>
      <c r="H31" s="47"/>
      <c r="I31" s="47"/>
      <c r="J31" s="47"/>
      <c r="K31" s="47"/>
      <c r="L31" s="47"/>
      <c r="M31" s="47"/>
      <c r="N31" s="47"/>
      <c r="O31" s="364"/>
      <c r="P31" s="48"/>
    </row>
    <row r="32" spans="2:17" ht="33.75" customHeight="1" x14ac:dyDescent="0.25">
      <c r="B32" s="374" t="s">
        <v>896</v>
      </c>
      <c r="C32" s="374"/>
      <c r="D32" s="374"/>
      <c r="E32" s="374"/>
      <c r="F32" s="374"/>
      <c r="G32" s="374"/>
      <c r="H32" s="374"/>
      <c r="I32" s="374"/>
      <c r="J32" s="374"/>
      <c r="K32" s="374"/>
      <c r="L32" s="374"/>
      <c r="M32" s="186"/>
      <c r="N32" s="186"/>
      <c r="O32" s="364"/>
    </row>
    <row r="33" spans="2:17" ht="26.25" x14ac:dyDescent="0.4">
      <c r="B33" s="187" t="s">
        <v>834</v>
      </c>
      <c r="C33" s="223"/>
      <c r="D33" s="223"/>
      <c r="E33" s="223"/>
      <c r="F33" s="188"/>
      <c r="G33" s="188"/>
      <c r="H33" s="188"/>
      <c r="I33" s="188"/>
      <c r="J33" s="188"/>
      <c r="K33" s="188"/>
      <c r="L33" s="188"/>
      <c r="M33" s="188"/>
      <c r="N33" s="188"/>
      <c r="O33" s="364"/>
      <c r="P33" s="49"/>
      <c r="Q33" s="7"/>
    </row>
    <row r="34" spans="2:17" ht="35.25" customHeight="1" x14ac:dyDescent="0.25">
      <c r="B34" s="373" t="s">
        <v>835</v>
      </c>
      <c r="C34" s="373"/>
      <c r="D34" s="373"/>
      <c r="E34" s="373"/>
      <c r="F34" s="373"/>
      <c r="G34" s="373"/>
      <c r="H34" s="189"/>
      <c r="I34" s="189"/>
      <c r="J34" s="189"/>
      <c r="K34" s="189"/>
      <c r="L34" s="189"/>
      <c r="M34" s="189"/>
      <c r="N34" s="189"/>
    </row>
    <row r="35" spans="2:17" x14ac:dyDescent="0.2">
      <c r="F35" s="185"/>
      <c r="G35" s="185"/>
      <c r="H35" s="185"/>
      <c r="I35" s="185"/>
      <c r="J35" s="185"/>
      <c r="K35" s="185"/>
      <c r="L35" s="185"/>
      <c r="M35" s="185"/>
      <c r="N35" s="185"/>
    </row>
    <row r="38" spans="2:17" ht="22.5" customHeight="1" x14ac:dyDescent="0.2">
      <c r="B38" s="351" t="s">
        <v>900</v>
      </c>
    </row>
    <row r="39" spans="2:17" ht="21.75" customHeight="1" x14ac:dyDescent="0.2"/>
    <row r="40" spans="2:17" x14ac:dyDescent="0.2">
      <c r="C40" s="7"/>
    </row>
    <row r="41" spans="2:17" x14ac:dyDescent="0.2">
      <c r="C41" s="219"/>
    </row>
    <row r="42" spans="2:17" x14ac:dyDescent="0.2">
      <c r="C42" s="219"/>
    </row>
    <row r="43" spans="2:17" ht="21" x14ac:dyDescent="0.35">
      <c r="B43" s="6"/>
      <c r="C43" s="219"/>
    </row>
    <row r="44" spans="2:17" ht="21" hidden="1" x14ac:dyDescent="0.35">
      <c r="B44" s="6"/>
      <c r="C44" s="224" t="s">
        <v>33</v>
      </c>
      <c r="D44" s="50"/>
      <c r="E44" s="50"/>
      <c r="F44" s="7"/>
    </row>
    <row r="45" spans="2:17" ht="21" hidden="1" x14ac:dyDescent="0.35">
      <c r="B45" s="6"/>
      <c r="C45" s="51" t="s">
        <v>836</v>
      </c>
      <c r="D45" s="50"/>
      <c r="E45" s="50"/>
      <c r="F45" s="7"/>
    </row>
    <row r="46" spans="2:17" ht="21" hidden="1" x14ac:dyDescent="0.35">
      <c r="B46" s="6"/>
      <c r="C46" s="1" t="s">
        <v>34</v>
      </c>
      <c r="D46" s="52"/>
      <c r="E46" s="53"/>
      <c r="F46" s="54"/>
    </row>
    <row r="47" spans="2:17" ht="21" hidden="1" x14ac:dyDescent="0.35">
      <c r="B47" s="6"/>
      <c r="C47" s="225" t="s">
        <v>35</v>
      </c>
      <c r="D47" s="52"/>
      <c r="E47" s="53"/>
      <c r="F47" s="7"/>
    </row>
    <row r="48" spans="2:17" ht="21" hidden="1" x14ac:dyDescent="0.35">
      <c r="B48" s="6"/>
      <c r="C48" s="225" t="s">
        <v>36</v>
      </c>
      <c r="D48" s="52"/>
      <c r="E48" s="53"/>
      <c r="F48" s="7"/>
    </row>
    <row r="49" spans="2:6" ht="21" hidden="1" x14ac:dyDescent="0.35">
      <c r="B49" s="6"/>
      <c r="C49" s="225" t="s">
        <v>37</v>
      </c>
      <c r="D49" s="52"/>
      <c r="E49" s="53"/>
      <c r="F49" s="7"/>
    </row>
    <row r="50" spans="2:6" ht="21" hidden="1" x14ac:dyDescent="0.35">
      <c r="B50" s="6"/>
      <c r="C50" s="225" t="s">
        <v>38</v>
      </c>
      <c r="D50" s="52"/>
      <c r="E50" s="53"/>
      <c r="F50" s="7"/>
    </row>
    <row r="51" spans="2:6" ht="21" hidden="1" x14ac:dyDescent="0.35">
      <c r="B51" s="6"/>
      <c r="C51" s="225" t="s">
        <v>3</v>
      </c>
      <c r="D51" s="52"/>
      <c r="E51" s="53"/>
      <c r="F51" s="7"/>
    </row>
    <row r="52" spans="2:6" ht="21" hidden="1" x14ac:dyDescent="0.35">
      <c r="B52" s="6"/>
      <c r="C52" s="225" t="s">
        <v>39</v>
      </c>
      <c r="D52" s="52"/>
      <c r="E52" s="53"/>
      <c r="F52" s="7"/>
    </row>
    <row r="53" spans="2:6" ht="21" hidden="1" x14ac:dyDescent="0.35">
      <c r="B53" s="6"/>
      <c r="C53" s="225" t="s">
        <v>40</v>
      </c>
      <c r="D53" s="52"/>
      <c r="E53" s="53"/>
      <c r="F53" s="7"/>
    </row>
    <row r="54" spans="2:6" ht="21" hidden="1" x14ac:dyDescent="0.35">
      <c r="B54" s="6"/>
      <c r="C54" s="226" t="s">
        <v>41</v>
      </c>
      <c r="D54" s="52"/>
      <c r="E54" s="53"/>
      <c r="F54" s="7"/>
    </row>
    <row r="55" spans="2:6" ht="21" hidden="1" x14ac:dyDescent="0.35">
      <c r="B55" s="6"/>
      <c r="C55" s="225" t="s">
        <v>42</v>
      </c>
      <c r="D55" s="52"/>
      <c r="E55" s="53"/>
      <c r="F55" s="7"/>
    </row>
    <row r="56" spans="2:6" ht="21" hidden="1" x14ac:dyDescent="0.35">
      <c r="B56" s="6"/>
      <c r="C56" s="225" t="s">
        <v>43</v>
      </c>
      <c r="D56" s="6"/>
      <c r="E56" s="53"/>
    </row>
    <row r="57" spans="2:6" ht="21" hidden="1" x14ac:dyDescent="0.35">
      <c r="B57" s="6"/>
      <c r="C57" s="225" t="s">
        <v>44</v>
      </c>
      <c r="D57" s="6"/>
      <c r="E57" s="53"/>
    </row>
    <row r="58" spans="2:6" ht="21" hidden="1" x14ac:dyDescent="0.35">
      <c r="B58" s="6"/>
      <c r="C58" s="225" t="s">
        <v>45</v>
      </c>
      <c r="D58" s="6"/>
      <c r="E58" s="53"/>
    </row>
    <row r="59" spans="2:6" ht="21" hidden="1" x14ac:dyDescent="0.35">
      <c r="B59" s="6"/>
      <c r="C59" s="225" t="s">
        <v>46</v>
      </c>
      <c r="D59" s="6"/>
      <c r="E59" s="53"/>
    </row>
    <row r="60" spans="2:6" ht="21" hidden="1" x14ac:dyDescent="0.35">
      <c r="B60" s="6"/>
      <c r="C60" s="225" t="s">
        <v>47</v>
      </c>
      <c r="D60" s="6"/>
      <c r="E60" s="53"/>
    </row>
    <row r="61" spans="2:6" ht="21" hidden="1" x14ac:dyDescent="0.35">
      <c r="B61" s="6"/>
      <c r="C61" s="225" t="s">
        <v>48</v>
      </c>
      <c r="D61" s="6"/>
      <c r="E61" s="53"/>
    </row>
    <row r="62" spans="2:6" ht="21" hidden="1" x14ac:dyDescent="0.35">
      <c r="B62" s="6"/>
      <c r="C62" s="225" t="s">
        <v>49</v>
      </c>
      <c r="D62" s="6"/>
      <c r="E62" s="53"/>
    </row>
    <row r="63" spans="2:6" ht="21" hidden="1" x14ac:dyDescent="0.35">
      <c r="B63" s="6"/>
      <c r="C63" s="225" t="s">
        <v>50</v>
      </c>
      <c r="D63" s="6"/>
      <c r="E63" s="53"/>
    </row>
    <row r="64" spans="2:6" ht="21" hidden="1" x14ac:dyDescent="0.35">
      <c r="B64" s="6"/>
      <c r="C64" s="225" t="s">
        <v>51</v>
      </c>
      <c r="D64" s="6"/>
      <c r="E64" s="53"/>
    </row>
    <row r="65" spans="2:5" ht="21" hidden="1" x14ac:dyDescent="0.35">
      <c r="B65" s="6"/>
      <c r="C65" s="225" t="s">
        <v>52</v>
      </c>
      <c r="D65" s="6"/>
      <c r="E65" s="53"/>
    </row>
    <row r="66" spans="2:5" ht="21" hidden="1" x14ac:dyDescent="0.35">
      <c r="B66" s="6"/>
      <c r="C66" s="225" t="s">
        <v>53</v>
      </c>
      <c r="D66" s="6"/>
      <c r="E66" s="53"/>
    </row>
    <row r="67" spans="2:5" ht="21" hidden="1" x14ac:dyDescent="0.35">
      <c r="B67" s="6"/>
      <c r="C67" s="225" t="s">
        <v>54</v>
      </c>
      <c r="D67" s="6"/>
      <c r="E67" s="53"/>
    </row>
    <row r="68" spans="2:5" ht="21" hidden="1" x14ac:dyDescent="0.35">
      <c r="B68" s="6"/>
      <c r="C68" s="225" t="s">
        <v>55</v>
      </c>
      <c r="D68" s="6"/>
      <c r="E68" s="53"/>
    </row>
    <row r="69" spans="2:5" ht="21" hidden="1" x14ac:dyDescent="0.35">
      <c r="B69" s="6"/>
      <c r="C69" s="225" t="s">
        <v>56</v>
      </c>
      <c r="D69" s="6"/>
      <c r="E69" s="53"/>
    </row>
    <row r="70" spans="2:5" ht="21" hidden="1" x14ac:dyDescent="0.35">
      <c r="B70" s="6"/>
      <c r="C70" s="225" t="s">
        <v>57</v>
      </c>
      <c r="D70" s="6"/>
      <c r="E70" s="53"/>
    </row>
    <row r="71" spans="2:5" ht="21" hidden="1" x14ac:dyDescent="0.35">
      <c r="B71" s="6"/>
      <c r="C71" s="225" t="s">
        <v>58</v>
      </c>
      <c r="D71" s="6"/>
      <c r="E71" s="53"/>
    </row>
    <row r="72" spans="2:5" ht="21" hidden="1" x14ac:dyDescent="0.35">
      <c r="B72" s="6"/>
      <c r="C72" s="225" t="s">
        <v>59</v>
      </c>
      <c r="D72" s="6"/>
      <c r="E72" s="53"/>
    </row>
    <row r="73" spans="2:5" ht="21" hidden="1" x14ac:dyDescent="0.35">
      <c r="B73" s="6"/>
      <c r="C73" s="225" t="s">
        <v>60</v>
      </c>
      <c r="D73" s="6"/>
      <c r="E73" s="53"/>
    </row>
    <row r="74" spans="2:5" ht="21" hidden="1" x14ac:dyDescent="0.35">
      <c r="B74" s="6"/>
      <c r="C74" s="225" t="s">
        <v>61</v>
      </c>
      <c r="D74" s="6"/>
      <c r="E74" s="53"/>
    </row>
    <row r="75" spans="2:5" ht="21" hidden="1" x14ac:dyDescent="0.35">
      <c r="B75" s="6"/>
      <c r="C75" s="225" t="s">
        <v>62</v>
      </c>
      <c r="D75" s="6"/>
      <c r="E75" s="53"/>
    </row>
    <row r="76" spans="2:5" ht="21" hidden="1" x14ac:dyDescent="0.35">
      <c r="B76" s="6"/>
      <c r="C76" s="225" t="s">
        <v>63</v>
      </c>
      <c r="D76" s="6"/>
      <c r="E76" s="53"/>
    </row>
    <row r="77" spans="2:5" ht="21" hidden="1" x14ac:dyDescent="0.35">
      <c r="B77" s="6"/>
      <c r="C77" s="225" t="s">
        <v>64</v>
      </c>
      <c r="D77" s="6"/>
      <c r="E77" s="53"/>
    </row>
    <row r="78" spans="2:5" ht="21" hidden="1" x14ac:dyDescent="0.35">
      <c r="B78" s="6"/>
      <c r="C78" s="225" t="s">
        <v>65</v>
      </c>
      <c r="D78" s="6"/>
      <c r="E78" s="53"/>
    </row>
    <row r="79" spans="2:5" ht="21" hidden="1" x14ac:dyDescent="0.35">
      <c r="B79" s="6"/>
      <c r="C79" s="225" t="s">
        <v>66</v>
      </c>
      <c r="D79" s="6"/>
      <c r="E79" s="53"/>
    </row>
    <row r="80" spans="2:5" ht="21" hidden="1" x14ac:dyDescent="0.35">
      <c r="B80" s="6"/>
      <c r="C80" s="225" t="s">
        <v>67</v>
      </c>
      <c r="D80" s="6"/>
      <c r="E80" s="53"/>
    </row>
    <row r="81" spans="2:5" ht="21" hidden="1" x14ac:dyDescent="0.35">
      <c r="B81" s="6"/>
      <c r="C81" s="225" t="s">
        <v>68</v>
      </c>
      <c r="D81" s="6"/>
      <c r="E81" s="53"/>
    </row>
    <row r="82" spans="2:5" ht="21" hidden="1" x14ac:dyDescent="0.35">
      <c r="B82" s="6"/>
      <c r="C82" s="225" t="s">
        <v>69</v>
      </c>
      <c r="D82" s="6"/>
      <c r="E82" s="53"/>
    </row>
    <row r="83" spans="2:5" ht="21" hidden="1" x14ac:dyDescent="0.35">
      <c r="B83" s="6"/>
      <c r="C83" s="225" t="s">
        <v>70</v>
      </c>
      <c r="D83" s="6"/>
      <c r="E83" s="53"/>
    </row>
    <row r="84" spans="2:5" ht="21" hidden="1" x14ac:dyDescent="0.35">
      <c r="B84" s="6"/>
      <c r="C84" s="225" t="s">
        <v>71</v>
      </c>
      <c r="D84" s="6"/>
      <c r="E84" s="53"/>
    </row>
    <row r="85" spans="2:5" ht="21" hidden="1" x14ac:dyDescent="0.35">
      <c r="B85" s="6"/>
      <c r="C85" s="225" t="s">
        <v>72</v>
      </c>
      <c r="D85" s="6"/>
      <c r="E85" s="53"/>
    </row>
    <row r="86" spans="2:5" ht="21" hidden="1" x14ac:dyDescent="0.35">
      <c r="B86" s="6"/>
      <c r="C86" s="225" t="s">
        <v>73</v>
      </c>
      <c r="D86" s="6"/>
      <c r="E86" s="53"/>
    </row>
    <row r="87" spans="2:5" ht="21" hidden="1" x14ac:dyDescent="0.35">
      <c r="B87" s="6"/>
      <c r="C87" s="225" t="s">
        <v>74</v>
      </c>
      <c r="D87" s="6"/>
      <c r="E87" s="53"/>
    </row>
    <row r="88" spans="2:5" ht="21" hidden="1" x14ac:dyDescent="0.35">
      <c r="B88" s="6"/>
      <c r="C88" s="225" t="s">
        <v>75</v>
      </c>
      <c r="D88" s="6"/>
      <c r="E88" s="53"/>
    </row>
    <row r="89" spans="2:5" ht="21" hidden="1" x14ac:dyDescent="0.35">
      <c r="B89" s="6"/>
      <c r="C89" s="225" t="s">
        <v>76</v>
      </c>
      <c r="D89" s="6"/>
      <c r="E89" s="53"/>
    </row>
    <row r="90" spans="2:5" ht="21" hidden="1" x14ac:dyDescent="0.35">
      <c r="B90" s="6"/>
      <c r="C90" s="225" t="s">
        <v>77</v>
      </c>
      <c r="D90" s="6"/>
      <c r="E90" s="53"/>
    </row>
    <row r="91" spans="2:5" ht="21" hidden="1" x14ac:dyDescent="0.35">
      <c r="B91" s="6"/>
      <c r="C91" s="225" t="s">
        <v>78</v>
      </c>
      <c r="D91" s="6"/>
      <c r="E91" s="53"/>
    </row>
    <row r="92" spans="2:5" ht="21" hidden="1" x14ac:dyDescent="0.35">
      <c r="B92" s="6"/>
      <c r="C92" s="225" t="s">
        <v>79</v>
      </c>
      <c r="D92" s="6"/>
      <c r="E92" s="53"/>
    </row>
    <row r="93" spans="2:5" ht="21" hidden="1" x14ac:dyDescent="0.35">
      <c r="B93" s="6"/>
      <c r="C93" s="225" t="s">
        <v>80</v>
      </c>
      <c r="D93" s="6"/>
      <c r="E93" s="53"/>
    </row>
    <row r="94" spans="2:5" ht="21" hidden="1" x14ac:dyDescent="0.35">
      <c r="B94" s="6"/>
      <c r="C94" s="225" t="s">
        <v>81</v>
      </c>
      <c r="D94" s="6"/>
      <c r="E94" s="53"/>
    </row>
    <row r="95" spans="2:5" ht="21" hidden="1" x14ac:dyDescent="0.35">
      <c r="B95" s="6"/>
      <c r="C95" s="225" t="s">
        <v>82</v>
      </c>
      <c r="D95" s="6"/>
      <c r="E95" s="53"/>
    </row>
    <row r="96" spans="2:5" ht="21" hidden="1" x14ac:dyDescent="0.35">
      <c r="B96" s="6"/>
      <c r="C96" s="225" t="s">
        <v>83</v>
      </c>
      <c r="D96" s="6"/>
      <c r="E96" s="53"/>
    </row>
    <row r="97" spans="2:5" ht="21" hidden="1" x14ac:dyDescent="0.35">
      <c r="B97" s="6"/>
      <c r="C97" s="225" t="s">
        <v>84</v>
      </c>
      <c r="D97" s="6"/>
      <c r="E97" s="53"/>
    </row>
    <row r="98" spans="2:5" ht="21" hidden="1" x14ac:dyDescent="0.35">
      <c r="B98" s="6"/>
      <c r="C98" s="225" t="s">
        <v>85</v>
      </c>
      <c r="D98" s="6"/>
      <c r="E98" s="53"/>
    </row>
    <row r="99" spans="2:5" ht="21" hidden="1" x14ac:dyDescent="0.35">
      <c r="B99" s="6"/>
      <c r="C99" s="225" t="s">
        <v>86</v>
      </c>
      <c r="D99" s="6"/>
      <c r="E99" s="53"/>
    </row>
    <row r="100" spans="2:5" ht="21" hidden="1" x14ac:dyDescent="0.35">
      <c r="B100" s="6"/>
      <c r="C100" s="225" t="s">
        <v>87</v>
      </c>
      <c r="D100" s="6"/>
      <c r="E100" s="53"/>
    </row>
    <row r="101" spans="2:5" ht="21" hidden="1" x14ac:dyDescent="0.35">
      <c r="B101" s="6"/>
      <c r="C101" s="225" t="s">
        <v>88</v>
      </c>
      <c r="D101" s="6"/>
      <c r="E101" s="53"/>
    </row>
    <row r="102" spans="2:5" ht="21" hidden="1" x14ac:dyDescent="0.35">
      <c r="B102" s="6"/>
      <c r="C102" s="225" t="s">
        <v>89</v>
      </c>
      <c r="D102" s="6"/>
      <c r="E102" s="53"/>
    </row>
    <row r="103" spans="2:5" ht="21" hidden="1" x14ac:dyDescent="0.35">
      <c r="B103" s="6"/>
      <c r="C103" s="225" t="s">
        <v>90</v>
      </c>
      <c r="D103" s="6"/>
      <c r="E103" s="53"/>
    </row>
    <row r="104" spans="2:5" ht="21" hidden="1" x14ac:dyDescent="0.35">
      <c r="B104" s="6"/>
      <c r="C104" s="225" t="s">
        <v>91</v>
      </c>
      <c r="D104" s="6"/>
      <c r="E104" s="53"/>
    </row>
    <row r="105" spans="2:5" ht="21" hidden="1" x14ac:dyDescent="0.35">
      <c r="B105" s="6"/>
      <c r="C105" s="225" t="s">
        <v>92</v>
      </c>
      <c r="D105" s="6"/>
      <c r="E105" s="53"/>
    </row>
    <row r="106" spans="2:5" ht="21" hidden="1" x14ac:dyDescent="0.35">
      <c r="B106" s="6"/>
      <c r="C106" s="225" t="s">
        <v>93</v>
      </c>
      <c r="D106" s="6"/>
      <c r="E106" s="53"/>
    </row>
    <row r="107" spans="2:5" ht="21" hidden="1" x14ac:dyDescent="0.35">
      <c r="B107" s="6"/>
      <c r="C107" s="225" t="s">
        <v>94</v>
      </c>
      <c r="D107" s="6"/>
      <c r="E107" s="53"/>
    </row>
    <row r="108" spans="2:5" ht="21" hidden="1" x14ac:dyDescent="0.35">
      <c r="B108" s="6"/>
      <c r="C108" s="225" t="s">
        <v>95</v>
      </c>
      <c r="D108" s="6"/>
      <c r="E108" s="53"/>
    </row>
    <row r="109" spans="2:5" ht="21" hidden="1" x14ac:dyDescent="0.35">
      <c r="B109" s="6"/>
      <c r="C109" s="225" t="s">
        <v>96</v>
      </c>
      <c r="D109" s="6"/>
      <c r="E109" s="53"/>
    </row>
    <row r="110" spans="2:5" ht="21" hidden="1" x14ac:dyDescent="0.35">
      <c r="B110" s="6"/>
      <c r="C110" s="225" t="s">
        <v>97</v>
      </c>
      <c r="D110" s="6"/>
      <c r="E110" s="53"/>
    </row>
    <row r="111" spans="2:5" ht="21" hidden="1" x14ac:dyDescent="0.35">
      <c r="B111" s="6"/>
      <c r="C111" s="225" t="s">
        <v>98</v>
      </c>
      <c r="D111" s="6"/>
      <c r="E111" s="53"/>
    </row>
    <row r="112" spans="2:5" ht="21" hidden="1" x14ac:dyDescent="0.35">
      <c r="B112" s="6"/>
      <c r="C112" s="225" t="s">
        <v>99</v>
      </c>
      <c r="D112" s="6"/>
      <c r="E112" s="53"/>
    </row>
    <row r="113" spans="2:5" ht="21" hidden="1" x14ac:dyDescent="0.35">
      <c r="B113" s="6"/>
      <c r="C113" s="225" t="s">
        <v>100</v>
      </c>
      <c r="D113" s="6"/>
      <c r="E113" s="53"/>
    </row>
    <row r="114" spans="2:5" ht="21" hidden="1" x14ac:dyDescent="0.35">
      <c r="B114" s="6"/>
      <c r="C114" s="225" t="s">
        <v>101</v>
      </c>
      <c r="D114" s="6"/>
      <c r="E114" s="53"/>
    </row>
    <row r="115" spans="2:5" ht="21" hidden="1" x14ac:dyDescent="0.35">
      <c r="B115" s="6"/>
      <c r="C115" s="225" t="s">
        <v>102</v>
      </c>
      <c r="D115" s="6"/>
      <c r="E115" s="53"/>
    </row>
    <row r="116" spans="2:5" ht="21" hidden="1" x14ac:dyDescent="0.35">
      <c r="B116" s="6"/>
      <c r="C116" s="225" t="s">
        <v>103</v>
      </c>
      <c r="D116" s="6"/>
      <c r="E116" s="53"/>
    </row>
    <row r="117" spans="2:5" ht="21" hidden="1" x14ac:dyDescent="0.35">
      <c r="B117" s="6"/>
      <c r="C117" s="225" t="s">
        <v>104</v>
      </c>
      <c r="D117" s="6"/>
      <c r="E117" s="53"/>
    </row>
    <row r="118" spans="2:5" ht="21" hidden="1" x14ac:dyDescent="0.35">
      <c r="B118" s="6"/>
      <c r="C118" s="225" t="s">
        <v>105</v>
      </c>
      <c r="D118" s="6"/>
      <c r="E118" s="53"/>
    </row>
    <row r="119" spans="2:5" ht="21" hidden="1" x14ac:dyDescent="0.35">
      <c r="B119" s="6"/>
      <c r="C119" s="225" t="s">
        <v>106</v>
      </c>
      <c r="D119" s="6"/>
      <c r="E119" s="53"/>
    </row>
    <row r="120" spans="2:5" ht="21" hidden="1" x14ac:dyDescent="0.35">
      <c r="B120" s="6"/>
      <c r="C120" s="225" t="s">
        <v>107</v>
      </c>
      <c r="D120" s="6"/>
      <c r="E120" s="53"/>
    </row>
    <row r="121" spans="2:5" ht="21" hidden="1" x14ac:dyDescent="0.35">
      <c r="B121" s="6"/>
      <c r="C121" s="225" t="s">
        <v>108</v>
      </c>
      <c r="D121" s="6"/>
      <c r="E121" s="53"/>
    </row>
    <row r="122" spans="2:5" ht="21" hidden="1" x14ac:dyDescent="0.35">
      <c r="B122" s="6"/>
      <c r="C122" s="225" t="s">
        <v>109</v>
      </c>
      <c r="D122" s="6"/>
      <c r="E122" s="53"/>
    </row>
    <row r="123" spans="2:5" ht="21" hidden="1" x14ac:dyDescent="0.35">
      <c r="B123" s="6"/>
      <c r="C123" s="225" t="s">
        <v>110</v>
      </c>
      <c r="D123" s="6"/>
      <c r="E123" s="53"/>
    </row>
    <row r="124" spans="2:5" ht="21" hidden="1" x14ac:dyDescent="0.35">
      <c r="B124" s="6"/>
      <c r="C124" s="225" t="s">
        <v>111</v>
      </c>
      <c r="D124" s="6"/>
      <c r="E124" s="53"/>
    </row>
    <row r="125" spans="2:5" ht="21" hidden="1" x14ac:dyDescent="0.35">
      <c r="B125" s="6"/>
      <c r="C125" s="225" t="s">
        <v>112</v>
      </c>
      <c r="D125" s="6"/>
      <c r="E125" s="53"/>
    </row>
    <row r="126" spans="2:5" ht="21" hidden="1" x14ac:dyDescent="0.35">
      <c r="B126" s="6"/>
      <c r="C126" s="225" t="s">
        <v>113</v>
      </c>
      <c r="D126" s="6"/>
      <c r="E126" s="53"/>
    </row>
    <row r="127" spans="2:5" ht="21" hidden="1" x14ac:dyDescent="0.35">
      <c r="B127" s="6"/>
      <c r="C127" s="225" t="s">
        <v>114</v>
      </c>
      <c r="D127" s="6"/>
      <c r="E127" s="53"/>
    </row>
    <row r="128" spans="2:5" ht="21" hidden="1" x14ac:dyDescent="0.35">
      <c r="B128" s="6"/>
      <c r="C128" s="225" t="s">
        <v>115</v>
      </c>
      <c r="D128" s="6"/>
      <c r="E128" s="53"/>
    </row>
    <row r="129" spans="2:5" ht="21" hidden="1" x14ac:dyDescent="0.35">
      <c r="B129" s="6"/>
      <c r="C129" s="225" t="s">
        <v>116</v>
      </c>
      <c r="D129" s="6"/>
      <c r="E129" s="53"/>
    </row>
    <row r="130" spans="2:5" ht="21" hidden="1" x14ac:dyDescent="0.35">
      <c r="B130" s="6"/>
      <c r="C130" s="225" t="s">
        <v>117</v>
      </c>
      <c r="D130" s="6"/>
      <c r="E130" s="53"/>
    </row>
    <row r="131" spans="2:5" ht="21" hidden="1" x14ac:dyDescent="0.35">
      <c r="B131" s="6"/>
      <c r="C131" s="225" t="s">
        <v>118</v>
      </c>
      <c r="D131" s="6"/>
      <c r="E131" s="53"/>
    </row>
    <row r="132" spans="2:5" ht="21" hidden="1" x14ac:dyDescent="0.35">
      <c r="B132" s="6"/>
      <c r="C132" s="225" t="s">
        <v>119</v>
      </c>
      <c r="D132" s="6"/>
      <c r="E132" s="53"/>
    </row>
    <row r="133" spans="2:5" ht="21" hidden="1" x14ac:dyDescent="0.35">
      <c r="B133" s="6"/>
      <c r="C133" s="225" t="s">
        <v>120</v>
      </c>
      <c r="D133" s="6"/>
      <c r="E133" s="53"/>
    </row>
    <row r="134" spans="2:5" ht="21" hidden="1" x14ac:dyDescent="0.35">
      <c r="B134" s="6"/>
      <c r="C134" s="225" t="s">
        <v>121</v>
      </c>
      <c r="D134" s="6"/>
      <c r="E134" s="53"/>
    </row>
    <row r="135" spans="2:5" ht="21" hidden="1" x14ac:dyDescent="0.35">
      <c r="B135" s="6"/>
      <c r="C135" s="225" t="s">
        <v>122</v>
      </c>
      <c r="D135" s="6"/>
      <c r="E135" s="53"/>
    </row>
    <row r="136" spans="2:5" ht="21" hidden="1" x14ac:dyDescent="0.35">
      <c r="B136" s="6"/>
      <c r="C136" s="225" t="s">
        <v>123</v>
      </c>
      <c r="D136" s="6"/>
      <c r="E136" s="53"/>
    </row>
    <row r="137" spans="2:5" ht="21" hidden="1" x14ac:dyDescent="0.35">
      <c r="B137" s="6"/>
      <c r="C137" s="225" t="s">
        <v>124</v>
      </c>
      <c r="D137" s="6"/>
      <c r="E137" s="53"/>
    </row>
    <row r="138" spans="2:5" ht="21" hidden="1" x14ac:dyDescent="0.35">
      <c r="B138" s="6"/>
      <c r="C138" s="225" t="s">
        <v>125</v>
      </c>
      <c r="D138" s="6"/>
      <c r="E138" s="53"/>
    </row>
    <row r="139" spans="2:5" ht="21" hidden="1" x14ac:dyDescent="0.35">
      <c r="B139" s="6"/>
      <c r="C139" s="225" t="s">
        <v>126</v>
      </c>
      <c r="D139" s="6"/>
      <c r="E139" s="53"/>
    </row>
    <row r="140" spans="2:5" ht="21" hidden="1" x14ac:dyDescent="0.35">
      <c r="B140" s="6"/>
      <c r="C140" s="225" t="s">
        <v>127</v>
      </c>
      <c r="D140" s="6"/>
      <c r="E140" s="53"/>
    </row>
    <row r="141" spans="2:5" ht="21" hidden="1" x14ac:dyDescent="0.35">
      <c r="B141" s="6"/>
      <c r="C141" s="225" t="s">
        <v>128</v>
      </c>
      <c r="D141" s="6"/>
      <c r="E141" s="53"/>
    </row>
    <row r="142" spans="2:5" ht="21" hidden="1" x14ac:dyDescent="0.35">
      <c r="B142" s="6"/>
      <c r="C142" s="225" t="s">
        <v>129</v>
      </c>
      <c r="D142" s="6"/>
      <c r="E142" s="53"/>
    </row>
    <row r="143" spans="2:5" ht="21" hidden="1" x14ac:dyDescent="0.35">
      <c r="B143" s="6"/>
      <c r="C143" s="225" t="s">
        <v>130</v>
      </c>
      <c r="D143" s="6"/>
      <c r="E143" s="53"/>
    </row>
    <row r="144" spans="2:5" ht="21" hidden="1" x14ac:dyDescent="0.35">
      <c r="B144" s="6"/>
      <c r="C144" s="225" t="s">
        <v>131</v>
      </c>
      <c r="D144" s="6"/>
      <c r="E144" s="53"/>
    </row>
    <row r="145" spans="2:5" ht="21" hidden="1" x14ac:dyDescent="0.35">
      <c r="B145" s="6"/>
      <c r="C145" s="225" t="s">
        <v>132</v>
      </c>
      <c r="D145" s="6"/>
      <c r="E145" s="53"/>
    </row>
    <row r="146" spans="2:5" ht="21" hidden="1" x14ac:dyDescent="0.35">
      <c r="B146" s="6"/>
      <c r="C146" s="225" t="s">
        <v>133</v>
      </c>
      <c r="D146" s="6"/>
      <c r="E146" s="53"/>
    </row>
    <row r="147" spans="2:5" ht="21" hidden="1" x14ac:dyDescent="0.35">
      <c r="B147" s="6"/>
      <c r="C147" s="225" t="s">
        <v>134</v>
      </c>
      <c r="D147" s="6"/>
      <c r="E147" s="53"/>
    </row>
    <row r="148" spans="2:5" ht="21" hidden="1" x14ac:dyDescent="0.35">
      <c r="B148" s="6"/>
      <c r="C148" s="225" t="s">
        <v>135</v>
      </c>
      <c r="D148" s="6"/>
      <c r="E148" s="53"/>
    </row>
    <row r="149" spans="2:5" ht="21" hidden="1" x14ac:dyDescent="0.35">
      <c r="B149" s="6"/>
      <c r="C149" s="225" t="s">
        <v>136</v>
      </c>
      <c r="D149" s="6"/>
      <c r="E149" s="53"/>
    </row>
    <row r="150" spans="2:5" ht="21" hidden="1" x14ac:dyDescent="0.35">
      <c r="B150" s="6"/>
      <c r="C150" s="225" t="s">
        <v>137</v>
      </c>
      <c r="D150" s="6"/>
      <c r="E150" s="53"/>
    </row>
    <row r="151" spans="2:5" ht="21" hidden="1" x14ac:dyDescent="0.35">
      <c r="B151" s="6"/>
      <c r="C151" s="225" t="s">
        <v>138</v>
      </c>
      <c r="D151" s="6"/>
      <c r="E151" s="53"/>
    </row>
    <row r="152" spans="2:5" ht="21" hidden="1" x14ac:dyDescent="0.35">
      <c r="B152" s="6"/>
      <c r="C152" s="225" t="s">
        <v>139</v>
      </c>
      <c r="D152" s="6"/>
      <c r="E152" s="53"/>
    </row>
    <row r="153" spans="2:5" ht="21" hidden="1" x14ac:dyDescent="0.35">
      <c r="B153" s="6"/>
      <c r="C153" s="225" t="s">
        <v>140</v>
      </c>
      <c r="D153" s="6"/>
      <c r="E153" s="53"/>
    </row>
    <row r="154" spans="2:5" ht="21" hidden="1" x14ac:dyDescent="0.35">
      <c r="B154" s="6"/>
      <c r="C154" s="225" t="s">
        <v>141</v>
      </c>
      <c r="D154" s="6"/>
      <c r="E154" s="53"/>
    </row>
    <row r="155" spans="2:5" ht="21" hidden="1" x14ac:dyDescent="0.35">
      <c r="B155" s="6"/>
      <c r="C155" s="225" t="s">
        <v>142</v>
      </c>
      <c r="D155" s="6"/>
      <c r="E155" s="53"/>
    </row>
    <row r="156" spans="2:5" ht="21" hidden="1" x14ac:dyDescent="0.35">
      <c r="B156" s="6"/>
      <c r="C156" s="225" t="s">
        <v>143</v>
      </c>
      <c r="D156" s="6"/>
      <c r="E156" s="53"/>
    </row>
    <row r="157" spans="2:5" ht="21" hidden="1" x14ac:dyDescent="0.35">
      <c r="B157" s="6"/>
      <c r="C157" s="225" t="s">
        <v>144</v>
      </c>
      <c r="D157" s="6"/>
      <c r="E157" s="53"/>
    </row>
    <row r="158" spans="2:5" ht="21" hidden="1" x14ac:dyDescent="0.35">
      <c r="B158" s="6"/>
      <c r="C158" s="225" t="s">
        <v>145</v>
      </c>
      <c r="D158" s="6"/>
      <c r="E158" s="53"/>
    </row>
    <row r="159" spans="2:5" ht="21" hidden="1" x14ac:dyDescent="0.35">
      <c r="B159" s="6"/>
      <c r="C159" s="225" t="s">
        <v>146</v>
      </c>
      <c r="D159" s="6"/>
      <c r="E159" s="53"/>
    </row>
    <row r="160" spans="2:5" ht="21" hidden="1" x14ac:dyDescent="0.35">
      <c r="B160" s="6"/>
      <c r="C160" s="225" t="s">
        <v>147</v>
      </c>
      <c r="D160" s="6"/>
      <c r="E160" s="53"/>
    </row>
    <row r="161" spans="2:5" ht="21" hidden="1" x14ac:dyDescent="0.35">
      <c r="B161" s="6"/>
      <c r="C161" s="225" t="s">
        <v>148</v>
      </c>
      <c r="D161" s="6"/>
      <c r="E161" s="53"/>
    </row>
    <row r="162" spans="2:5" ht="21" hidden="1" x14ac:dyDescent="0.35">
      <c r="B162" s="6"/>
      <c r="C162" s="225" t="s">
        <v>149</v>
      </c>
      <c r="D162" s="6"/>
      <c r="E162" s="53"/>
    </row>
    <row r="163" spans="2:5" ht="21" hidden="1" x14ac:dyDescent="0.35">
      <c r="B163" s="6"/>
      <c r="C163" s="225" t="s">
        <v>150</v>
      </c>
      <c r="D163" s="6"/>
      <c r="E163" s="53"/>
    </row>
    <row r="164" spans="2:5" ht="21" hidden="1" x14ac:dyDescent="0.35">
      <c r="B164" s="6"/>
      <c r="C164" s="225" t="s">
        <v>151</v>
      </c>
      <c r="D164" s="6"/>
      <c r="E164" s="53"/>
    </row>
    <row r="165" spans="2:5" ht="21" hidden="1" x14ac:dyDescent="0.35">
      <c r="B165" s="6"/>
      <c r="C165" s="225" t="s">
        <v>152</v>
      </c>
      <c r="D165" s="6"/>
      <c r="E165" s="53"/>
    </row>
    <row r="166" spans="2:5" ht="21" hidden="1" x14ac:dyDescent="0.35">
      <c r="B166" s="6"/>
      <c r="C166" s="225" t="s">
        <v>153</v>
      </c>
      <c r="D166" s="6"/>
      <c r="E166" s="53"/>
    </row>
    <row r="167" spans="2:5" ht="21" hidden="1" x14ac:dyDescent="0.35">
      <c r="B167" s="6"/>
      <c r="C167" s="225" t="s">
        <v>154</v>
      </c>
      <c r="D167" s="6"/>
      <c r="E167" s="53"/>
    </row>
    <row r="168" spans="2:5" ht="21" hidden="1" x14ac:dyDescent="0.35">
      <c r="B168" s="6"/>
      <c r="C168" s="225" t="s">
        <v>155</v>
      </c>
      <c r="D168" s="6"/>
      <c r="E168" s="53"/>
    </row>
    <row r="169" spans="2:5" ht="21" hidden="1" x14ac:dyDescent="0.35">
      <c r="B169" s="6"/>
      <c r="C169" s="225" t="s">
        <v>156</v>
      </c>
      <c r="D169" s="6"/>
      <c r="E169" s="53"/>
    </row>
    <row r="170" spans="2:5" ht="21" hidden="1" x14ac:dyDescent="0.35">
      <c r="B170" s="6"/>
      <c r="C170" s="225" t="s">
        <v>157</v>
      </c>
      <c r="D170" s="6"/>
      <c r="E170" s="53"/>
    </row>
    <row r="171" spans="2:5" ht="21" hidden="1" x14ac:dyDescent="0.35">
      <c r="B171" s="6"/>
      <c r="C171" s="225" t="s">
        <v>158</v>
      </c>
      <c r="D171" s="6"/>
      <c r="E171" s="53"/>
    </row>
    <row r="172" spans="2:5" ht="21" hidden="1" x14ac:dyDescent="0.35">
      <c r="B172" s="6"/>
      <c r="C172" s="225" t="s">
        <v>159</v>
      </c>
      <c r="D172" s="6"/>
      <c r="E172" s="53"/>
    </row>
    <row r="173" spans="2:5" ht="21" hidden="1" x14ac:dyDescent="0.35">
      <c r="B173" s="6"/>
      <c r="C173" s="225" t="s">
        <v>160</v>
      </c>
      <c r="D173" s="6"/>
      <c r="E173" s="53"/>
    </row>
    <row r="174" spans="2:5" ht="21" hidden="1" x14ac:dyDescent="0.35">
      <c r="B174" s="6"/>
      <c r="C174" s="225" t="s">
        <v>161</v>
      </c>
      <c r="D174" s="6"/>
      <c r="E174" s="53"/>
    </row>
    <row r="175" spans="2:5" ht="21" hidden="1" x14ac:dyDescent="0.35">
      <c r="B175" s="6"/>
      <c r="C175" s="225" t="s">
        <v>162</v>
      </c>
      <c r="D175" s="6"/>
      <c r="E175" s="53"/>
    </row>
    <row r="176" spans="2:5" ht="21" hidden="1" x14ac:dyDescent="0.35">
      <c r="B176" s="6"/>
      <c r="C176" s="225" t="s">
        <v>163</v>
      </c>
      <c r="D176" s="6"/>
      <c r="E176" s="53"/>
    </row>
    <row r="177" spans="2:5" ht="21" hidden="1" x14ac:dyDescent="0.35">
      <c r="B177" s="6"/>
      <c r="C177" s="225" t="s">
        <v>164</v>
      </c>
      <c r="D177" s="6"/>
      <c r="E177" s="53"/>
    </row>
    <row r="178" spans="2:5" ht="21" hidden="1" x14ac:dyDescent="0.35">
      <c r="B178" s="6"/>
      <c r="C178" s="225" t="s">
        <v>165</v>
      </c>
      <c r="D178" s="6"/>
      <c r="E178" s="53"/>
    </row>
    <row r="179" spans="2:5" ht="21" hidden="1" x14ac:dyDescent="0.35">
      <c r="B179" s="6"/>
      <c r="C179" s="225" t="s">
        <v>166</v>
      </c>
      <c r="D179" s="6"/>
      <c r="E179" s="53"/>
    </row>
    <row r="180" spans="2:5" ht="21" hidden="1" x14ac:dyDescent="0.35">
      <c r="B180" s="6"/>
      <c r="C180" s="225" t="s">
        <v>167</v>
      </c>
      <c r="D180" s="6"/>
      <c r="E180" s="53"/>
    </row>
    <row r="181" spans="2:5" ht="21" hidden="1" x14ac:dyDescent="0.35">
      <c r="B181" s="6"/>
      <c r="C181" s="225" t="s">
        <v>168</v>
      </c>
      <c r="D181" s="6"/>
      <c r="E181" s="53"/>
    </row>
    <row r="182" spans="2:5" ht="21" hidden="1" x14ac:dyDescent="0.35">
      <c r="B182" s="6"/>
      <c r="C182" s="225" t="s">
        <v>169</v>
      </c>
      <c r="D182" s="6"/>
      <c r="E182" s="53"/>
    </row>
    <row r="183" spans="2:5" ht="21" hidden="1" x14ac:dyDescent="0.35">
      <c r="B183" s="6"/>
      <c r="C183" s="225" t="s">
        <v>170</v>
      </c>
      <c r="D183" s="6"/>
      <c r="E183" s="53"/>
    </row>
    <row r="184" spans="2:5" ht="21" hidden="1" x14ac:dyDescent="0.35">
      <c r="B184" s="6"/>
      <c r="C184" s="225" t="s">
        <v>171</v>
      </c>
      <c r="D184" s="6"/>
      <c r="E184" s="53"/>
    </row>
    <row r="185" spans="2:5" ht="21" hidden="1" x14ac:dyDescent="0.35">
      <c r="B185" s="6"/>
      <c r="C185" s="225" t="s">
        <v>172</v>
      </c>
      <c r="D185" s="6"/>
      <c r="E185" s="53"/>
    </row>
    <row r="186" spans="2:5" ht="21" hidden="1" x14ac:dyDescent="0.35">
      <c r="B186" s="6"/>
      <c r="C186" s="225" t="s">
        <v>173</v>
      </c>
      <c r="D186" s="6"/>
      <c r="E186" s="53"/>
    </row>
    <row r="187" spans="2:5" ht="21" hidden="1" x14ac:dyDescent="0.35">
      <c r="B187" s="6"/>
      <c r="C187" s="225" t="s">
        <v>174</v>
      </c>
      <c r="D187" s="6"/>
      <c r="E187" s="53"/>
    </row>
    <row r="188" spans="2:5" ht="21" hidden="1" x14ac:dyDescent="0.35">
      <c r="B188" s="6"/>
      <c r="C188" s="225" t="s">
        <v>175</v>
      </c>
      <c r="D188" s="6"/>
      <c r="E188" s="53"/>
    </row>
    <row r="189" spans="2:5" ht="21" hidden="1" x14ac:dyDescent="0.35">
      <c r="B189" s="6"/>
      <c r="C189" s="225" t="s">
        <v>176</v>
      </c>
      <c r="D189" s="6"/>
      <c r="E189" s="53"/>
    </row>
    <row r="190" spans="2:5" ht="21" hidden="1" x14ac:dyDescent="0.35">
      <c r="B190" s="6"/>
      <c r="C190" s="225" t="s">
        <v>177</v>
      </c>
      <c r="D190" s="6"/>
      <c r="E190" s="53"/>
    </row>
    <row r="191" spans="2:5" ht="21" hidden="1" x14ac:dyDescent="0.35">
      <c r="B191" s="6"/>
      <c r="C191" s="225" t="s">
        <v>178</v>
      </c>
      <c r="D191" s="6"/>
      <c r="E191" s="53"/>
    </row>
    <row r="192" spans="2:5" ht="21" hidden="1" x14ac:dyDescent="0.35">
      <c r="B192" s="6"/>
      <c r="C192" s="225" t="s">
        <v>179</v>
      </c>
      <c r="D192" s="6"/>
      <c r="E192" s="53"/>
    </row>
    <row r="193" spans="2:5" ht="21" hidden="1" x14ac:dyDescent="0.35">
      <c r="B193" s="6"/>
      <c r="C193" s="225" t="s">
        <v>180</v>
      </c>
      <c r="D193" s="6"/>
      <c r="E193" s="53"/>
    </row>
    <row r="194" spans="2:5" ht="21" hidden="1" x14ac:dyDescent="0.35">
      <c r="B194" s="6"/>
      <c r="C194" s="225" t="s">
        <v>181</v>
      </c>
      <c r="D194" s="6"/>
      <c r="E194" s="53"/>
    </row>
    <row r="195" spans="2:5" ht="21" hidden="1" x14ac:dyDescent="0.35">
      <c r="B195" s="6"/>
      <c r="C195" s="225" t="s">
        <v>182</v>
      </c>
      <c r="D195" s="6"/>
      <c r="E195" s="53"/>
    </row>
    <row r="196" spans="2:5" ht="21" hidden="1" x14ac:dyDescent="0.35">
      <c r="B196" s="6"/>
      <c r="C196" s="225" t="s">
        <v>183</v>
      </c>
      <c r="D196" s="6"/>
      <c r="E196" s="53"/>
    </row>
    <row r="197" spans="2:5" ht="21" hidden="1" x14ac:dyDescent="0.35">
      <c r="B197" s="6"/>
      <c r="C197" s="225" t="s">
        <v>184</v>
      </c>
      <c r="D197" s="6"/>
      <c r="E197" s="53"/>
    </row>
    <row r="198" spans="2:5" ht="21" hidden="1" x14ac:dyDescent="0.35">
      <c r="B198" s="6"/>
      <c r="C198" s="225" t="s">
        <v>185</v>
      </c>
      <c r="D198" s="6"/>
      <c r="E198" s="53"/>
    </row>
    <row r="199" spans="2:5" ht="21" hidden="1" x14ac:dyDescent="0.35">
      <c r="B199" s="6"/>
      <c r="C199" s="225" t="s">
        <v>186</v>
      </c>
      <c r="D199" s="6"/>
      <c r="E199" s="53"/>
    </row>
    <row r="200" spans="2:5" ht="21" hidden="1" x14ac:dyDescent="0.35">
      <c r="B200" s="6"/>
      <c r="C200" s="225" t="s">
        <v>187</v>
      </c>
      <c r="D200" s="6"/>
      <c r="E200" s="53"/>
    </row>
    <row r="201" spans="2:5" ht="21" hidden="1" x14ac:dyDescent="0.35">
      <c r="B201" s="6"/>
      <c r="C201" s="225" t="s">
        <v>188</v>
      </c>
      <c r="D201" s="6"/>
      <c r="E201" s="53"/>
    </row>
    <row r="202" spans="2:5" ht="21" hidden="1" x14ac:dyDescent="0.35">
      <c r="B202" s="6"/>
      <c r="C202" s="225" t="s">
        <v>189</v>
      </c>
      <c r="D202" s="6"/>
      <c r="E202" s="53"/>
    </row>
    <row r="203" spans="2:5" ht="21" hidden="1" x14ac:dyDescent="0.35">
      <c r="B203" s="6"/>
      <c r="C203" s="225" t="s">
        <v>190</v>
      </c>
      <c r="D203" s="6"/>
      <c r="E203" s="53"/>
    </row>
    <row r="204" spans="2:5" ht="21" hidden="1" x14ac:dyDescent="0.35">
      <c r="B204" s="6"/>
      <c r="C204" s="225" t="s">
        <v>191</v>
      </c>
      <c r="D204" s="6"/>
      <c r="E204" s="53"/>
    </row>
    <row r="205" spans="2:5" ht="21" hidden="1" x14ac:dyDescent="0.35">
      <c r="B205" s="6"/>
      <c r="C205" s="225" t="s">
        <v>192</v>
      </c>
      <c r="D205" s="6"/>
      <c r="E205" s="53"/>
    </row>
    <row r="206" spans="2:5" ht="21" hidden="1" x14ac:dyDescent="0.35">
      <c r="B206" s="6"/>
      <c r="C206" s="225" t="s">
        <v>193</v>
      </c>
      <c r="D206" s="6"/>
      <c r="E206" s="53"/>
    </row>
    <row r="207" spans="2:5" ht="21" hidden="1" x14ac:dyDescent="0.35">
      <c r="B207" s="6"/>
      <c r="C207" s="225" t="s">
        <v>194</v>
      </c>
      <c r="D207" s="6"/>
      <c r="E207" s="53"/>
    </row>
    <row r="208" spans="2:5" ht="21" hidden="1" x14ac:dyDescent="0.35">
      <c r="B208" s="6"/>
      <c r="C208" s="225" t="s">
        <v>195</v>
      </c>
      <c r="D208" s="6"/>
      <c r="E208" s="53"/>
    </row>
    <row r="209" spans="2:5" ht="21" hidden="1" x14ac:dyDescent="0.35">
      <c r="B209" s="6"/>
      <c r="C209" s="225" t="s">
        <v>196</v>
      </c>
      <c r="D209" s="6"/>
      <c r="E209" s="53"/>
    </row>
    <row r="210" spans="2:5" ht="21" hidden="1" x14ac:dyDescent="0.35">
      <c r="B210" s="6"/>
      <c r="C210" s="225" t="s">
        <v>197</v>
      </c>
      <c r="D210" s="6"/>
      <c r="E210" s="53"/>
    </row>
    <row r="211" spans="2:5" ht="21" hidden="1" x14ac:dyDescent="0.35">
      <c r="B211" s="6"/>
      <c r="C211" s="225" t="s">
        <v>198</v>
      </c>
      <c r="D211" s="6"/>
      <c r="E211" s="53"/>
    </row>
    <row r="212" spans="2:5" ht="21" hidden="1" x14ac:dyDescent="0.35">
      <c r="B212" s="6"/>
      <c r="C212" s="225" t="s">
        <v>199</v>
      </c>
      <c r="D212" s="6"/>
      <c r="E212" s="53"/>
    </row>
    <row r="213" spans="2:5" ht="21" hidden="1" x14ac:dyDescent="0.35">
      <c r="B213" s="6"/>
      <c r="C213" s="225" t="s">
        <v>200</v>
      </c>
      <c r="D213" s="6"/>
      <c r="E213" s="53"/>
    </row>
    <row r="214" spans="2:5" ht="21" hidden="1" x14ac:dyDescent="0.35">
      <c r="B214" s="6"/>
      <c r="C214" s="225" t="s">
        <v>201</v>
      </c>
      <c r="D214" s="6"/>
      <c r="E214" s="53"/>
    </row>
    <row r="215" spans="2:5" ht="21" hidden="1" x14ac:dyDescent="0.35">
      <c r="B215" s="6"/>
      <c r="C215" s="225" t="s">
        <v>202</v>
      </c>
      <c r="D215" s="6"/>
      <c r="E215" s="53"/>
    </row>
    <row r="216" spans="2:5" ht="21" hidden="1" x14ac:dyDescent="0.35">
      <c r="B216" s="6"/>
      <c r="C216" s="225" t="s">
        <v>203</v>
      </c>
      <c r="D216" s="6"/>
      <c r="E216" s="53"/>
    </row>
    <row r="217" spans="2:5" ht="21" hidden="1" x14ac:dyDescent="0.35">
      <c r="B217" s="6"/>
      <c r="C217" s="225" t="s">
        <v>204</v>
      </c>
      <c r="D217" s="6"/>
      <c r="E217" s="53"/>
    </row>
    <row r="218" spans="2:5" ht="21" hidden="1" x14ac:dyDescent="0.35">
      <c r="B218" s="6"/>
      <c r="C218" s="225" t="s">
        <v>205</v>
      </c>
      <c r="D218" s="6"/>
      <c r="E218" s="53"/>
    </row>
    <row r="219" spans="2:5" ht="21" hidden="1" x14ac:dyDescent="0.35">
      <c r="B219" s="6"/>
      <c r="C219" s="225" t="s">
        <v>206</v>
      </c>
      <c r="D219" s="6"/>
      <c r="E219" s="53"/>
    </row>
    <row r="220" spans="2:5" ht="21" hidden="1" x14ac:dyDescent="0.35">
      <c r="B220" s="6"/>
      <c r="C220" s="225" t="s">
        <v>207</v>
      </c>
      <c r="D220" s="6"/>
      <c r="E220" s="53"/>
    </row>
    <row r="221" spans="2:5" ht="21" hidden="1" x14ac:dyDescent="0.35">
      <c r="B221" s="6"/>
      <c r="C221" s="225" t="s">
        <v>208</v>
      </c>
      <c r="D221" s="6"/>
      <c r="E221" s="53"/>
    </row>
    <row r="222" spans="2:5" ht="21" hidden="1" x14ac:dyDescent="0.35">
      <c r="B222" s="6"/>
      <c r="C222" s="225" t="s">
        <v>209</v>
      </c>
      <c r="D222" s="6"/>
      <c r="E222" s="53"/>
    </row>
    <row r="223" spans="2:5" ht="21" hidden="1" x14ac:dyDescent="0.35">
      <c r="B223" s="6"/>
      <c r="C223" s="225" t="s">
        <v>210</v>
      </c>
      <c r="D223" s="6"/>
      <c r="E223" s="53"/>
    </row>
    <row r="224" spans="2:5" ht="21" hidden="1" x14ac:dyDescent="0.35">
      <c r="B224" s="6"/>
      <c r="C224" s="225" t="s">
        <v>211</v>
      </c>
      <c r="D224" s="6"/>
      <c r="E224" s="53"/>
    </row>
    <row r="225" spans="2:5" ht="21" hidden="1" x14ac:dyDescent="0.35">
      <c r="B225" s="6"/>
      <c r="C225" s="225" t="s">
        <v>212</v>
      </c>
      <c r="D225" s="6"/>
      <c r="E225" s="53"/>
    </row>
    <row r="226" spans="2:5" ht="21" hidden="1" x14ac:dyDescent="0.35">
      <c r="B226" s="6"/>
      <c r="C226" s="225" t="s">
        <v>213</v>
      </c>
      <c r="D226" s="6"/>
      <c r="E226" s="53"/>
    </row>
    <row r="227" spans="2:5" ht="21" hidden="1" x14ac:dyDescent="0.35">
      <c r="B227" s="6"/>
      <c r="C227" s="225" t="s">
        <v>214</v>
      </c>
      <c r="D227" s="6"/>
      <c r="E227" s="53"/>
    </row>
    <row r="228" spans="2:5" ht="21" hidden="1" x14ac:dyDescent="0.35">
      <c r="B228" s="6"/>
      <c r="C228" s="225" t="s">
        <v>215</v>
      </c>
      <c r="D228" s="6"/>
      <c r="E228" s="53"/>
    </row>
    <row r="229" spans="2:5" ht="21" hidden="1" x14ac:dyDescent="0.35">
      <c r="B229" s="6"/>
      <c r="C229" s="225" t="s">
        <v>216</v>
      </c>
      <c r="D229" s="6"/>
      <c r="E229" s="53"/>
    </row>
    <row r="230" spans="2:5" ht="21" hidden="1" x14ac:dyDescent="0.35">
      <c r="B230" s="6"/>
      <c r="C230" s="225" t="s">
        <v>217</v>
      </c>
      <c r="D230" s="6"/>
      <c r="E230" s="53"/>
    </row>
    <row r="231" spans="2:5" ht="21" hidden="1" x14ac:dyDescent="0.35">
      <c r="B231" s="6"/>
      <c r="C231" s="225" t="s">
        <v>218</v>
      </c>
      <c r="D231" s="6"/>
      <c r="E231" s="53"/>
    </row>
    <row r="232" spans="2:5" ht="21" hidden="1" x14ac:dyDescent="0.35">
      <c r="B232" s="6"/>
      <c r="C232" s="225" t="s">
        <v>219</v>
      </c>
      <c r="D232" s="6"/>
      <c r="E232" s="53"/>
    </row>
    <row r="233" spans="2:5" ht="21" hidden="1" x14ac:dyDescent="0.35">
      <c r="B233" s="6"/>
      <c r="C233" s="225" t="s">
        <v>220</v>
      </c>
      <c r="D233" s="6"/>
      <c r="E233" s="53"/>
    </row>
    <row r="234" spans="2:5" ht="21" hidden="1" x14ac:dyDescent="0.35">
      <c r="B234" s="6"/>
      <c r="C234" s="225" t="s">
        <v>221</v>
      </c>
      <c r="D234" s="6"/>
      <c r="E234" s="53"/>
    </row>
    <row r="235" spans="2:5" ht="21" hidden="1" x14ac:dyDescent="0.35">
      <c r="B235" s="6"/>
      <c r="C235" s="225" t="s">
        <v>222</v>
      </c>
      <c r="D235" s="6"/>
      <c r="E235" s="53"/>
    </row>
    <row r="236" spans="2:5" ht="21" hidden="1" x14ac:dyDescent="0.35">
      <c r="B236" s="6"/>
      <c r="C236" s="225" t="s">
        <v>223</v>
      </c>
      <c r="D236" s="6"/>
      <c r="E236" s="53"/>
    </row>
    <row r="237" spans="2:5" ht="21" hidden="1" x14ac:dyDescent="0.35">
      <c r="B237" s="6"/>
      <c r="C237" s="225" t="s">
        <v>224</v>
      </c>
      <c r="D237" s="6"/>
      <c r="E237" s="53"/>
    </row>
    <row r="238" spans="2:5" ht="21" hidden="1" x14ac:dyDescent="0.35">
      <c r="B238" s="6"/>
      <c r="C238" s="225" t="s">
        <v>225</v>
      </c>
      <c r="D238" s="6"/>
      <c r="E238" s="53"/>
    </row>
    <row r="239" spans="2:5" ht="21" hidden="1" x14ac:dyDescent="0.35">
      <c r="B239" s="6"/>
      <c r="C239" s="225" t="s">
        <v>226</v>
      </c>
      <c r="D239" s="6"/>
      <c r="E239" s="53"/>
    </row>
    <row r="240" spans="2:5" ht="21" hidden="1" x14ac:dyDescent="0.35">
      <c r="B240" s="6"/>
      <c r="C240" s="225" t="s">
        <v>227</v>
      </c>
      <c r="D240" s="6"/>
      <c r="E240" s="53"/>
    </row>
    <row r="241" spans="2:5" ht="21" hidden="1" x14ac:dyDescent="0.35">
      <c r="B241" s="6"/>
      <c r="C241" s="225" t="s">
        <v>228</v>
      </c>
      <c r="D241" s="6"/>
      <c r="E241" s="53"/>
    </row>
    <row r="242" spans="2:5" ht="21" hidden="1" x14ac:dyDescent="0.35">
      <c r="B242" s="6"/>
      <c r="C242" s="225" t="s">
        <v>229</v>
      </c>
      <c r="D242" s="6"/>
      <c r="E242" s="53"/>
    </row>
    <row r="243" spans="2:5" ht="21" hidden="1" x14ac:dyDescent="0.35">
      <c r="B243" s="6"/>
      <c r="C243" s="225" t="s">
        <v>230</v>
      </c>
      <c r="D243" s="6"/>
      <c r="E243" s="53"/>
    </row>
    <row r="244" spans="2:5" ht="21" hidden="1" x14ac:dyDescent="0.35">
      <c r="B244" s="6"/>
      <c r="C244" s="225" t="s">
        <v>231</v>
      </c>
      <c r="D244" s="6"/>
      <c r="E244" s="53"/>
    </row>
    <row r="245" spans="2:5" ht="21" hidden="1" x14ac:dyDescent="0.35">
      <c r="B245" s="6"/>
      <c r="C245" s="225" t="s">
        <v>232</v>
      </c>
      <c r="D245" s="6"/>
      <c r="E245" s="53"/>
    </row>
    <row r="246" spans="2:5" ht="21" hidden="1" x14ac:dyDescent="0.35">
      <c r="B246" s="6"/>
      <c r="C246" s="225" t="s">
        <v>233</v>
      </c>
      <c r="D246" s="6"/>
      <c r="E246" s="53"/>
    </row>
    <row r="247" spans="2:5" ht="21" hidden="1" x14ac:dyDescent="0.35">
      <c r="B247" s="6"/>
      <c r="C247" s="225" t="s">
        <v>234</v>
      </c>
      <c r="D247" s="6"/>
      <c r="E247" s="53"/>
    </row>
    <row r="248" spans="2:5" ht="21" hidden="1" x14ac:dyDescent="0.35">
      <c r="B248" s="6"/>
      <c r="C248" s="225" t="s">
        <v>235</v>
      </c>
      <c r="D248" s="6"/>
      <c r="E248" s="53"/>
    </row>
    <row r="249" spans="2:5" ht="21" hidden="1" x14ac:dyDescent="0.35">
      <c r="B249" s="6"/>
      <c r="C249" s="225" t="s">
        <v>236</v>
      </c>
      <c r="D249" s="6"/>
      <c r="E249" s="53"/>
    </row>
    <row r="250" spans="2:5" ht="21" hidden="1" x14ac:dyDescent="0.35">
      <c r="B250" s="6"/>
      <c r="C250" s="225" t="s">
        <v>237</v>
      </c>
      <c r="D250" s="6"/>
      <c r="E250" s="53"/>
    </row>
    <row r="251" spans="2:5" ht="21" hidden="1" x14ac:dyDescent="0.35">
      <c r="B251" s="6"/>
      <c r="C251" s="225" t="s">
        <v>238</v>
      </c>
      <c r="D251" s="6"/>
      <c r="E251" s="53"/>
    </row>
    <row r="252" spans="2:5" ht="21" hidden="1" x14ac:dyDescent="0.35">
      <c r="B252" s="6"/>
      <c r="C252" s="225" t="s">
        <v>239</v>
      </c>
      <c r="D252" s="6"/>
      <c r="E252" s="53"/>
    </row>
    <row r="253" spans="2:5" ht="21" hidden="1" x14ac:dyDescent="0.35">
      <c r="B253" s="6"/>
      <c r="C253" s="225" t="s">
        <v>240</v>
      </c>
      <c r="D253" s="6"/>
      <c r="E253" s="53"/>
    </row>
    <row r="254" spans="2:5" ht="21" hidden="1" x14ac:dyDescent="0.35">
      <c r="B254" s="6"/>
      <c r="C254" s="225" t="s">
        <v>241</v>
      </c>
      <c r="D254" s="6"/>
      <c r="E254" s="53"/>
    </row>
    <row r="255" spans="2:5" ht="21" hidden="1" x14ac:dyDescent="0.35">
      <c r="B255" s="6"/>
      <c r="C255" s="225" t="s">
        <v>242</v>
      </c>
      <c r="D255" s="6"/>
      <c r="E255" s="53"/>
    </row>
    <row r="256" spans="2:5" ht="21" hidden="1" x14ac:dyDescent="0.35">
      <c r="B256" s="6"/>
      <c r="C256" s="225" t="s">
        <v>243</v>
      </c>
      <c r="D256" s="6"/>
      <c r="E256" s="53"/>
    </row>
    <row r="257" spans="2:5" ht="21" hidden="1" x14ac:dyDescent="0.35">
      <c r="B257" s="6"/>
      <c r="C257" s="225" t="s">
        <v>244</v>
      </c>
      <c r="D257" s="6"/>
      <c r="E257" s="53"/>
    </row>
    <row r="258" spans="2:5" ht="21" hidden="1" x14ac:dyDescent="0.35">
      <c r="B258" s="6"/>
      <c r="C258" s="225" t="s">
        <v>245</v>
      </c>
      <c r="D258" s="6"/>
      <c r="E258" s="53"/>
    </row>
    <row r="259" spans="2:5" ht="21" hidden="1" x14ac:dyDescent="0.35">
      <c r="B259" s="6"/>
      <c r="C259" s="225" t="s">
        <v>246</v>
      </c>
      <c r="D259" s="6"/>
      <c r="E259" s="53"/>
    </row>
    <row r="260" spans="2:5" ht="21" hidden="1" x14ac:dyDescent="0.35">
      <c r="B260" s="6"/>
      <c r="C260" s="225" t="s">
        <v>247</v>
      </c>
      <c r="D260" s="6"/>
      <c r="E260" s="53"/>
    </row>
    <row r="261" spans="2:5" ht="21" hidden="1" x14ac:dyDescent="0.35">
      <c r="B261" s="6"/>
      <c r="C261" s="225" t="s">
        <v>248</v>
      </c>
      <c r="D261" s="6"/>
      <c r="E261" s="53"/>
    </row>
    <row r="262" spans="2:5" ht="21" hidden="1" x14ac:dyDescent="0.35">
      <c r="B262" s="6"/>
      <c r="C262" s="225" t="s">
        <v>249</v>
      </c>
      <c r="D262" s="6"/>
      <c r="E262" s="53"/>
    </row>
    <row r="263" spans="2:5" ht="21" hidden="1" x14ac:dyDescent="0.35">
      <c r="B263" s="6"/>
      <c r="C263" s="225" t="s">
        <v>250</v>
      </c>
      <c r="D263" s="6"/>
      <c r="E263" s="53"/>
    </row>
    <row r="264" spans="2:5" ht="21" hidden="1" x14ac:dyDescent="0.35">
      <c r="B264" s="6"/>
      <c r="C264" s="225" t="s">
        <v>251</v>
      </c>
      <c r="D264" s="6"/>
      <c r="E264" s="53"/>
    </row>
    <row r="265" spans="2:5" ht="21" hidden="1" x14ac:dyDescent="0.35">
      <c r="B265" s="6"/>
      <c r="C265" s="225" t="s">
        <v>252</v>
      </c>
      <c r="D265" s="6"/>
      <c r="E265" s="53"/>
    </row>
    <row r="266" spans="2:5" ht="21" hidden="1" x14ac:dyDescent="0.35">
      <c r="B266" s="6"/>
      <c r="C266" s="225" t="s">
        <v>253</v>
      </c>
      <c r="D266" s="6"/>
      <c r="E266" s="53"/>
    </row>
    <row r="267" spans="2:5" ht="21" hidden="1" x14ac:dyDescent="0.35">
      <c r="B267" s="6"/>
      <c r="C267" s="225" t="s">
        <v>254</v>
      </c>
      <c r="D267" s="6"/>
      <c r="E267" s="53"/>
    </row>
    <row r="268" spans="2:5" ht="21" hidden="1" x14ac:dyDescent="0.35">
      <c r="B268" s="6"/>
      <c r="C268" s="225" t="s">
        <v>255</v>
      </c>
      <c r="D268" s="6"/>
      <c r="E268" s="53"/>
    </row>
    <row r="269" spans="2:5" ht="21" hidden="1" x14ac:dyDescent="0.35">
      <c r="B269" s="6"/>
      <c r="C269" s="225" t="s">
        <v>256</v>
      </c>
      <c r="D269" s="6"/>
      <c r="E269" s="53"/>
    </row>
    <row r="270" spans="2:5" ht="21" hidden="1" x14ac:dyDescent="0.35">
      <c r="B270" s="6"/>
      <c r="C270" s="225" t="s">
        <v>257</v>
      </c>
      <c r="D270" s="6"/>
      <c r="E270" s="53"/>
    </row>
    <row r="271" spans="2:5" ht="21" hidden="1" x14ac:dyDescent="0.35">
      <c r="B271" s="6"/>
      <c r="C271" s="225" t="s">
        <v>258</v>
      </c>
      <c r="D271" s="6"/>
      <c r="E271" s="53"/>
    </row>
    <row r="272" spans="2:5" ht="21" hidden="1" x14ac:dyDescent="0.35">
      <c r="B272" s="6"/>
      <c r="C272" s="225" t="s">
        <v>259</v>
      </c>
      <c r="D272" s="6"/>
      <c r="E272" s="53"/>
    </row>
    <row r="273" spans="2:5" ht="21" hidden="1" x14ac:dyDescent="0.35">
      <c r="B273" s="6"/>
      <c r="C273" s="225" t="s">
        <v>260</v>
      </c>
      <c r="D273" s="6"/>
      <c r="E273" s="53"/>
    </row>
    <row r="274" spans="2:5" ht="21" hidden="1" x14ac:dyDescent="0.35">
      <c r="B274" s="6"/>
      <c r="C274" s="225" t="s">
        <v>261</v>
      </c>
      <c r="D274" s="6"/>
      <c r="E274" s="53"/>
    </row>
    <row r="275" spans="2:5" ht="21" hidden="1" x14ac:dyDescent="0.35">
      <c r="B275" s="6"/>
      <c r="C275" s="225" t="s">
        <v>262</v>
      </c>
      <c r="D275" s="6"/>
      <c r="E275" s="53"/>
    </row>
    <row r="276" spans="2:5" ht="21" hidden="1" x14ac:dyDescent="0.35">
      <c r="B276" s="6"/>
      <c r="C276" s="225" t="s">
        <v>263</v>
      </c>
      <c r="D276" s="6"/>
      <c r="E276" s="53"/>
    </row>
    <row r="277" spans="2:5" ht="21" hidden="1" x14ac:dyDescent="0.35">
      <c r="B277" s="6"/>
      <c r="C277" s="225" t="s">
        <v>264</v>
      </c>
      <c r="D277" s="6"/>
      <c r="E277" s="53"/>
    </row>
    <row r="278" spans="2:5" ht="21" hidden="1" x14ac:dyDescent="0.35">
      <c r="B278" s="6"/>
      <c r="C278" s="225" t="s">
        <v>265</v>
      </c>
      <c r="D278" s="6"/>
      <c r="E278" s="53"/>
    </row>
    <row r="279" spans="2:5" ht="21" hidden="1" x14ac:dyDescent="0.35">
      <c r="B279" s="6"/>
      <c r="C279" s="225" t="s">
        <v>266</v>
      </c>
      <c r="D279" s="6"/>
      <c r="E279" s="53"/>
    </row>
    <row r="280" spans="2:5" ht="21" hidden="1" x14ac:dyDescent="0.35">
      <c r="B280" s="6"/>
      <c r="C280" s="225" t="s">
        <v>267</v>
      </c>
      <c r="D280" s="6"/>
      <c r="E280" s="53"/>
    </row>
    <row r="281" spans="2:5" ht="21" hidden="1" x14ac:dyDescent="0.35">
      <c r="B281" s="6"/>
      <c r="C281" s="225" t="s">
        <v>268</v>
      </c>
      <c r="D281" s="6"/>
      <c r="E281" s="53"/>
    </row>
    <row r="282" spans="2:5" ht="21" hidden="1" x14ac:dyDescent="0.35">
      <c r="B282" s="6"/>
      <c r="C282" s="225" t="s">
        <v>269</v>
      </c>
      <c r="D282" s="6"/>
      <c r="E282" s="53"/>
    </row>
    <row r="283" spans="2:5" ht="21" hidden="1" x14ac:dyDescent="0.35">
      <c r="B283" s="6"/>
      <c r="C283" s="225" t="s">
        <v>270</v>
      </c>
      <c r="D283" s="6"/>
      <c r="E283" s="53"/>
    </row>
    <row r="284" spans="2:5" ht="21" hidden="1" x14ac:dyDescent="0.35">
      <c r="B284" s="6"/>
      <c r="C284" s="225" t="s">
        <v>271</v>
      </c>
      <c r="D284" s="6"/>
      <c r="E284" s="53"/>
    </row>
    <row r="285" spans="2:5" ht="21" hidden="1" x14ac:dyDescent="0.35">
      <c r="B285" s="6"/>
      <c r="C285" s="225" t="s">
        <v>272</v>
      </c>
      <c r="D285" s="6"/>
      <c r="E285" s="53"/>
    </row>
    <row r="286" spans="2:5" ht="21" hidden="1" x14ac:dyDescent="0.35">
      <c r="B286" s="6"/>
      <c r="C286" s="225" t="s">
        <v>273</v>
      </c>
      <c r="D286" s="6"/>
      <c r="E286" s="53"/>
    </row>
    <row r="287" spans="2:5" ht="21" hidden="1" x14ac:dyDescent="0.35">
      <c r="B287" s="6"/>
      <c r="C287" s="225" t="s">
        <v>274</v>
      </c>
      <c r="D287" s="6"/>
      <c r="E287" s="53"/>
    </row>
    <row r="288" spans="2:5" ht="21" hidden="1" x14ac:dyDescent="0.35">
      <c r="B288" s="6"/>
      <c r="C288" s="225" t="s">
        <v>275</v>
      </c>
      <c r="D288" s="6"/>
      <c r="E288" s="53"/>
    </row>
    <row r="289" spans="2:5" ht="21" hidden="1" x14ac:dyDescent="0.35">
      <c r="B289" s="6"/>
      <c r="C289" s="225" t="s">
        <v>276</v>
      </c>
      <c r="D289" s="6"/>
      <c r="E289" s="53"/>
    </row>
    <row r="290" spans="2:5" ht="21" hidden="1" x14ac:dyDescent="0.35">
      <c r="B290" s="6"/>
      <c r="C290" s="225" t="s">
        <v>277</v>
      </c>
      <c r="D290" s="6"/>
      <c r="E290" s="53"/>
    </row>
    <row r="291" spans="2:5" ht="21" hidden="1" x14ac:dyDescent="0.35">
      <c r="B291" s="6"/>
      <c r="C291" s="225" t="s">
        <v>278</v>
      </c>
      <c r="D291" s="6"/>
      <c r="E291" s="53"/>
    </row>
    <row r="292" spans="2:5" ht="21" hidden="1" x14ac:dyDescent="0.35">
      <c r="B292" s="6"/>
      <c r="C292" s="225" t="s">
        <v>279</v>
      </c>
      <c r="D292" s="6"/>
      <c r="E292" s="53"/>
    </row>
    <row r="293" spans="2:5" ht="21" hidden="1" x14ac:dyDescent="0.35">
      <c r="B293" s="6"/>
      <c r="C293" s="225" t="s">
        <v>280</v>
      </c>
      <c r="D293" s="6"/>
      <c r="E293" s="53"/>
    </row>
    <row r="294" spans="2:5" ht="21" hidden="1" x14ac:dyDescent="0.35">
      <c r="B294" s="6"/>
      <c r="C294" s="225" t="s">
        <v>281</v>
      </c>
      <c r="D294" s="6"/>
      <c r="E294" s="53"/>
    </row>
    <row r="295" spans="2:5" ht="21" hidden="1" x14ac:dyDescent="0.35">
      <c r="B295" s="6"/>
      <c r="C295" s="225" t="s">
        <v>282</v>
      </c>
      <c r="D295" s="6"/>
      <c r="E295" s="53"/>
    </row>
    <row r="296" spans="2:5" ht="21" hidden="1" x14ac:dyDescent="0.35">
      <c r="B296" s="6"/>
      <c r="C296" s="225" t="s">
        <v>283</v>
      </c>
      <c r="D296" s="6"/>
      <c r="E296" s="53"/>
    </row>
    <row r="297" spans="2:5" ht="21" hidden="1" x14ac:dyDescent="0.35">
      <c r="B297" s="6"/>
      <c r="C297" s="225" t="s">
        <v>284</v>
      </c>
      <c r="D297" s="6"/>
      <c r="E297" s="53"/>
    </row>
    <row r="298" spans="2:5" ht="21" hidden="1" x14ac:dyDescent="0.35">
      <c r="B298" s="6"/>
      <c r="C298" s="225" t="s">
        <v>285</v>
      </c>
      <c r="D298" s="6"/>
      <c r="E298" s="53"/>
    </row>
    <row r="299" spans="2:5" ht="21" hidden="1" x14ac:dyDescent="0.35">
      <c r="B299" s="6"/>
      <c r="C299" s="225" t="s">
        <v>286</v>
      </c>
      <c r="D299" s="6"/>
      <c r="E299" s="53"/>
    </row>
    <row r="300" spans="2:5" ht="21" hidden="1" x14ac:dyDescent="0.35">
      <c r="B300" s="6"/>
      <c r="C300" s="225" t="s">
        <v>287</v>
      </c>
      <c r="D300" s="6"/>
      <c r="E300" s="53"/>
    </row>
    <row r="301" spans="2:5" ht="21" hidden="1" x14ac:dyDescent="0.35">
      <c r="B301" s="6"/>
      <c r="C301" s="225" t="s">
        <v>288</v>
      </c>
      <c r="D301" s="6"/>
      <c r="E301" s="53"/>
    </row>
    <row r="302" spans="2:5" ht="21" hidden="1" x14ac:dyDescent="0.35">
      <c r="B302" s="6"/>
      <c r="C302" s="225" t="s">
        <v>289</v>
      </c>
      <c r="D302" s="6"/>
      <c r="E302" s="53"/>
    </row>
    <row r="303" spans="2:5" ht="21" hidden="1" x14ac:dyDescent="0.35">
      <c r="B303" s="6"/>
      <c r="C303" s="225" t="s">
        <v>290</v>
      </c>
      <c r="D303" s="6"/>
      <c r="E303" s="53"/>
    </row>
    <row r="304" spans="2:5" ht="21" hidden="1" x14ac:dyDescent="0.35">
      <c r="B304" s="6"/>
      <c r="C304" s="225" t="s">
        <v>291</v>
      </c>
      <c r="D304" s="6"/>
      <c r="E304" s="53"/>
    </row>
    <row r="305" spans="2:5" ht="21" hidden="1" x14ac:dyDescent="0.35">
      <c r="B305" s="6"/>
      <c r="C305" s="225" t="s">
        <v>292</v>
      </c>
      <c r="D305" s="6"/>
      <c r="E305" s="53"/>
    </row>
    <row r="306" spans="2:5" ht="21" hidden="1" x14ac:dyDescent="0.35">
      <c r="B306" s="6"/>
      <c r="C306" s="225" t="s">
        <v>293</v>
      </c>
      <c r="D306" s="6"/>
      <c r="E306" s="53"/>
    </row>
    <row r="307" spans="2:5" ht="21" hidden="1" x14ac:dyDescent="0.35">
      <c r="B307" s="6"/>
      <c r="C307" s="225" t="s">
        <v>294</v>
      </c>
      <c r="D307" s="6"/>
      <c r="E307" s="53"/>
    </row>
    <row r="308" spans="2:5" ht="21" hidden="1" x14ac:dyDescent="0.35">
      <c r="B308" s="6"/>
      <c r="C308" s="225" t="s">
        <v>295</v>
      </c>
      <c r="D308" s="6"/>
      <c r="E308" s="53"/>
    </row>
    <row r="309" spans="2:5" ht="21" hidden="1" x14ac:dyDescent="0.35">
      <c r="B309" s="6"/>
      <c r="C309" s="225" t="s">
        <v>296</v>
      </c>
      <c r="D309" s="6"/>
      <c r="E309" s="53"/>
    </row>
    <row r="310" spans="2:5" ht="21" hidden="1" x14ac:dyDescent="0.35">
      <c r="B310" s="6"/>
      <c r="C310" s="225" t="s">
        <v>297</v>
      </c>
      <c r="D310" s="6"/>
      <c r="E310" s="53"/>
    </row>
    <row r="311" spans="2:5" ht="21" hidden="1" x14ac:dyDescent="0.35">
      <c r="B311" s="6"/>
      <c r="C311" s="225" t="s">
        <v>298</v>
      </c>
      <c r="D311" s="6"/>
      <c r="E311" s="53"/>
    </row>
    <row r="312" spans="2:5" ht="21" hidden="1" x14ac:dyDescent="0.35">
      <c r="B312" s="6"/>
      <c r="C312" s="225" t="s">
        <v>299</v>
      </c>
      <c r="D312" s="6"/>
      <c r="E312" s="53"/>
    </row>
    <row r="313" spans="2:5" ht="21" hidden="1" x14ac:dyDescent="0.35">
      <c r="B313" s="6"/>
      <c r="C313" s="225" t="s">
        <v>300</v>
      </c>
      <c r="D313" s="6"/>
      <c r="E313" s="53"/>
    </row>
    <row r="314" spans="2:5" ht="21" hidden="1" x14ac:dyDescent="0.35">
      <c r="B314" s="6"/>
      <c r="C314" s="225" t="s">
        <v>301</v>
      </c>
      <c r="D314" s="6"/>
      <c r="E314" s="53"/>
    </row>
    <row r="315" spans="2:5" ht="21" hidden="1" x14ac:dyDescent="0.35">
      <c r="B315" s="6"/>
      <c r="C315" s="225" t="s">
        <v>302</v>
      </c>
      <c r="D315" s="6"/>
      <c r="E315" s="53"/>
    </row>
    <row r="316" spans="2:5" ht="21" hidden="1" x14ac:dyDescent="0.35">
      <c r="B316" s="6"/>
      <c r="C316" s="225" t="s">
        <v>303</v>
      </c>
      <c r="D316" s="6"/>
      <c r="E316" s="53"/>
    </row>
    <row r="317" spans="2:5" ht="21" hidden="1" x14ac:dyDescent="0.35">
      <c r="B317" s="6"/>
      <c r="C317" s="225" t="s">
        <v>304</v>
      </c>
      <c r="D317" s="6"/>
      <c r="E317" s="53"/>
    </row>
    <row r="318" spans="2:5" ht="21" hidden="1" x14ac:dyDescent="0.35">
      <c r="B318" s="6"/>
      <c r="C318" s="225" t="s">
        <v>305</v>
      </c>
      <c r="D318" s="6"/>
      <c r="E318" s="53"/>
    </row>
    <row r="319" spans="2:5" ht="21" hidden="1" x14ac:dyDescent="0.35">
      <c r="B319" s="6"/>
      <c r="C319" s="225" t="s">
        <v>306</v>
      </c>
      <c r="D319" s="6"/>
      <c r="E319" s="53"/>
    </row>
    <row r="320" spans="2:5" ht="21" hidden="1" x14ac:dyDescent="0.35">
      <c r="B320" s="6"/>
      <c r="C320" s="225" t="s">
        <v>307</v>
      </c>
      <c r="D320" s="6"/>
      <c r="E320" s="53"/>
    </row>
    <row r="321" spans="2:5" ht="21" hidden="1" x14ac:dyDescent="0.35">
      <c r="B321" s="6"/>
      <c r="C321" s="225" t="s">
        <v>308</v>
      </c>
      <c r="D321" s="6"/>
      <c r="E321" s="53"/>
    </row>
    <row r="322" spans="2:5" ht="21" hidden="1" x14ac:dyDescent="0.35">
      <c r="B322" s="6"/>
      <c r="C322" s="225" t="s">
        <v>309</v>
      </c>
      <c r="D322" s="6"/>
      <c r="E322" s="53"/>
    </row>
    <row r="323" spans="2:5" ht="21" hidden="1" x14ac:dyDescent="0.35">
      <c r="B323" s="6"/>
      <c r="C323" s="225" t="s">
        <v>310</v>
      </c>
      <c r="D323" s="6"/>
      <c r="E323" s="53"/>
    </row>
    <row r="324" spans="2:5" ht="21" hidden="1" x14ac:dyDescent="0.35">
      <c r="B324" s="6"/>
      <c r="C324" s="225" t="s">
        <v>311</v>
      </c>
      <c r="D324" s="6"/>
      <c r="E324" s="53"/>
    </row>
    <row r="325" spans="2:5" ht="21" hidden="1" x14ac:dyDescent="0.35">
      <c r="B325" s="6"/>
      <c r="C325" s="225" t="s">
        <v>312</v>
      </c>
      <c r="D325" s="6"/>
      <c r="E325" s="53"/>
    </row>
    <row r="326" spans="2:5" ht="21" hidden="1" x14ac:dyDescent="0.35">
      <c r="B326" s="6"/>
      <c r="C326" s="225" t="s">
        <v>313</v>
      </c>
      <c r="D326" s="6"/>
      <c r="E326" s="53"/>
    </row>
    <row r="327" spans="2:5" ht="21" hidden="1" x14ac:dyDescent="0.35">
      <c r="B327" s="6"/>
      <c r="C327" s="225" t="s">
        <v>314</v>
      </c>
      <c r="D327" s="6"/>
      <c r="E327" s="53"/>
    </row>
    <row r="328" spans="2:5" ht="21" hidden="1" x14ac:dyDescent="0.35">
      <c r="B328" s="6"/>
      <c r="C328" s="225" t="s">
        <v>315</v>
      </c>
      <c r="D328" s="6"/>
      <c r="E328" s="53"/>
    </row>
    <row r="329" spans="2:5" ht="21" hidden="1" x14ac:dyDescent="0.35">
      <c r="B329" s="6"/>
      <c r="C329" s="225" t="s">
        <v>316</v>
      </c>
      <c r="D329" s="6"/>
      <c r="E329" s="53"/>
    </row>
    <row r="330" spans="2:5" ht="21" hidden="1" x14ac:dyDescent="0.35">
      <c r="B330" s="6"/>
      <c r="C330" s="225" t="s">
        <v>317</v>
      </c>
      <c r="D330" s="6"/>
      <c r="E330" s="53"/>
    </row>
    <row r="331" spans="2:5" ht="21" hidden="1" x14ac:dyDescent="0.35">
      <c r="B331" s="6"/>
      <c r="C331" s="225" t="s">
        <v>318</v>
      </c>
      <c r="D331" s="6"/>
      <c r="E331" s="53"/>
    </row>
    <row r="332" spans="2:5" ht="21" hidden="1" x14ac:dyDescent="0.35">
      <c r="B332" s="6"/>
      <c r="C332" s="225" t="s">
        <v>319</v>
      </c>
      <c r="D332" s="6"/>
      <c r="E332" s="53"/>
    </row>
    <row r="333" spans="2:5" ht="21" hidden="1" x14ac:dyDescent="0.35">
      <c r="B333" s="6"/>
      <c r="C333" s="225" t="s">
        <v>320</v>
      </c>
      <c r="D333" s="6"/>
      <c r="E333" s="53"/>
    </row>
    <row r="334" spans="2:5" ht="21" hidden="1" x14ac:dyDescent="0.35">
      <c r="B334" s="6"/>
      <c r="C334" s="225" t="s">
        <v>321</v>
      </c>
      <c r="D334" s="6"/>
      <c r="E334" s="53"/>
    </row>
    <row r="335" spans="2:5" ht="21" hidden="1" x14ac:dyDescent="0.35">
      <c r="B335" s="6"/>
      <c r="C335" s="225" t="s">
        <v>322</v>
      </c>
      <c r="D335" s="6"/>
      <c r="E335" s="53"/>
    </row>
    <row r="336" spans="2:5" ht="21" hidden="1" x14ac:dyDescent="0.35">
      <c r="B336" s="6"/>
      <c r="C336" s="225" t="s">
        <v>323</v>
      </c>
      <c r="D336" s="6"/>
      <c r="E336" s="53"/>
    </row>
    <row r="337" spans="2:5" ht="21" hidden="1" x14ac:dyDescent="0.35">
      <c r="B337" s="6"/>
      <c r="C337" s="225" t="s">
        <v>324</v>
      </c>
      <c r="D337" s="6"/>
      <c r="E337" s="53"/>
    </row>
    <row r="338" spans="2:5" ht="21" hidden="1" x14ac:dyDescent="0.35">
      <c r="B338" s="6"/>
      <c r="C338" s="225" t="s">
        <v>325</v>
      </c>
      <c r="D338" s="6"/>
      <c r="E338" s="53"/>
    </row>
    <row r="339" spans="2:5" ht="21" hidden="1" x14ac:dyDescent="0.35">
      <c r="B339" s="6"/>
      <c r="C339" s="225" t="s">
        <v>326</v>
      </c>
      <c r="D339" s="6"/>
      <c r="E339" s="53"/>
    </row>
    <row r="340" spans="2:5" ht="21" hidden="1" x14ac:dyDescent="0.35">
      <c r="B340" s="6"/>
      <c r="C340" s="225" t="s">
        <v>327</v>
      </c>
      <c r="D340" s="6"/>
      <c r="E340" s="53"/>
    </row>
    <row r="341" spans="2:5" ht="21" hidden="1" x14ac:dyDescent="0.35">
      <c r="B341" s="6"/>
      <c r="C341" s="225" t="s">
        <v>328</v>
      </c>
      <c r="D341" s="6"/>
      <c r="E341" s="53"/>
    </row>
    <row r="342" spans="2:5" ht="21" hidden="1" x14ac:dyDescent="0.35">
      <c r="B342" s="6"/>
      <c r="C342" s="225" t="s">
        <v>329</v>
      </c>
      <c r="D342" s="6"/>
      <c r="E342" s="53"/>
    </row>
    <row r="343" spans="2:5" ht="21" hidden="1" x14ac:dyDescent="0.35">
      <c r="B343" s="6"/>
      <c r="C343" s="225" t="s">
        <v>330</v>
      </c>
      <c r="D343" s="6"/>
      <c r="E343" s="53"/>
    </row>
    <row r="344" spans="2:5" ht="21" hidden="1" x14ac:dyDescent="0.35">
      <c r="B344" s="6"/>
      <c r="C344" s="225" t="s">
        <v>331</v>
      </c>
      <c r="D344" s="6"/>
      <c r="E344" s="53"/>
    </row>
    <row r="345" spans="2:5" ht="21" hidden="1" x14ac:dyDescent="0.35">
      <c r="B345" s="6"/>
      <c r="C345" s="225" t="s">
        <v>332</v>
      </c>
      <c r="D345" s="6"/>
      <c r="E345" s="53"/>
    </row>
    <row r="346" spans="2:5" ht="21" hidden="1" x14ac:dyDescent="0.35">
      <c r="B346" s="6"/>
      <c r="C346" s="225" t="s">
        <v>333</v>
      </c>
      <c r="D346" s="6"/>
      <c r="E346" s="53"/>
    </row>
    <row r="347" spans="2:5" ht="21" hidden="1" x14ac:dyDescent="0.35">
      <c r="B347" s="6"/>
      <c r="C347" s="225" t="s">
        <v>334</v>
      </c>
      <c r="D347" s="6"/>
      <c r="E347" s="53"/>
    </row>
    <row r="348" spans="2:5" ht="21" hidden="1" x14ac:dyDescent="0.35">
      <c r="B348" s="6"/>
      <c r="C348" s="225" t="s">
        <v>335</v>
      </c>
      <c r="D348" s="6"/>
      <c r="E348" s="53"/>
    </row>
    <row r="349" spans="2:5" ht="21" hidden="1" x14ac:dyDescent="0.35">
      <c r="B349" s="6"/>
      <c r="C349" s="225" t="s">
        <v>336</v>
      </c>
      <c r="D349" s="6"/>
      <c r="E349" s="53"/>
    </row>
    <row r="350" spans="2:5" ht="21" hidden="1" x14ac:dyDescent="0.35">
      <c r="B350" s="6"/>
      <c r="C350" s="225" t="s">
        <v>337</v>
      </c>
      <c r="D350" s="6"/>
      <c r="E350" s="53"/>
    </row>
    <row r="351" spans="2:5" ht="21" hidden="1" x14ac:dyDescent="0.35">
      <c r="B351" s="6"/>
      <c r="C351" s="225" t="s">
        <v>338</v>
      </c>
      <c r="D351" s="6"/>
      <c r="E351" s="53"/>
    </row>
    <row r="352" spans="2:5" ht="21" hidden="1" x14ac:dyDescent="0.35">
      <c r="B352" s="6"/>
      <c r="C352" s="225" t="s">
        <v>339</v>
      </c>
      <c r="D352" s="6"/>
      <c r="E352" s="53"/>
    </row>
    <row r="353" spans="2:5" ht="21" hidden="1" x14ac:dyDescent="0.35">
      <c r="B353" s="6"/>
      <c r="C353" s="225" t="s">
        <v>340</v>
      </c>
      <c r="D353" s="6"/>
      <c r="E353" s="53"/>
    </row>
    <row r="354" spans="2:5" ht="21" hidden="1" x14ac:dyDescent="0.35">
      <c r="B354" s="6"/>
      <c r="C354" s="225" t="s">
        <v>341</v>
      </c>
      <c r="D354" s="6"/>
      <c r="E354" s="53"/>
    </row>
    <row r="355" spans="2:5" ht="21" hidden="1" x14ac:dyDescent="0.35">
      <c r="B355" s="6"/>
      <c r="C355" s="225" t="s">
        <v>342</v>
      </c>
      <c r="D355" s="6"/>
      <c r="E355" s="53"/>
    </row>
    <row r="356" spans="2:5" ht="21" hidden="1" x14ac:dyDescent="0.35">
      <c r="B356" s="6"/>
      <c r="C356" s="225" t="s">
        <v>343</v>
      </c>
      <c r="D356" s="6"/>
      <c r="E356" s="53"/>
    </row>
    <row r="357" spans="2:5" ht="21" hidden="1" x14ac:dyDescent="0.35">
      <c r="B357" s="6"/>
      <c r="C357" s="225" t="s">
        <v>344</v>
      </c>
      <c r="D357" s="6"/>
      <c r="E357" s="53"/>
    </row>
    <row r="358" spans="2:5" ht="21" hidden="1" x14ac:dyDescent="0.35">
      <c r="B358" s="6"/>
      <c r="C358" s="225" t="s">
        <v>345</v>
      </c>
      <c r="D358" s="6"/>
      <c r="E358" s="53"/>
    </row>
    <row r="359" spans="2:5" ht="21" hidden="1" x14ac:dyDescent="0.35">
      <c r="B359" s="6"/>
      <c r="C359" s="225" t="s">
        <v>346</v>
      </c>
      <c r="D359" s="6"/>
      <c r="E359" s="53"/>
    </row>
    <row r="360" spans="2:5" ht="21" hidden="1" x14ac:dyDescent="0.35">
      <c r="B360" s="6"/>
      <c r="C360" s="225" t="s">
        <v>347</v>
      </c>
      <c r="D360" s="6"/>
      <c r="E360" s="53"/>
    </row>
    <row r="361" spans="2:5" ht="21" hidden="1" x14ac:dyDescent="0.35">
      <c r="B361" s="6"/>
      <c r="C361" s="225" t="s">
        <v>348</v>
      </c>
      <c r="D361" s="6"/>
      <c r="E361" s="53"/>
    </row>
    <row r="362" spans="2:5" ht="21" hidden="1" x14ac:dyDescent="0.35">
      <c r="B362" s="6"/>
      <c r="C362" s="225" t="s">
        <v>349</v>
      </c>
      <c r="D362" s="6"/>
      <c r="E362" s="53"/>
    </row>
    <row r="363" spans="2:5" ht="21" hidden="1" x14ac:dyDescent="0.35">
      <c r="B363" s="6"/>
      <c r="C363" s="225" t="s">
        <v>350</v>
      </c>
      <c r="D363" s="6"/>
      <c r="E363" s="53"/>
    </row>
    <row r="364" spans="2:5" ht="21" hidden="1" x14ac:dyDescent="0.35">
      <c r="B364" s="6"/>
      <c r="C364" s="225" t="s">
        <v>351</v>
      </c>
      <c r="D364" s="6"/>
      <c r="E364" s="53"/>
    </row>
    <row r="365" spans="2:5" ht="21" hidden="1" x14ac:dyDescent="0.35">
      <c r="B365" s="6"/>
      <c r="C365" s="225" t="s">
        <v>352</v>
      </c>
      <c r="D365" s="6"/>
      <c r="E365" s="53"/>
    </row>
    <row r="366" spans="2:5" ht="21" hidden="1" x14ac:dyDescent="0.35">
      <c r="B366" s="6"/>
      <c r="C366" s="225" t="s">
        <v>353</v>
      </c>
      <c r="D366" s="6"/>
      <c r="E366" s="53"/>
    </row>
    <row r="367" spans="2:5" ht="21" hidden="1" x14ac:dyDescent="0.35">
      <c r="B367" s="6"/>
      <c r="C367" s="225" t="s">
        <v>354</v>
      </c>
      <c r="D367" s="6"/>
      <c r="E367" s="53"/>
    </row>
    <row r="368" spans="2:5" ht="21" hidden="1" x14ac:dyDescent="0.35">
      <c r="B368" s="6"/>
      <c r="C368" s="225" t="s">
        <v>355</v>
      </c>
      <c r="D368" s="6"/>
      <c r="E368" s="53"/>
    </row>
    <row r="369" spans="2:5" ht="21" hidden="1" x14ac:dyDescent="0.35">
      <c r="B369" s="6"/>
      <c r="C369" s="225" t="s">
        <v>356</v>
      </c>
      <c r="D369" s="6"/>
      <c r="E369" s="53"/>
    </row>
    <row r="370" spans="2:5" ht="21" hidden="1" x14ac:dyDescent="0.35">
      <c r="B370" s="6"/>
      <c r="C370" s="225" t="s">
        <v>357</v>
      </c>
      <c r="D370" s="6"/>
      <c r="E370" s="53"/>
    </row>
    <row r="371" spans="2:5" ht="21" hidden="1" x14ac:dyDescent="0.35">
      <c r="B371" s="6"/>
      <c r="C371" s="225" t="s">
        <v>358</v>
      </c>
      <c r="D371" s="6"/>
      <c r="E371" s="53"/>
    </row>
    <row r="372" spans="2:5" ht="21" hidden="1" x14ac:dyDescent="0.35">
      <c r="B372" s="6"/>
      <c r="C372" s="225" t="s">
        <v>359</v>
      </c>
      <c r="D372" s="6"/>
      <c r="E372" s="53"/>
    </row>
    <row r="373" spans="2:5" ht="21" hidden="1" x14ac:dyDescent="0.35">
      <c r="B373" s="6"/>
      <c r="C373" s="55"/>
      <c r="D373" s="6"/>
      <c r="E373" s="53"/>
    </row>
    <row r="374" spans="2:5" ht="21" hidden="1" x14ac:dyDescent="0.35">
      <c r="B374" s="6"/>
      <c r="C374" s="56" t="s">
        <v>360</v>
      </c>
      <c r="D374" s="6"/>
      <c r="E374" s="53"/>
    </row>
    <row r="375" spans="2:5" ht="21" hidden="1" x14ac:dyDescent="0.35">
      <c r="B375" s="6"/>
      <c r="C375" s="57" t="s">
        <v>361</v>
      </c>
      <c r="D375" s="6"/>
      <c r="E375" s="53"/>
    </row>
    <row r="376" spans="2:5" ht="21" hidden="1" x14ac:dyDescent="0.35">
      <c r="B376" s="6"/>
      <c r="C376" s="57" t="s">
        <v>362</v>
      </c>
      <c r="D376" s="6"/>
      <c r="E376" s="53"/>
    </row>
    <row r="377" spans="2:5" ht="21" hidden="1" x14ac:dyDescent="0.35">
      <c r="B377" s="6"/>
      <c r="C377" s="57" t="s">
        <v>363</v>
      </c>
      <c r="D377" s="6"/>
      <c r="E377" s="53"/>
    </row>
    <row r="378" spans="2:5" ht="21" hidden="1" x14ac:dyDescent="0.35">
      <c r="B378" s="6"/>
      <c r="C378" s="57" t="s">
        <v>364</v>
      </c>
      <c r="D378" s="6"/>
      <c r="E378" s="53"/>
    </row>
    <row r="379" spans="2:5" ht="21" hidden="1" x14ac:dyDescent="0.35">
      <c r="B379" s="6"/>
      <c r="C379" s="57" t="s">
        <v>365</v>
      </c>
      <c r="D379" s="6"/>
      <c r="E379" s="53"/>
    </row>
    <row r="380" spans="2:5" ht="21" hidden="1" x14ac:dyDescent="0.35">
      <c r="C380" s="57" t="s">
        <v>366</v>
      </c>
      <c r="D380" s="6"/>
      <c r="E380" s="53"/>
    </row>
    <row r="381" spans="2:5" ht="21" hidden="1" x14ac:dyDescent="0.35">
      <c r="C381" s="57" t="s">
        <v>367</v>
      </c>
      <c r="E381" s="53"/>
    </row>
    <row r="382" spans="2:5" ht="21" hidden="1" x14ac:dyDescent="0.35">
      <c r="C382" s="57" t="s">
        <v>368</v>
      </c>
      <c r="E382" s="53"/>
    </row>
    <row r="383" spans="2:5" ht="21" hidden="1" x14ac:dyDescent="0.35">
      <c r="C383" s="57" t="s">
        <v>369</v>
      </c>
      <c r="E383" s="53"/>
    </row>
    <row r="384" spans="2:5" ht="21" hidden="1" x14ac:dyDescent="0.35">
      <c r="C384" s="57" t="s">
        <v>370</v>
      </c>
      <c r="E384" s="53"/>
    </row>
    <row r="385" spans="3:5" ht="21" hidden="1" x14ac:dyDescent="0.35">
      <c r="C385" s="57" t="s">
        <v>371</v>
      </c>
      <c r="E385" s="53"/>
    </row>
    <row r="386" spans="3:5" ht="21" hidden="1" x14ac:dyDescent="0.35">
      <c r="C386" s="57" t="s">
        <v>372</v>
      </c>
      <c r="E386" s="53"/>
    </row>
    <row r="387" spans="3:5" ht="21" hidden="1" x14ac:dyDescent="0.35">
      <c r="C387" s="57" t="s">
        <v>373</v>
      </c>
      <c r="E387" s="53"/>
    </row>
    <row r="388" spans="3:5" ht="21" hidden="1" x14ac:dyDescent="0.35">
      <c r="C388" s="57" t="s">
        <v>374</v>
      </c>
      <c r="E388" s="53"/>
    </row>
    <row r="389" spans="3:5" ht="21" hidden="1" x14ac:dyDescent="0.35">
      <c r="C389" s="57" t="s">
        <v>375</v>
      </c>
      <c r="E389" s="53"/>
    </row>
    <row r="390" spans="3:5" ht="21" hidden="1" x14ac:dyDescent="0.35">
      <c r="C390" s="57" t="s">
        <v>376</v>
      </c>
      <c r="E390" s="53"/>
    </row>
    <row r="391" spans="3:5" ht="21" hidden="1" x14ac:dyDescent="0.35">
      <c r="C391" s="57" t="s">
        <v>377</v>
      </c>
      <c r="E391" s="53"/>
    </row>
    <row r="392" spans="3:5" ht="21" hidden="1" x14ac:dyDescent="0.35">
      <c r="C392" s="57" t="s">
        <v>378</v>
      </c>
      <c r="E392" s="53"/>
    </row>
    <row r="393" spans="3:5" ht="21" hidden="1" x14ac:dyDescent="0.35">
      <c r="C393" s="57" t="s">
        <v>379</v>
      </c>
      <c r="E393" s="53"/>
    </row>
    <row r="394" spans="3:5" ht="21" hidden="1" x14ac:dyDescent="0.35">
      <c r="C394" s="57" t="s">
        <v>380</v>
      </c>
      <c r="E394" s="53"/>
    </row>
    <row r="395" spans="3:5" ht="21" hidden="1" x14ac:dyDescent="0.35">
      <c r="C395" s="57" t="s">
        <v>381</v>
      </c>
      <c r="E395" s="53"/>
    </row>
    <row r="396" spans="3:5" ht="21" hidden="1" x14ac:dyDescent="0.35">
      <c r="C396" s="57" t="s">
        <v>382</v>
      </c>
      <c r="E396" s="53"/>
    </row>
    <row r="397" spans="3:5" ht="21" hidden="1" x14ac:dyDescent="0.35">
      <c r="C397" s="57" t="s">
        <v>383</v>
      </c>
      <c r="E397" s="53"/>
    </row>
    <row r="398" spans="3:5" ht="21" hidden="1" x14ac:dyDescent="0.35">
      <c r="C398" s="57" t="s">
        <v>384</v>
      </c>
      <c r="E398" s="53"/>
    </row>
    <row r="399" spans="3:5" ht="21" hidden="1" x14ac:dyDescent="0.35">
      <c r="C399" s="57" t="s">
        <v>385</v>
      </c>
      <c r="E399" s="53"/>
    </row>
    <row r="400" spans="3:5" ht="21" hidden="1" x14ac:dyDescent="0.35">
      <c r="C400" s="57" t="s">
        <v>386</v>
      </c>
      <c r="E400" s="53"/>
    </row>
    <row r="401" spans="3:5" ht="21" hidden="1" x14ac:dyDescent="0.35">
      <c r="C401" s="57" t="s">
        <v>387</v>
      </c>
      <c r="E401" s="53"/>
    </row>
    <row r="402" spans="3:5" x14ac:dyDescent="0.2">
      <c r="C402" s="220"/>
    </row>
    <row r="403" spans="3:5" x14ac:dyDescent="0.2">
      <c r="C403" s="219"/>
    </row>
    <row r="404" spans="3:5" x14ac:dyDescent="0.2">
      <c r="C404" s="7"/>
    </row>
    <row r="405" spans="3:5" x14ac:dyDescent="0.2">
      <c r="C405" s="7"/>
    </row>
  </sheetData>
  <sheetProtection selectLockedCells="1"/>
  <mergeCells count="19">
    <mergeCell ref="B34:G34"/>
    <mergeCell ref="B32:L32"/>
    <mergeCell ref="C17:D17"/>
    <mergeCell ref="C19:D19"/>
    <mergeCell ref="C21:E21"/>
    <mergeCell ref="O30:O33"/>
    <mergeCell ref="C18:D18"/>
    <mergeCell ref="C16:D16"/>
    <mergeCell ref="B2:E2"/>
    <mergeCell ref="B4:C4"/>
    <mergeCell ref="D4:G4"/>
    <mergeCell ref="D5:G5"/>
    <mergeCell ref="D6:G6"/>
    <mergeCell ref="D7:G7"/>
    <mergeCell ref="C11:D11"/>
    <mergeCell ref="C13:D13"/>
    <mergeCell ref="C14:D14"/>
    <mergeCell ref="C15:D15"/>
    <mergeCell ref="C12:D12"/>
  </mergeCells>
  <dataValidations count="2">
    <dataValidation type="list" allowBlank="1" showInputMessage="1" showErrorMessage="1" sqref="L2">
      <formula1>"Yes, No"</formula1>
    </dataValidation>
    <dataValidation type="list" allowBlank="1" showErrorMessage="1" prompt="1. Please select your Local Authority._x000a_2. Please enter your estimates in the green boxes." sqref="B4:C4">
      <formula1>$C$46:$C$401</formula1>
    </dataValidation>
  </dataValidations>
  <hyperlinks>
    <hyperlink ref="B6" location="'New Homes Bonus'!I14" tooltip="Click here to return to homepage" display="Return to homepage"/>
  </hyperlinks>
  <pageMargins left="0.74803149606299213" right="0.74803149606299213" top="0.98425196850393704" bottom="0.98425196850393704" header="0.51181102362204722" footer="0.51181102362204722"/>
  <pageSetup paperSize="9" scale="42" orientation="landscape" r:id="rId1"/>
  <headerFooter alignWithMargins="0"/>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2:Q522"/>
  <sheetViews>
    <sheetView zoomScale="85" zoomScaleNormal="85" workbookViewId="0">
      <selection activeCell="B6" sqref="B6"/>
    </sheetView>
  </sheetViews>
  <sheetFormatPr defaultRowHeight="12.75" x14ac:dyDescent="0.2"/>
  <cols>
    <col min="1" max="1" width="4" style="1" customWidth="1"/>
    <col min="2" max="2" width="28.5703125" style="1" customWidth="1"/>
    <col min="3" max="3" width="29.85546875" style="1" customWidth="1"/>
    <col min="4" max="12" width="13" style="1" customWidth="1"/>
    <col min="13" max="13" width="8.42578125" style="1" customWidth="1"/>
    <col min="14" max="14" width="22.28515625" style="1" customWidth="1"/>
    <col min="15" max="15" width="16.5703125" style="1" customWidth="1"/>
    <col min="16" max="16" width="21.5703125" style="1" customWidth="1"/>
    <col min="17" max="17" width="15.5703125" style="1" customWidth="1"/>
    <col min="18" max="18" width="37.140625" style="1" customWidth="1"/>
    <col min="19" max="19" width="24" style="1" customWidth="1"/>
    <col min="20" max="21" width="9.28515625" style="1" bestFit="1" customWidth="1"/>
    <col min="22" max="16384" width="9.140625" style="1"/>
  </cols>
  <sheetData>
    <row r="2" spans="2:17" ht="33" customHeight="1" x14ac:dyDescent="0.55000000000000004">
      <c r="B2" s="368" t="s">
        <v>0</v>
      </c>
      <c r="C2" s="368"/>
      <c r="D2" s="368"/>
      <c r="E2" s="368"/>
      <c r="F2" s="58"/>
      <c r="K2" s="280"/>
    </row>
    <row r="3" spans="2:17" ht="15.75" customHeight="1" x14ac:dyDescent="0.7">
      <c r="B3" s="59"/>
      <c r="C3" s="5"/>
      <c r="D3" s="2"/>
      <c r="E3" s="2"/>
      <c r="F3" s="2"/>
      <c r="K3" s="7"/>
    </row>
    <row r="4" spans="2:17" ht="37.5" customHeight="1" x14ac:dyDescent="0.4">
      <c r="B4" s="369" t="s">
        <v>34</v>
      </c>
      <c r="C4" s="369"/>
      <c r="D4" s="370" t="s">
        <v>388</v>
      </c>
      <c r="E4" s="370"/>
      <c r="F4" s="370"/>
      <c r="G4" s="370"/>
      <c r="H4" s="60" t="str">
        <f>VLOOKUP($B$4,Data!$D$3:$J$359,Data!$F$1,0)</f>
        <v>-</v>
      </c>
      <c r="K4" s="281"/>
      <c r="M4" s="376"/>
      <c r="N4" s="376"/>
    </row>
    <row r="5" spans="2:17" ht="19.5" customHeight="1" x14ac:dyDescent="0.35">
      <c r="B5" s="61"/>
      <c r="C5" s="61"/>
      <c r="D5" s="370" t="s">
        <v>389</v>
      </c>
      <c r="E5" s="370"/>
      <c r="F5" s="370"/>
      <c r="G5" s="370"/>
      <c r="H5" s="60" t="str">
        <f>VLOOKUP($B$4,Data!$D$3:$BG$359,Data!$H$1,0)</f>
        <v>-</v>
      </c>
      <c r="I5" s="62"/>
      <c r="K5" s="243"/>
      <c r="M5" s="7"/>
      <c r="N5" s="7"/>
    </row>
    <row r="6" spans="2:17" ht="21.75" customHeight="1" x14ac:dyDescent="0.35">
      <c r="B6" s="8" t="s">
        <v>4</v>
      </c>
      <c r="C6" s="63"/>
      <c r="D6" s="371" t="s">
        <v>390</v>
      </c>
      <c r="E6" s="371"/>
      <c r="F6" s="371"/>
      <c r="G6" s="371"/>
      <c r="H6" s="64" t="str">
        <f>VLOOKUP($B$4,Data!$D$3:$J$359,Data!$J$1,0)</f>
        <v>-</v>
      </c>
      <c r="I6" s="65"/>
      <c r="J6" s="65"/>
      <c r="K6" s="282"/>
      <c r="M6" s="7"/>
      <c r="N6" s="7"/>
    </row>
    <row r="7" spans="2:17" ht="18.75" customHeight="1" x14ac:dyDescent="0.25">
      <c r="D7" s="370" t="s">
        <v>391</v>
      </c>
      <c r="E7" s="370"/>
      <c r="F7" s="370"/>
      <c r="G7" s="370"/>
      <c r="H7" s="60" t="str">
        <f>VLOOKUP($B$4,Data!$D$3:$I$359,Data!$G$1,0)</f>
        <v>-</v>
      </c>
      <c r="I7" s="13"/>
      <c r="J7" s="13"/>
      <c r="K7" s="13"/>
      <c r="O7" s="11"/>
      <c r="P7" s="11"/>
    </row>
    <row r="8" spans="2:17" ht="25.5" customHeight="1" x14ac:dyDescent="0.4">
      <c r="J8" s="15"/>
      <c r="K8" s="15"/>
      <c r="N8" s="7"/>
      <c r="O8" s="66"/>
      <c r="P8" s="17"/>
      <c r="Q8" s="18"/>
    </row>
    <row r="9" spans="2:17" ht="34.5" customHeight="1" x14ac:dyDescent="0.4">
      <c r="C9" s="228" t="s">
        <v>392</v>
      </c>
      <c r="D9" s="25" t="s">
        <v>393</v>
      </c>
      <c r="E9" s="25" t="s">
        <v>394</v>
      </c>
      <c r="F9" s="25" t="s">
        <v>395</v>
      </c>
      <c r="G9" s="25" t="s">
        <v>396</v>
      </c>
      <c r="H9" s="25" t="s">
        <v>397</v>
      </c>
      <c r="I9" s="25" t="s">
        <v>398</v>
      </c>
      <c r="J9" s="25" t="s">
        <v>399</v>
      </c>
      <c r="K9" s="25" t="s">
        <v>400</v>
      </c>
      <c r="L9" s="25" t="s">
        <v>401</v>
      </c>
      <c r="N9" s="239"/>
      <c r="O9" s="240" t="s">
        <v>841</v>
      </c>
      <c r="P9" s="241"/>
      <c r="Q9" s="68"/>
    </row>
    <row r="10" spans="2:17" ht="36.75" customHeight="1" x14ac:dyDescent="0.35">
      <c r="C10" s="227" t="s">
        <v>407</v>
      </c>
      <c r="D10" s="265">
        <f>VLOOKUP($B$4,Data!$D$4:$AC$359,19,0)</f>
        <v>0</v>
      </c>
      <c r="E10" s="265">
        <f>VLOOKUP($B$4,Data!$D$4:$AC$359,20,0)</f>
        <v>0</v>
      </c>
      <c r="F10" s="265">
        <f>VLOOKUP($B$4,Data!$D$4:$AC$359,21,0)</f>
        <v>0</v>
      </c>
      <c r="G10" s="265">
        <f>VLOOKUP($B$4,Data!$D$4:$AC$359,22,0)</f>
        <v>0</v>
      </c>
      <c r="H10" s="265">
        <f>VLOOKUP($B$4,Data!$D$4:$AC$359,23,0)</f>
        <v>0</v>
      </c>
      <c r="I10" s="265">
        <f>VLOOKUP($B$4,Data!$D$4:$AC$359,24,0)</f>
        <v>0</v>
      </c>
      <c r="J10" s="265">
        <f>VLOOKUP($B$4,Data!$D$4:$AC$359,25,0)</f>
        <v>0</v>
      </c>
      <c r="K10" s="265">
        <f>VLOOKUP($B$4,Data!$D$4:$AC$359,26,0)</f>
        <v>0</v>
      </c>
      <c r="L10" s="231" t="str">
        <f>H4</f>
        <v>-</v>
      </c>
      <c r="N10" s="70" t="s">
        <v>402</v>
      </c>
      <c r="O10" s="6"/>
      <c r="P10" s="70" t="s">
        <v>403</v>
      </c>
      <c r="Q10" s="7"/>
    </row>
    <row r="11" spans="2:17" ht="53.25" customHeight="1" x14ac:dyDescent="0.4">
      <c r="C11" s="227" t="s">
        <v>408</v>
      </c>
      <c r="D11" s="266"/>
      <c r="E11" s="267"/>
      <c r="F11" s="267"/>
      <c r="G11" s="267">
        <f>Data!CJ10</f>
        <v>1529.56</v>
      </c>
      <c r="H11" s="267"/>
      <c r="I11" s="267"/>
      <c r="J11" s="267"/>
      <c r="K11" s="268"/>
      <c r="L11" s="230"/>
      <c r="N11" s="72">
        <f>(VLOOKUP($B$4,Data!$D$4:$CE$359,Data!$CA$1,0))</f>
        <v>0</v>
      </c>
      <c r="O11" s="72"/>
      <c r="P11" s="72">
        <f>(VLOOKUP($B$4,Data!$D$4:$CE$359,Data!$CB$1,0))</f>
        <v>0</v>
      </c>
      <c r="Q11" s="7"/>
    </row>
    <row r="12" spans="2:17" ht="33" customHeight="1" thickBot="1" x14ac:dyDescent="0.4">
      <c r="B12" s="73"/>
      <c r="C12" s="74"/>
      <c r="D12" s="75"/>
      <c r="E12" s="75"/>
      <c r="F12" s="75"/>
      <c r="G12" s="75"/>
      <c r="H12" s="75"/>
      <c r="I12" s="75"/>
      <c r="J12" s="75"/>
      <c r="K12" s="75"/>
      <c r="L12" s="21"/>
      <c r="N12" s="76"/>
      <c r="P12" s="76"/>
      <c r="Q12" s="76"/>
    </row>
    <row r="13" spans="2:17" ht="41.25" customHeight="1" thickBot="1" x14ac:dyDescent="0.4">
      <c r="B13" s="381" t="s">
        <v>837</v>
      </c>
      <c r="C13" s="382"/>
      <c r="D13" s="233" t="str">
        <f>VLOOKUP($B$4,Data!$D$3:$BT$359,Data!$H$1,0)</f>
        <v>-</v>
      </c>
      <c r="E13" s="234"/>
      <c r="F13" s="234"/>
      <c r="G13" s="234"/>
      <c r="H13" s="234"/>
      <c r="I13" s="234"/>
      <c r="J13" s="234"/>
      <c r="K13" s="234"/>
      <c r="L13" s="71"/>
      <c r="N13" s="239"/>
      <c r="O13" s="240" t="s">
        <v>842</v>
      </c>
      <c r="P13" s="241"/>
      <c r="Q13" s="76"/>
    </row>
    <row r="14" spans="2:17" ht="41.25" customHeight="1" thickBot="1" x14ac:dyDescent="0.4">
      <c r="B14" s="383" t="s">
        <v>404</v>
      </c>
      <c r="C14" s="384"/>
      <c r="D14" s="235">
        <f>VLOOKUP($B$4,Data!$D$4:$BT$359,Data!AE$1,0)</f>
        <v>0</v>
      </c>
      <c r="E14" s="235">
        <f>VLOOKUP($B$4,Data!$D$4:$BT$359,Data!AF$1,0)</f>
        <v>0</v>
      </c>
      <c r="F14" s="235">
        <f>VLOOKUP($B$4,Data!$D$4:$BT$359,Data!AG$1,0)</f>
        <v>0</v>
      </c>
      <c r="G14" s="235">
        <f>VLOOKUP($B$4,Data!$D$4:$BT$359,Data!AH$1,0)</f>
        <v>0</v>
      </c>
      <c r="H14" s="235">
        <f>VLOOKUP($B$4,Data!$D$4:$BT$359,Data!AI$1,0)</f>
        <v>0</v>
      </c>
      <c r="I14" s="235">
        <f>VLOOKUP($B$4,Data!$D$4:$BT$359,Data!AJ$1,0)</f>
        <v>0</v>
      </c>
      <c r="J14" s="235">
        <f>VLOOKUP($B$4,Data!$D$4:$BT$359,Data!AK$1,0)</f>
        <v>0</v>
      </c>
      <c r="K14" s="235">
        <f>VLOOKUP($B$4,Data!$D$4:$BT$359,Data!AL$1,0)</f>
        <v>0</v>
      </c>
      <c r="L14" s="235">
        <f>SUM(D14:K14)</f>
        <v>0</v>
      </c>
      <c r="N14" s="70" t="s">
        <v>402</v>
      </c>
      <c r="O14" s="6"/>
      <c r="P14" s="70" t="s">
        <v>403</v>
      </c>
      <c r="Q14" s="76"/>
    </row>
    <row r="15" spans="2:17" ht="40.5" customHeight="1" thickBot="1" x14ac:dyDescent="0.45">
      <c r="B15" s="385" t="s">
        <v>405</v>
      </c>
      <c r="C15" s="386"/>
      <c r="D15" s="236">
        <f>VLOOKUP($B$4,Data!$D$4:$BT$359,Data!AX$1,0)</f>
        <v>0</v>
      </c>
      <c r="E15" s="236">
        <f>VLOOKUP($B$4,Data!$D$4:$BT$359,Data!AY$1,0)</f>
        <v>0</v>
      </c>
      <c r="F15" s="236">
        <f>VLOOKUP($B$4,Data!$D$4:$BT$359,Data!AZ$1,0)</f>
        <v>0</v>
      </c>
      <c r="G15" s="236">
        <f>VLOOKUP($B$4,Data!$D$4:$BT$359,Data!BA$1,0)</f>
        <v>0</v>
      </c>
      <c r="H15" s="236">
        <f>VLOOKUP($B$4,Data!$D$4:$BT$359,Data!BB$1,0)</f>
        <v>0</v>
      </c>
      <c r="I15" s="236">
        <f>VLOOKUP($B$4,Data!$D$4:$BT$359,Data!BC$1,0)</f>
        <v>0</v>
      </c>
      <c r="J15" s="236">
        <f>VLOOKUP($B$4,Data!$D$4:$BT$359,Data!BD$1,0)</f>
        <v>0</v>
      </c>
      <c r="K15" s="236">
        <f>VLOOKUP($B$4,Data!$D$4:$BT$359,Data!BE$1,0)</f>
        <v>0</v>
      </c>
      <c r="L15" s="235">
        <f>SUM(D15:K15)</f>
        <v>0</v>
      </c>
      <c r="N15" s="77">
        <f>(VLOOKUP($B$4,Data!$D$4:$CE$359,Data!$CC$1,0))</f>
        <v>0</v>
      </c>
      <c r="O15" s="77"/>
      <c r="P15" s="77">
        <f>(VLOOKUP($B$4,Data!$D$4:$CE$359,Data!$CD$1,0))</f>
        <v>0</v>
      </c>
      <c r="Q15" s="7"/>
    </row>
    <row r="16" spans="2:17" ht="41.25" customHeight="1" thickBot="1" x14ac:dyDescent="0.45">
      <c r="B16" s="79" t="s">
        <v>838</v>
      </c>
      <c r="C16" s="79"/>
      <c r="D16" s="237"/>
      <c r="E16" s="237"/>
      <c r="F16" s="237"/>
      <c r="G16" s="237"/>
      <c r="H16" s="237"/>
      <c r="I16" s="237"/>
      <c r="J16" s="237"/>
      <c r="K16" s="237"/>
      <c r="L16" s="238"/>
      <c r="N16" s="78"/>
      <c r="P16" s="72"/>
      <c r="Q16" s="7"/>
    </row>
    <row r="17" spans="2:17" ht="41.25" customHeight="1" thickBot="1" x14ac:dyDescent="0.45">
      <c r="B17" s="377" t="s">
        <v>825</v>
      </c>
      <c r="C17" s="378"/>
      <c r="D17" s="256">
        <f>(Data!CG9/9)*(D14+D15)</f>
        <v>0</v>
      </c>
      <c r="E17" s="256">
        <f>(Data!CH9/9)*(E14+E15)</f>
        <v>0</v>
      </c>
      <c r="F17" s="256">
        <f>(Data!CI9/9)*(F14+F15)</f>
        <v>0</v>
      </c>
      <c r="G17" s="256">
        <f>(Data!CJ9/9)*(G14+G15)</f>
        <v>0</v>
      </c>
      <c r="H17" s="256">
        <f>(Data!CK9/9)*(H14+H15)</f>
        <v>0</v>
      </c>
      <c r="I17" s="256">
        <f>(Data!CL9/9)*(I14+I15)</f>
        <v>0</v>
      </c>
      <c r="J17" s="256">
        <f>(Data!CM9/9)*(J14+J15)</f>
        <v>0</v>
      </c>
      <c r="K17" s="256">
        <f>(Data!CN9/9)*(K14+K15)</f>
        <v>0</v>
      </c>
      <c r="L17" s="257">
        <f>SUM(D17:K17)</f>
        <v>0</v>
      </c>
      <c r="M17" s="244"/>
      <c r="N17" s="245"/>
      <c r="O17" s="244"/>
      <c r="P17" s="72"/>
      <c r="Q17" s="7"/>
    </row>
    <row r="18" spans="2:17" ht="41.25" customHeight="1" thickBot="1" x14ac:dyDescent="0.45">
      <c r="B18" s="379" t="s">
        <v>845</v>
      </c>
      <c r="C18" s="379"/>
      <c r="D18" s="246"/>
      <c r="E18" s="246"/>
      <c r="F18" s="246"/>
      <c r="G18" s="246"/>
      <c r="H18" s="246"/>
      <c r="I18" s="246"/>
      <c r="J18" s="246"/>
      <c r="K18" s="247"/>
      <c r="L18" s="258" t="str">
        <f>IFERROR(L17/VLOOKUP('Year 7 Payments'!B4,Data!D6:E359,Data!$E$1,0),"")</f>
        <v/>
      </c>
      <c r="M18" s="244"/>
      <c r="N18" s="248"/>
      <c r="O18" s="244"/>
      <c r="P18" s="72"/>
      <c r="Q18" s="7"/>
    </row>
    <row r="19" spans="2:17" s="7" customFormat="1" ht="9.75" customHeight="1" thickBot="1" x14ac:dyDescent="0.45">
      <c r="B19" s="261"/>
      <c r="C19" s="261"/>
      <c r="D19" s="246"/>
      <c r="E19" s="246"/>
      <c r="F19" s="246"/>
      <c r="G19" s="246"/>
      <c r="H19" s="246"/>
      <c r="I19" s="246"/>
      <c r="J19" s="246"/>
      <c r="K19" s="246"/>
      <c r="L19" s="249"/>
      <c r="M19" s="219"/>
      <c r="N19" s="248"/>
      <c r="O19" s="219"/>
      <c r="P19" s="38"/>
    </row>
    <row r="20" spans="2:17" ht="41.25" customHeight="1" thickBot="1" x14ac:dyDescent="0.45">
      <c r="B20" s="379" t="s">
        <v>846</v>
      </c>
      <c r="C20" s="379"/>
      <c r="D20" s="246"/>
      <c r="E20" s="246"/>
      <c r="F20" s="246"/>
      <c r="G20" s="246"/>
      <c r="H20" s="246"/>
      <c r="I20" s="246"/>
      <c r="J20" s="246"/>
      <c r="K20" s="246"/>
      <c r="L20" s="258">
        <v>4.0000000000000001E-3</v>
      </c>
      <c r="M20" s="244"/>
      <c r="N20" s="248"/>
      <c r="O20" s="244"/>
      <c r="P20" s="72"/>
      <c r="Q20" s="7"/>
    </row>
    <row r="21" spans="2:17" ht="41.25" customHeight="1" thickBot="1" x14ac:dyDescent="0.45">
      <c r="B21" s="262" t="s">
        <v>847</v>
      </c>
      <c r="C21" s="262"/>
      <c r="D21" s="246"/>
      <c r="E21" s="246"/>
      <c r="F21" s="246"/>
      <c r="G21" s="246"/>
      <c r="H21" s="246"/>
      <c r="I21" s="246"/>
      <c r="J21" s="246"/>
      <c r="K21" s="246"/>
      <c r="L21" s="257">
        <f>IF(ISERROR(MATCH($B$4,Data!$D$6:$D$331,0)),'Year 7 Payments'!N21,MAX((L17/L18)*(L18-L20),0))</f>
        <v>0</v>
      </c>
      <c r="M21" s="244"/>
      <c r="N21" s="285">
        <f>VLOOKUP($B$4,Data!$D$4:$BT$359,Data!$I$1,0)</f>
        <v>0</v>
      </c>
      <c r="O21" s="244"/>
      <c r="P21" s="72"/>
      <c r="Q21" s="7"/>
    </row>
    <row r="22" spans="2:17" ht="41.25" customHeight="1" thickBot="1" x14ac:dyDescent="0.45">
      <c r="B22" s="262" t="s">
        <v>857</v>
      </c>
      <c r="C22" s="262"/>
      <c r="D22" s="246"/>
      <c r="E22" s="246"/>
      <c r="F22" s="246"/>
      <c r="G22" s="246"/>
      <c r="H22" s="246"/>
      <c r="I22" s="246"/>
      <c r="J22" s="246"/>
      <c r="K22" s="246"/>
      <c r="L22" s="259">
        <f>L21*G11</f>
        <v>0</v>
      </c>
      <c r="M22" s="244"/>
      <c r="N22" s="298"/>
      <c r="P22" s="72"/>
      <c r="Q22" s="7"/>
    </row>
    <row r="23" spans="2:17" s="7" customFormat="1" ht="9.75" customHeight="1" thickBot="1" x14ac:dyDescent="0.45">
      <c r="B23" s="261"/>
      <c r="C23" s="261"/>
      <c r="D23" s="246"/>
      <c r="E23" s="246"/>
      <c r="F23" s="246"/>
      <c r="G23" s="246"/>
      <c r="H23" s="246"/>
      <c r="I23" s="246"/>
      <c r="J23" s="246"/>
      <c r="K23" s="246"/>
      <c r="L23" s="250"/>
      <c r="M23" s="219"/>
      <c r="N23" s="248"/>
      <c r="P23" s="38"/>
    </row>
    <row r="24" spans="2:17" ht="41.25" customHeight="1" thickBot="1" x14ac:dyDescent="0.35">
      <c r="B24" s="391" t="s">
        <v>849</v>
      </c>
      <c r="C24" s="391"/>
      <c r="D24" s="219"/>
      <c r="E24" s="251"/>
      <c r="F24" s="252"/>
      <c r="G24" s="252"/>
      <c r="H24" s="252"/>
      <c r="I24" s="252"/>
      <c r="J24" s="252"/>
      <c r="K24" s="252"/>
      <c r="L24" s="260" t="str">
        <f>VLOOKUP($B$4,Data!$D$4:$BT$359,Data!$J$1,0)</f>
        <v>-</v>
      </c>
      <c r="M24" s="244"/>
      <c r="N24" s="242"/>
      <c r="P24" s="243"/>
      <c r="Q24" s="7"/>
    </row>
    <row r="25" spans="2:17" ht="41.25" customHeight="1" thickBot="1" x14ac:dyDescent="0.25">
      <c r="B25" s="263" t="s">
        <v>848</v>
      </c>
      <c r="C25" s="264"/>
      <c r="D25" s="253"/>
      <c r="E25" s="253"/>
      <c r="F25" s="253"/>
      <c r="G25" s="253"/>
      <c r="H25" s="253"/>
      <c r="I25" s="253"/>
      <c r="J25" s="253"/>
      <c r="K25" s="253"/>
      <c r="L25" s="254" t="str">
        <f>IFERROR(L24*350,"")</f>
        <v/>
      </c>
      <c r="M25" s="244"/>
      <c r="N25" s="243"/>
      <c r="P25" s="243"/>
      <c r="Q25" s="7"/>
    </row>
    <row r="26" spans="2:17" ht="21" customHeight="1" x14ac:dyDescent="0.35">
      <c r="B26" s="255"/>
      <c r="C26" s="255"/>
      <c r="D26" s="255"/>
      <c r="E26" s="255"/>
      <c r="F26" s="255"/>
      <c r="G26" s="255"/>
      <c r="H26" s="255"/>
      <c r="I26" s="255"/>
      <c r="J26" s="255"/>
      <c r="K26" s="244"/>
      <c r="L26" s="244"/>
      <c r="M26" s="244"/>
      <c r="N26" s="244"/>
      <c r="O26" s="244"/>
    </row>
    <row r="27" spans="2:17" ht="18.75" x14ac:dyDescent="0.3">
      <c r="B27" s="46" t="s">
        <v>32</v>
      </c>
    </row>
    <row r="28" spans="2:17" ht="36" customHeight="1" x14ac:dyDescent="0.25">
      <c r="B28" s="380" t="s">
        <v>897</v>
      </c>
      <c r="C28" s="380"/>
      <c r="D28" s="380"/>
      <c r="E28" s="380"/>
      <c r="F28" s="380"/>
      <c r="G28" s="380"/>
      <c r="H28" s="380"/>
      <c r="I28" s="380"/>
      <c r="J28" s="380"/>
      <c r="K28" s="380"/>
      <c r="L28" s="380"/>
      <c r="M28" s="380"/>
      <c r="N28" s="380"/>
      <c r="O28" s="380"/>
      <c r="Q28" s="48"/>
    </row>
    <row r="29" spans="2:17" ht="15.75" customHeight="1" x14ac:dyDescent="0.25">
      <c r="B29" s="387" t="s">
        <v>834</v>
      </c>
      <c r="C29" s="388"/>
      <c r="D29" s="388"/>
      <c r="E29" s="388"/>
      <c r="F29" s="388"/>
      <c r="G29" s="388"/>
      <c r="H29" s="388"/>
      <c r="I29" s="388"/>
      <c r="J29" s="388"/>
      <c r="K29" s="388"/>
      <c r="L29" s="388"/>
      <c r="M29" s="388"/>
      <c r="N29" s="388"/>
      <c r="O29" s="388"/>
    </row>
    <row r="30" spans="2:17" ht="18.75" customHeight="1" x14ac:dyDescent="0.25">
      <c r="B30" s="373" t="s">
        <v>839</v>
      </c>
      <c r="C30" s="389"/>
      <c r="D30" s="389"/>
      <c r="E30" s="389"/>
      <c r="F30" s="389"/>
      <c r="G30" s="389"/>
      <c r="H30" s="389"/>
      <c r="I30" s="389"/>
      <c r="J30" s="389"/>
      <c r="K30" s="389"/>
      <c r="L30" s="389"/>
      <c r="M30" s="389"/>
      <c r="N30" s="389"/>
      <c r="O30" s="389"/>
    </row>
    <row r="31" spans="2:17" ht="34.5" customHeight="1" x14ac:dyDescent="0.25">
      <c r="B31" s="373" t="s">
        <v>840</v>
      </c>
      <c r="C31" s="373"/>
      <c r="D31" s="373"/>
      <c r="E31" s="373"/>
      <c r="F31" s="373"/>
      <c r="G31" s="373"/>
      <c r="H31" s="373"/>
      <c r="I31" s="373"/>
      <c r="J31" s="373"/>
      <c r="K31" s="373"/>
      <c r="L31" s="373"/>
      <c r="M31" s="373"/>
      <c r="N31" s="373"/>
      <c r="O31" s="373"/>
    </row>
    <row r="32" spans="2:17" ht="34.5" customHeight="1" x14ac:dyDescent="0.25">
      <c r="B32" s="373" t="s">
        <v>406</v>
      </c>
      <c r="C32" s="390"/>
      <c r="D32" s="390"/>
      <c r="E32" s="390"/>
      <c r="F32" s="390"/>
      <c r="G32" s="390"/>
      <c r="H32" s="390"/>
      <c r="I32" s="390"/>
      <c r="J32" s="390"/>
      <c r="K32" s="390"/>
      <c r="L32" s="390"/>
      <c r="M32" s="390"/>
      <c r="N32" s="390"/>
      <c r="O32" s="390"/>
    </row>
    <row r="34" spans="3:6" hidden="1" x14ac:dyDescent="0.2"/>
    <row r="35" spans="3:6" hidden="1" x14ac:dyDescent="0.2">
      <c r="C35" s="51" t="s">
        <v>33</v>
      </c>
      <c r="D35" s="7"/>
      <c r="E35" s="7"/>
      <c r="F35" s="7"/>
    </row>
    <row r="36" spans="3:6" hidden="1" x14ac:dyDescent="0.2">
      <c r="C36" s="1" t="s">
        <v>34</v>
      </c>
      <c r="D36" s="7"/>
      <c r="E36" s="7"/>
      <c r="F36" s="7"/>
    </row>
    <row r="37" spans="3:6" hidden="1" x14ac:dyDescent="0.2">
      <c r="C37" s="80" t="s">
        <v>35</v>
      </c>
      <c r="D37" s="7"/>
      <c r="E37" s="54"/>
      <c r="F37" s="54"/>
    </row>
    <row r="38" spans="3:6" hidden="1" x14ac:dyDescent="0.2">
      <c r="C38" s="80" t="s">
        <v>36</v>
      </c>
      <c r="D38" s="7"/>
      <c r="E38" s="54"/>
      <c r="F38" s="7"/>
    </row>
    <row r="39" spans="3:6" hidden="1" x14ac:dyDescent="0.2">
      <c r="C39" s="80" t="s">
        <v>37</v>
      </c>
      <c r="D39" s="7"/>
      <c r="E39" s="54"/>
      <c r="F39" s="7"/>
    </row>
    <row r="40" spans="3:6" hidden="1" x14ac:dyDescent="0.2">
      <c r="C40" s="80" t="s">
        <v>38</v>
      </c>
      <c r="D40" s="7"/>
      <c r="E40" s="54"/>
      <c r="F40" s="7"/>
    </row>
    <row r="41" spans="3:6" hidden="1" x14ac:dyDescent="0.2">
      <c r="C41" s="80" t="s">
        <v>3</v>
      </c>
      <c r="D41" s="7"/>
      <c r="E41" s="54"/>
      <c r="F41" s="7"/>
    </row>
    <row r="42" spans="3:6" hidden="1" x14ac:dyDescent="0.2">
      <c r="C42" s="80" t="s">
        <v>39</v>
      </c>
      <c r="D42" s="7"/>
      <c r="E42" s="54"/>
      <c r="F42" s="7"/>
    </row>
    <row r="43" spans="3:6" hidden="1" x14ac:dyDescent="0.2">
      <c r="C43" s="80" t="s">
        <v>40</v>
      </c>
      <c r="D43" s="7"/>
      <c r="E43" s="54"/>
      <c r="F43" s="7"/>
    </row>
    <row r="44" spans="3:6" hidden="1" x14ac:dyDescent="0.2">
      <c r="C44" s="81" t="s">
        <v>41</v>
      </c>
      <c r="D44" s="7"/>
      <c r="E44" s="54"/>
      <c r="F44" s="7"/>
    </row>
    <row r="45" spans="3:6" hidden="1" x14ac:dyDescent="0.2">
      <c r="C45" s="80" t="s">
        <v>42</v>
      </c>
      <c r="D45" s="7"/>
      <c r="E45" s="54"/>
      <c r="F45" s="7"/>
    </row>
    <row r="46" spans="3:6" hidden="1" x14ac:dyDescent="0.2">
      <c r="C46" s="80" t="s">
        <v>43</v>
      </c>
      <c r="D46" s="7"/>
      <c r="E46" s="54"/>
      <c r="F46" s="7"/>
    </row>
    <row r="47" spans="3:6" hidden="1" x14ac:dyDescent="0.2">
      <c r="C47" s="80" t="s">
        <v>44</v>
      </c>
      <c r="D47" s="7"/>
    </row>
    <row r="48" spans="3:6" hidden="1" x14ac:dyDescent="0.2">
      <c r="C48" s="80" t="s">
        <v>45</v>
      </c>
      <c r="D48" s="7"/>
    </row>
    <row r="49" spans="3:4" hidden="1" x14ac:dyDescent="0.2">
      <c r="C49" s="80" t="s">
        <v>46</v>
      </c>
      <c r="D49" s="7"/>
    </row>
    <row r="50" spans="3:4" hidden="1" x14ac:dyDescent="0.2">
      <c r="C50" s="80" t="s">
        <v>47</v>
      </c>
      <c r="D50" s="7"/>
    </row>
    <row r="51" spans="3:4" hidden="1" x14ac:dyDescent="0.2">
      <c r="C51" s="80" t="s">
        <v>48</v>
      </c>
      <c r="D51" s="7"/>
    </row>
    <row r="52" spans="3:4" hidden="1" x14ac:dyDescent="0.2">
      <c r="C52" s="80" t="s">
        <v>49</v>
      </c>
      <c r="D52" s="7"/>
    </row>
    <row r="53" spans="3:4" hidden="1" x14ac:dyDescent="0.2">
      <c r="C53" s="80" t="s">
        <v>50</v>
      </c>
      <c r="D53" s="7"/>
    </row>
    <row r="54" spans="3:4" hidden="1" x14ac:dyDescent="0.2">
      <c r="C54" s="80" t="s">
        <v>51</v>
      </c>
      <c r="D54" s="7"/>
    </row>
    <row r="55" spans="3:4" hidden="1" x14ac:dyDescent="0.2">
      <c r="C55" s="80" t="s">
        <v>52</v>
      </c>
      <c r="D55" s="7"/>
    </row>
    <row r="56" spans="3:4" hidden="1" x14ac:dyDescent="0.2">
      <c r="C56" s="80" t="s">
        <v>53</v>
      </c>
      <c r="D56" s="7"/>
    </row>
    <row r="57" spans="3:4" hidden="1" x14ac:dyDescent="0.2">
      <c r="C57" s="80" t="s">
        <v>54</v>
      </c>
      <c r="D57" s="7"/>
    </row>
    <row r="58" spans="3:4" hidden="1" x14ac:dyDescent="0.2">
      <c r="C58" s="80" t="s">
        <v>55</v>
      </c>
      <c r="D58" s="7"/>
    </row>
    <row r="59" spans="3:4" hidden="1" x14ac:dyDescent="0.2">
      <c r="C59" s="80" t="s">
        <v>56</v>
      </c>
      <c r="D59" s="7"/>
    </row>
    <row r="60" spans="3:4" hidden="1" x14ac:dyDescent="0.2">
      <c r="C60" s="80" t="s">
        <v>57</v>
      </c>
      <c r="D60" s="7"/>
    </row>
    <row r="61" spans="3:4" hidden="1" x14ac:dyDescent="0.2">
      <c r="C61" s="80" t="s">
        <v>58</v>
      </c>
      <c r="D61" s="7"/>
    </row>
    <row r="62" spans="3:4" hidden="1" x14ac:dyDescent="0.2">
      <c r="C62" s="80" t="s">
        <v>59</v>
      </c>
      <c r="D62" s="7"/>
    </row>
    <row r="63" spans="3:4" hidden="1" x14ac:dyDescent="0.2">
      <c r="C63" s="80" t="s">
        <v>60</v>
      </c>
      <c r="D63" s="7"/>
    </row>
    <row r="64" spans="3:4" hidden="1" x14ac:dyDescent="0.2">
      <c r="C64" s="80" t="s">
        <v>61</v>
      </c>
      <c r="D64" s="7"/>
    </row>
    <row r="65" spans="3:4" hidden="1" x14ac:dyDescent="0.2">
      <c r="C65" s="80" t="s">
        <v>62</v>
      </c>
      <c r="D65" s="7"/>
    </row>
    <row r="66" spans="3:4" hidden="1" x14ac:dyDescent="0.2">
      <c r="C66" s="80" t="s">
        <v>63</v>
      </c>
      <c r="D66" s="7"/>
    </row>
    <row r="67" spans="3:4" hidden="1" x14ac:dyDescent="0.2">
      <c r="C67" s="80" t="s">
        <v>64</v>
      </c>
      <c r="D67" s="7"/>
    </row>
    <row r="68" spans="3:4" hidden="1" x14ac:dyDescent="0.2">
      <c r="C68" s="80" t="s">
        <v>65</v>
      </c>
      <c r="D68" s="7"/>
    </row>
    <row r="69" spans="3:4" hidden="1" x14ac:dyDescent="0.2">
      <c r="C69" s="80" t="s">
        <v>66</v>
      </c>
      <c r="D69" s="7"/>
    </row>
    <row r="70" spans="3:4" hidden="1" x14ac:dyDescent="0.2">
      <c r="C70" s="80" t="s">
        <v>67</v>
      </c>
      <c r="D70" s="7"/>
    </row>
    <row r="71" spans="3:4" hidden="1" x14ac:dyDescent="0.2">
      <c r="C71" s="80" t="s">
        <v>68</v>
      </c>
      <c r="D71" s="7"/>
    </row>
    <row r="72" spans="3:4" hidden="1" x14ac:dyDescent="0.2">
      <c r="C72" s="80" t="s">
        <v>69</v>
      </c>
      <c r="D72" s="7"/>
    </row>
    <row r="73" spans="3:4" hidden="1" x14ac:dyDescent="0.2">
      <c r="C73" s="80" t="s">
        <v>70</v>
      </c>
      <c r="D73" s="7"/>
    </row>
    <row r="74" spans="3:4" hidden="1" x14ac:dyDescent="0.2">
      <c r="C74" s="80" t="s">
        <v>71</v>
      </c>
      <c r="D74" s="7"/>
    </row>
    <row r="75" spans="3:4" hidden="1" x14ac:dyDescent="0.2">
      <c r="C75" s="80" t="s">
        <v>72</v>
      </c>
      <c r="D75" s="7"/>
    </row>
    <row r="76" spans="3:4" hidden="1" x14ac:dyDescent="0.2">
      <c r="C76" s="80" t="s">
        <v>73</v>
      </c>
      <c r="D76" s="7"/>
    </row>
    <row r="77" spans="3:4" hidden="1" x14ac:dyDescent="0.2">
      <c r="C77" s="80" t="s">
        <v>74</v>
      </c>
      <c r="D77" s="7"/>
    </row>
    <row r="78" spans="3:4" hidden="1" x14ac:dyDescent="0.2">
      <c r="C78" s="80" t="s">
        <v>75</v>
      </c>
      <c r="D78" s="7"/>
    </row>
    <row r="79" spans="3:4" hidden="1" x14ac:dyDescent="0.2">
      <c r="C79" s="80" t="s">
        <v>76</v>
      </c>
      <c r="D79" s="7"/>
    </row>
    <row r="80" spans="3:4" hidden="1" x14ac:dyDescent="0.2">
      <c r="C80" s="80" t="s">
        <v>77</v>
      </c>
      <c r="D80" s="7"/>
    </row>
    <row r="81" spans="3:4" hidden="1" x14ac:dyDescent="0.2">
      <c r="C81" s="80" t="s">
        <v>78</v>
      </c>
      <c r="D81" s="7"/>
    </row>
    <row r="82" spans="3:4" hidden="1" x14ac:dyDescent="0.2">
      <c r="C82" s="80" t="s">
        <v>79</v>
      </c>
      <c r="D82" s="7"/>
    </row>
    <row r="83" spans="3:4" hidden="1" x14ac:dyDescent="0.2">
      <c r="C83" s="80" t="s">
        <v>80</v>
      </c>
      <c r="D83" s="7"/>
    </row>
    <row r="84" spans="3:4" hidden="1" x14ac:dyDescent="0.2">
      <c r="C84" s="80" t="s">
        <v>81</v>
      </c>
      <c r="D84" s="7"/>
    </row>
    <row r="85" spans="3:4" hidden="1" x14ac:dyDescent="0.2">
      <c r="C85" s="80" t="s">
        <v>82</v>
      </c>
      <c r="D85" s="7"/>
    </row>
    <row r="86" spans="3:4" hidden="1" x14ac:dyDescent="0.2">
      <c r="C86" s="80" t="s">
        <v>83</v>
      </c>
      <c r="D86" s="7"/>
    </row>
    <row r="87" spans="3:4" hidden="1" x14ac:dyDescent="0.2">
      <c r="C87" s="80" t="s">
        <v>84</v>
      </c>
      <c r="D87" s="7"/>
    </row>
    <row r="88" spans="3:4" hidden="1" x14ac:dyDescent="0.2">
      <c r="C88" s="80" t="s">
        <v>85</v>
      </c>
      <c r="D88" s="7"/>
    </row>
    <row r="89" spans="3:4" hidden="1" x14ac:dyDescent="0.2">
      <c r="C89" s="80" t="s">
        <v>86</v>
      </c>
      <c r="D89" s="7"/>
    </row>
    <row r="90" spans="3:4" hidden="1" x14ac:dyDescent="0.2">
      <c r="C90" s="80" t="s">
        <v>87</v>
      </c>
      <c r="D90" s="7"/>
    </row>
    <row r="91" spans="3:4" hidden="1" x14ac:dyDescent="0.2">
      <c r="C91" s="80" t="s">
        <v>88</v>
      </c>
      <c r="D91" s="7"/>
    </row>
    <row r="92" spans="3:4" hidden="1" x14ac:dyDescent="0.2">
      <c r="C92" s="80" t="s">
        <v>89</v>
      </c>
      <c r="D92" s="7"/>
    </row>
    <row r="93" spans="3:4" hidden="1" x14ac:dyDescent="0.2">
      <c r="C93" s="80" t="s">
        <v>90</v>
      </c>
      <c r="D93" s="7"/>
    </row>
    <row r="94" spans="3:4" hidden="1" x14ac:dyDescent="0.2">
      <c r="C94" s="80" t="s">
        <v>91</v>
      </c>
      <c r="D94" s="7"/>
    </row>
    <row r="95" spans="3:4" hidden="1" x14ac:dyDescent="0.2">
      <c r="C95" s="80" t="s">
        <v>92</v>
      </c>
      <c r="D95" s="7"/>
    </row>
    <row r="96" spans="3:4" hidden="1" x14ac:dyDescent="0.2">
      <c r="C96" s="80" t="s">
        <v>93</v>
      </c>
      <c r="D96" s="7"/>
    </row>
    <row r="97" spans="3:4" hidden="1" x14ac:dyDescent="0.2">
      <c r="C97" s="80" t="s">
        <v>94</v>
      </c>
      <c r="D97" s="7"/>
    </row>
    <row r="98" spans="3:4" hidden="1" x14ac:dyDescent="0.2">
      <c r="C98" s="80" t="s">
        <v>95</v>
      </c>
      <c r="D98" s="7"/>
    </row>
    <row r="99" spans="3:4" hidden="1" x14ac:dyDescent="0.2">
      <c r="C99" s="80" t="s">
        <v>96</v>
      </c>
      <c r="D99" s="7"/>
    </row>
    <row r="100" spans="3:4" hidden="1" x14ac:dyDescent="0.2">
      <c r="C100" s="80" t="s">
        <v>97</v>
      </c>
      <c r="D100" s="7"/>
    </row>
    <row r="101" spans="3:4" hidden="1" x14ac:dyDescent="0.2">
      <c r="C101" s="80" t="s">
        <v>98</v>
      </c>
      <c r="D101" s="7"/>
    </row>
    <row r="102" spans="3:4" hidden="1" x14ac:dyDescent="0.2">
      <c r="C102" s="80" t="s">
        <v>99</v>
      </c>
      <c r="D102" s="7"/>
    </row>
    <row r="103" spans="3:4" hidden="1" x14ac:dyDescent="0.2">
      <c r="C103" s="80" t="s">
        <v>100</v>
      </c>
      <c r="D103" s="7"/>
    </row>
    <row r="104" spans="3:4" hidden="1" x14ac:dyDescent="0.2">
      <c r="C104" s="80" t="s">
        <v>101</v>
      </c>
      <c r="D104" s="7"/>
    </row>
    <row r="105" spans="3:4" hidden="1" x14ac:dyDescent="0.2">
      <c r="C105" s="80" t="s">
        <v>102</v>
      </c>
      <c r="D105" s="7"/>
    </row>
    <row r="106" spans="3:4" hidden="1" x14ac:dyDescent="0.2">
      <c r="C106" s="80" t="s">
        <v>103</v>
      </c>
      <c r="D106" s="7"/>
    </row>
    <row r="107" spans="3:4" hidden="1" x14ac:dyDescent="0.2">
      <c r="C107" s="80" t="s">
        <v>104</v>
      </c>
      <c r="D107" s="7"/>
    </row>
    <row r="108" spans="3:4" hidden="1" x14ac:dyDescent="0.2">
      <c r="C108" s="80" t="s">
        <v>105</v>
      </c>
      <c r="D108" s="7"/>
    </row>
    <row r="109" spans="3:4" hidden="1" x14ac:dyDescent="0.2">
      <c r="C109" s="80" t="s">
        <v>106</v>
      </c>
      <c r="D109" s="7"/>
    </row>
    <row r="110" spans="3:4" hidden="1" x14ac:dyDescent="0.2">
      <c r="C110" s="80" t="s">
        <v>107</v>
      </c>
      <c r="D110" s="7"/>
    </row>
    <row r="111" spans="3:4" hidden="1" x14ac:dyDescent="0.2">
      <c r="C111" s="80" t="s">
        <v>108</v>
      </c>
      <c r="D111" s="7"/>
    </row>
    <row r="112" spans="3:4" hidden="1" x14ac:dyDescent="0.2">
      <c r="C112" s="80" t="s">
        <v>109</v>
      </c>
      <c r="D112" s="7"/>
    </row>
    <row r="113" spans="3:4" hidden="1" x14ac:dyDescent="0.2">
      <c r="C113" s="80" t="s">
        <v>110</v>
      </c>
      <c r="D113" s="7"/>
    </row>
    <row r="114" spans="3:4" hidden="1" x14ac:dyDescent="0.2">
      <c r="C114" s="80" t="s">
        <v>111</v>
      </c>
      <c r="D114" s="7"/>
    </row>
    <row r="115" spans="3:4" hidden="1" x14ac:dyDescent="0.2">
      <c r="C115" s="80" t="s">
        <v>112</v>
      </c>
      <c r="D115" s="7"/>
    </row>
    <row r="116" spans="3:4" hidden="1" x14ac:dyDescent="0.2">
      <c r="C116" s="80" t="s">
        <v>113</v>
      </c>
      <c r="D116" s="7"/>
    </row>
    <row r="117" spans="3:4" hidden="1" x14ac:dyDescent="0.2">
      <c r="C117" s="80" t="s">
        <v>114</v>
      </c>
      <c r="D117" s="7"/>
    </row>
    <row r="118" spans="3:4" hidden="1" x14ac:dyDescent="0.2">
      <c r="C118" s="80" t="s">
        <v>115</v>
      </c>
      <c r="D118" s="7"/>
    </row>
    <row r="119" spans="3:4" hidden="1" x14ac:dyDescent="0.2">
      <c r="C119" s="80" t="s">
        <v>116</v>
      </c>
      <c r="D119" s="7"/>
    </row>
    <row r="120" spans="3:4" hidden="1" x14ac:dyDescent="0.2">
      <c r="C120" s="80" t="s">
        <v>117</v>
      </c>
      <c r="D120" s="7"/>
    </row>
    <row r="121" spans="3:4" hidden="1" x14ac:dyDescent="0.2">
      <c r="C121" s="80" t="s">
        <v>118</v>
      </c>
      <c r="D121" s="7"/>
    </row>
    <row r="122" spans="3:4" hidden="1" x14ac:dyDescent="0.2">
      <c r="C122" s="80" t="s">
        <v>119</v>
      </c>
      <c r="D122" s="7"/>
    </row>
    <row r="123" spans="3:4" hidden="1" x14ac:dyDescent="0.2">
      <c r="C123" s="80" t="s">
        <v>120</v>
      </c>
      <c r="D123" s="7"/>
    </row>
    <row r="124" spans="3:4" hidden="1" x14ac:dyDescent="0.2">
      <c r="C124" s="80" t="s">
        <v>121</v>
      </c>
      <c r="D124" s="7"/>
    </row>
    <row r="125" spans="3:4" hidden="1" x14ac:dyDescent="0.2">
      <c r="C125" s="80" t="s">
        <v>122</v>
      </c>
      <c r="D125" s="7"/>
    </row>
    <row r="126" spans="3:4" hidden="1" x14ac:dyDescent="0.2">
      <c r="C126" s="80" t="s">
        <v>123</v>
      </c>
      <c r="D126" s="7"/>
    </row>
    <row r="127" spans="3:4" hidden="1" x14ac:dyDescent="0.2">
      <c r="C127" s="80" t="s">
        <v>124</v>
      </c>
      <c r="D127" s="7"/>
    </row>
    <row r="128" spans="3:4" hidden="1" x14ac:dyDescent="0.2">
      <c r="C128" s="80" t="s">
        <v>125</v>
      </c>
      <c r="D128" s="7"/>
    </row>
    <row r="129" spans="3:4" hidden="1" x14ac:dyDescent="0.2">
      <c r="C129" s="80" t="s">
        <v>126</v>
      </c>
      <c r="D129" s="7"/>
    </row>
    <row r="130" spans="3:4" hidden="1" x14ac:dyDescent="0.2">
      <c r="C130" s="80" t="s">
        <v>127</v>
      </c>
      <c r="D130" s="7"/>
    </row>
    <row r="131" spans="3:4" hidden="1" x14ac:dyDescent="0.2">
      <c r="C131" s="80" t="s">
        <v>128</v>
      </c>
      <c r="D131" s="7"/>
    </row>
    <row r="132" spans="3:4" hidden="1" x14ac:dyDescent="0.2">
      <c r="C132" s="80" t="s">
        <v>129</v>
      </c>
      <c r="D132" s="7"/>
    </row>
    <row r="133" spans="3:4" hidden="1" x14ac:dyDescent="0.2">
      <c r="C133" s="80" t="s">
        <v>130</v>
      </c>
      <c r="D133" s="7"/>
    </row>
    <row r="134" spans="3:4" hidden="1" x14ac:dyDescent="0.2">
      <c r="C134" s="80" t="s">
        <v>131</v>
      </c>
      <c r="D134" s="7"/>
    </row>
    <row r="135" spans="3:4" hidden="1" x14ac:dyDescent="0.2">
      <c r="C135" s="80" t="s">
        <v>132</v>
      </c>
      <c r="D135" s="7"/>
    </row>
    <row r="136" spans="3:4" hidden="1" x14ac:dyDescent="0.2">
      <c r="C136" s="80" t="s">
        <v>133</v>
      </c>
      <c r="D136" s="7"/>
    </row>
    <row r="137" spans="3:4" hidden="1" x14ac:dyDescent="0.2">
      <c r="C137" s="80" t="s">
        <v>134</v>
      </c>
      <c r="D137" s="7"/>
    </row>
    <row r="138" spans="3:4" hidden="1" x14ac:dyDescent="0.2">
      <c r="C138" s="80" t="s">
        <v>135</v>
      </c>
      <c r="D138" s="7"/>
    </row>
    <row r="139" spans="3:4" hidden="1" x14ac:dyDescent="0.2">
      <c r="C139" s="80" t="s">
        <v>136</v>
      </c>
      <c r="D139" s="7"/>
    </row>
    <row r="140" spans="3:4" hidden="1" x14ac:dyDescent="0.2">
      <c r="C140" s="80" t="s">
        <v>137</v>
      </c>
      <c r="D140" s="7"/>
    </row>
    <row r="141" spans="3:4" hidden="1" x14ac:dyDescent="0.2">
      <c r="C141" s="80" t="s">
        <v>138</v>
      </c>
      <c r="D141" s="7"/>
    </row>
    <row r="142" spans="3:4" hidden="1" x14ac:dyDescent="0.2">
      <c r="C142" s="80" t="s">
        <v>139</v>
      </c>
      <c r="D142" s="7"/>
    </row>
    <row r="143" spans="3:4" hidden="1" x14ac:dyDescent="0.2">
      <c r="C143" s="80" t="s">
        <v>140</v>
      </c>
      <c r="D143" s="7"/>
    </row>
    <row r="144" spans="3:4" hidden="1" x14ac:dyDescent="0.2">
      <c r="C144" s="80" t="s">
        <v>141</v>
      </c>
      <c r="D144" s="7"/>
    </row>
    <row r="145" spans="3:4" hidden="1" x14ac:dyDescent="0.2">
      <c r="C145" s="80" t="s">
        <v>142</v>
      </c>
      <c r="D145" s="7"/>
    </row>
    <row r="146" spans="3:4" hidden="1" x14ac:dyDescent="0.2">
      <c r="C146" s="80" t="s">
        <v>143</v>
      </c>
      <c r="D146" s="7"/>
    </row>
    <row r="147" spans="3:4" hidden="1" x14ac:dyDescent="0.2">
      <c r="C147" s="80" t="s">
        <v>144</v>
      </c>
      <c r="D147" s="7"/>
    </row>
    <row r="148" spans="3:4" hidden="1" x14ac:dyDescent="0.2">
      <c r="C148" s="80" t="s">
        <v>145</v>
      </c>
      <c r="D148" s="7"/>
    </row>
    <row r="149" spans="3:4" hidden="1" x14ac:dyDescent="0.2">
      <c r="C149" s="80" t="s">
        <v>146</v>
      </c>
      <c r="D149" s="7"/>
    </row>
    <row r="150" spans="3:4" hidden="1" x14ac:dyDescent="0.2">
      <c r="C150" s="80" t="s">
        <v>147</v>
      </c>
      <c r="D150" s="7"/>
    </row>
    <row r="151" spans="3:4" hidden="1" x14ac:dyDescent="0.2">
      <c r="C151" s="80" t="s">
        <v>148</v>
      </c>
      <c r="D151" s="7"/>
    </row>
    <row r="152" spans="3:4" hidden="1" x14ac:dyDescent="0.2">
      <c r="C152" s="80" t="s">
        <v>149</v>
      </c>
      <c r="D152" s="7"/>
    </row>
    <row r="153" spans="3:4" hidden="1" x14ac:dyDescent="0.2">
      <c r="C153" s="80" t="s">
        <v>150</v>
      </c>
      <c r="D153" s="7"/>
    </row>
    <row r="154" spans="3:4" hidden="1" x14ac:dyDescent="0.2">
      <c r="C154" s="80" t="s">
        <v>151</v>
      </c>
      <c r="D154" s="7"/>
    </row>
    <row r="155" spans="3:4" hidden="1" x14ac:dyDescent="0.2">
      <c r="C155" s="80" t="s">
        <v>152</v>
      </c>
      <c r="D155" s="7"/>
    </row>
    <row r="156" spans="3:4" hidden="1" x14ac:dyDescent="0.2">
      <c r="C156" s="80" t="s">
        <v>153</v>
      </c>
      <c r="D156" s="7"/>
    </row>
    <row r="157" spans="3:4" hidden="1" x14ac:dyDescent="0.2">
      <c r="C157" s="80" t="s">
        <v>154</v>
      </c>
      <c r="D157" s="7"/>
    </row>
    <row r="158" spans="3:4" hidden="1" x14ac:dyDescent="0.2">
      <c r="C158" s="80" t="s">
        <v>155</v>
      </c>
      <c r="D158" s="7"/>
    </row>
    <row r="159" spans="3:4" hidden="1" x14ac:dyDescent="0.2">
      <c r="C159" s="80" t="s">
        <v>156</v>
      </c>
      <c r="D159" s="7"/>
    </row>
    <row r="160" spans="3:4" hidden="1" x14ac:dyDescent="0.2">
      <c r="C160" s="80" t="s">
        <v>157</v>
      </c>
      <c r="D160" s="7"/>
    </row>
    <row r="161" spans="3:4" hidden="1" x14ac:dyDescent="0.2">
      <c r="C161" s="80" t="s">
        <v>158</v>
      </c>
      <c r="D161" s="7"/>
    </row>
    <row r="162" spans="3:4" hidden="1" x14ac:dyDescent="0.2">
      <c r="C162" s="80" t="s">
        <v>159</v>
      </c>
      <c r="D162" s="7"/>
    </row>
    <row r="163" spans="3:4" hidden="1" x14ac:dyDescent="0.2">
      <c r="C163" s="80" t="s">
        <v>160</v>
      </c>
      <c r="D163" s="7"/>
    </row>
    <row r="164" spans="3:4" hidden="1" x14ac:dyDescent="0.2">
      <c r="C164" s="80" t="s">
        <v>161</v>
      </c>
      <c r="D164" s="7"/>
    </row>
    <row r="165" spans="3:4" hidden="1" x14ac:dyDescent="0.2">
      <c r="C165" s="80" t="s">
        <v>162</v>
      </c>
      <c r="D165" s="7"/>
    </row>
    <row r="166" spans="3:4" hidden="1" x14ac:dyDescent="0.2">
      <c r="C166" s="80" t="s">
        <v>163</v>
      </c>
      <c r="D166" s="7"/>
    </row>
    <row r="167" spans="3:4" hidden="1" x14ac:dyDescent="0.2">
      <c r="C167" s="80" t="s">
        <v>164</v>
      </c>
      <c r="D167" s="7"/>
    </row>
    <row r="168" spans="3:4" hidden="1" x14ac:dyDescent="0.2">
      <c r="C168" s="80" t="s">
        <v>165</v>
      </c>
      <c r="D168" s="7"/>
    </row>
    <row r="169" spans="3:4" hidden="1" x14ac:dyDescent="0.2">
      <c r="C169" s="80" t="s">
        <v>166</v>
      </c>
      <c r="D169" s="7"/>
    </row>
    <row r="170" spans="3:4" hidden="1" x14ac:dyDescent="0.2">
      <c r="C170" s="80" t="s">
        <v>167</v>
      </c>
      <c r="D170" s="7"/>
    </row>
    <row r="171" spans="3:4" hidden="1" x14ac:dyDescent="0.2">
      <c r="C171" s="80" t="s">
        <v>168</v>
      </c>
      <c r="D171" s="7"/>
    </row>
    <row r="172" spans="3:4" hidden="1" x14ac:dyDescent="0.2">
      <c r="C172" s="80" t="s">
        <v>169</v>
      </c>
      <c r="D172" s="7"/>
    </row>
    <row r="173" spans="3:4" hidden="1" x14ac:dyDescent="0.2">
      <c r="C173" s="80" t="s">
        <v>170</v>
      </c>
      <c r="D173" s="7"/>
    </row>
    <row r="174" spans="3:4" hidden="1" x14ac:dyDescent="0.2">
      <c r="C174" s="80" t="s">
        <v>171</v>
      </c>
      <c r="D174" s="7"/>
    </row>
    <row r="175" spans="3:4" hidden="1" x14ac:dyDescent="0.2">
      <c r="C175" s="80" t="s">
        <v>172</v>
      </c>
      <c r="D175" s="7"/>
    </row>
    <row r="176" spans="3:4" hidden="1" x14ac:dyDescent="0.2">
      <c r="C176" s="80" t="s">
        <v>173</v>
      </c>
      <c r="D176" s="7"/>
    </row>
    <row r="177" spans="3:4" hidden="1" x14ac:dyDescent="0.2">
      <c r="C177" s="80" t="s">
        <v>174</v>
      </c>
      <c r="D177" s="7"/>
    </row>
    <row r="178" spans="3:4" hidden="1" x14ac:dyDescent="0.2">
      <c r="C178" s="80" t="s">
        <v>175</v>
      </c>
      <c r="D178" s="7"/>
    </row>
    <row r="179" spans="3:4" hidden="1" x14ac:dyDescent="0.2">
      <c r="C179" s="80" t="s">
        <v>176</v>
      </c>
      <c r="D179" s="7"/>
    </row>
    <row r="180" spans="3:4" hidden="1" x14ac:dyDescent="0.2">
      <c r="C180" s="80" t="s">
        <v>177</v>
      </c>
      <c r="D180" s="7"/>
    </row>
    <row r="181" spans="3:4" hidden="1" x14ac:dyDescent="0.2">
      <c r="C181" s="80" t="s">
        <v>178</v>
      </c>
      <c r="D181" s="7"/>
    </row>
    <row r="182" spans="3:4" hidden="1" x14ac:dyDescent="0.2">
      <c r="C182" s="80" t="s">
        <v>179</v>
      </c>
      <c r="D182" s="7"/>
    </row>
    <row r="183" spans="3:4" hidden="1" x14ac:dyDescent="0.2">
      <c r="C183" s="80" t="s">
        <v>180</v>
      </c>
      <c r="D183" s="7"/>
    </row>
    <row r="184" spans="3:4" hidden="1" x14ac:dyDescent="0.2">
      <c r="C184" s="80" t="s">
        <v>181</v>
      </c>
      <c r="D184" s="7"/>
    </row>
    <row r="185" spans="3:4" hidden="1" x14ac:dyDescent="0.2">
      <c r="C185" s="80" t="s">
        <v>182</v>
      </c>
      <c r="D185" s="7"/>
    </row>
    <row r="186" spans="3:4" hidden="1" x14ac:dyDescent="0.2">
      <c r="C186" s="80" t="s">
        <v>183</v>
      </c>
      <c r="D186" s="7"/>
    </row>
    <row r="187" spans="3:4" hidden="1" x14ac:dyDescent="0.2">
      <c r="C187" s="80" t="s">
        <v>184</v>
      </c>
      <c r="D187" s="7"/>
    </row>
    <row r="188" spans="3:4" hidden="1" x14ac:dyDescent="0.2">
      <c r="C188" s="80" t="s">
        <v>185</v>
      </c>
      <c r="D188" s="7"/>
    </row>
    <row r="189" spans="3:4" hidden="1" x14ac:dyDescent="0.2">
      <c r="C189" s="80" t="s">
        <v>186</v>
      </c>
      <c r="D189" s="7"/>
    </row>
    <row r="190" spans="3:4" hidden="1" x14ac:dyDescent="0.2">
      <c r="C190" s="80" t="s">
        <v>187</v>
      </c>
      <c r="D190" s="7"/>
    </row>
    <row r="191" spans="3:4" hidden="1" x14ac:dyDescent="0.2">
      <c r="C191" s="80" t="s">
        <v>188</v>
      </c>
      <c r="D191" s="7"/>
    </row>
    <row r="192" spans="3:4" hidden="1" x14ac:dyDescent="0.2">
      <c r="C192" s="80" t="s">
        <v>189</v>
      </c>
      <c r="D192" s="7"/>
    </row>
    <row r="193" spans="3:4" hidden="1" x14ac:dyDescent="0.2">
      <c r="C193" s="80" t="s">
        <v>190</v>
      </c>
      <c r="D193" s="7"/>
    </row>
    <row r="194" spans="3:4" hidden="1" x14ac:dyDescent="0.2">
      <c r="C194" s="80" t="s">
        <v>191</v>
      </c>
      <c r="D194" s="7"/>
    </row>
    <row r="195" spans="3:4" hidden="1" x14ac:dyDescent="0.2">
      <c r="C195" s="80" t="s">
        <v>192</v>
      </c>
      <c r="D195" s="7"/>
    </row>
    <row r="196" spans="3:4" hidden="1" x14ac:dyDescent="0.2">
      <c r="C196" s="80" t="s">
        <v>193</v>
      </c>
      <c r="D196" s="7"/>
    </row>
    <row r="197" spans="3:4" hidden="1" x14ac:dyDescent="0.2">
      <c r="C197" s="80" t="s">
        <v>194</v>
      </c>
      <c r="D197" s="7"/>
    </row>
    <row r="198" spans="3:4" hidden="1" x14ac:dyDescent="0.2">
      <c r="C198" s="80" t="s">
        <v>195</v>
      </c>
      <c r="D198" s="7"/>
    </row>
    <row r="199" spans="3:4" hidden="1" x14ac:dyDescent="0.2">
      <c r="C199" s="80" t="s">
        <v>196</v>
      </c>
      <c r="D199" s="7"/>
    </row>
    <row r="200" spans="3:4" hidden="1" x14ac:dyDescent="0.2">
      <c r="C200" s="80" t="s">
        <v>197</v>
      </c>
      <c r="D200" s="7"/>
    </row>
    <row r="201" spans="3:4" hidden="1" x14ac:dyDescent="0.2">
      <c r="C201" s="80" t="s">
        <v>198</v>
      </c>
      <c r="D201" s="7"/>
    </row>
    <row r="202" spans="3:4" hidden="1" x14ac:dyDescent="0.2">
      <c r="C202" s="80" t="s">
        <v>199</v>
      </c>
      <c r="D202" s="7"/>
    </row>
    <row r="203" spans="3:4" hidden="1" x14ac:dyDescent="0.2">
      <c r="C203" s="80" t="s">
        <v>200</v>
      </c>
      <c r="D203" s="7"/>
    </row>
    <row r="204" spans="3:4" hidden="1" x14ac:dyDescent="0.2">
      <c r="C204" s="80" t="s">
        <v>201</v>
      </c>
      <c r="D204" s="7"/>
    </row>
    <row r="205" spans="3:4" hidden="1" x14ac:dyDescent="0.2">
      <c r="C205" s="80" t="s">
        <v>202</v>
      </c>
      <c r="D205" s="7"/>
    </row>
    <row r="206" spans="3:4" hidden="1" x14ac:dyDescent="0.2">
      <c r="C206" s="80" t="s">
        <v>203</v>
      </c>
      <c r="D206" s="7"/>
    </row>
    <row r="207" spans="3:4" hidden="1" x14ac:dyDescent="0.2">
      <c r="C207" s="80" t="s">
        <v>204</v>
      </c>
      <c r="D207" s="7"/>
    </row>
    <row r="208" spans="3:4" hidden="1" x14ac:dyDescent="0.2">
      <c r="C208" s="80" t="s">
        <v>205</v>
      </c>
      <c r="D208" s="7"/>
    </row>
    <row r="209" spans="3:4" hidden="1" x14ac:dyDescent="0.2">
      <c r="C209" s="80" t="s">
        <v>206</v>
      </c>
      <c r="D209" s="7"/>
    </row>
    <row r="210" spans="3:4" hidden="1" x14ac:dyDescent="0.2">
      <c r="C210" s="80" t="s">
        <v>207</v>
      </c>
      <c r="D210" s="7"/>
    </row>
    <row r="211" spans="3:4" hidden="1" x14ac:dyDescent="0.2">
      <c r="C211" s="80" t="s">
        <v>208</v>
      </c>
      <c r="D211" s="7"/>
    </row>
    <row r="212" spans="3:4" hidden="1" x14ac:dyDescent="0.2">
      <c r="C212" s="80" t="s">
        <v>209</v>
      </c>
      <c r="D212" s="7"/>
    </row>
    <row r="213" spans="3:4" hidden="1" x14ac:dyDescent="0.2">
      <c r="C213" s="80" t="s">
        <v>210</v>
      </c>
      <c r="D213" s="7"/>
    </row>
    <row r="214" spans="3:4" hidden="1" x14ac:dyDescent="0.2">
      <c r="C214" s="80" t="s">
        <v>211</v>
      </c>
      <c r="D214" s="7"/>
    </row>
    <row r="215" spans="3:4" hidden="1" x14ac:dyDescent="0.2">
      <c r="C215" s="80" t="s">
        <v>212</v>
      </c>
      <c r="D215" s="7"/>
    </row>
    <row r="216" spans="3:4" hidden="1" x14ac:dyDescent="0.2">
      <c r="C216" s="80" t="s">
        <v>213</v>
      </c>
      <c r="D216" s="7"/>
    </row>
    <row r="217" spans="3:4" hidden="1" x14ac:dyDescent="0.2">
      <c r="C217" s="80" t="s">
        <v>214</v>
      </c>
      <c r="D217" s="7"/>
    </row>
    <row r="218" spans="3:4" hidden="1" x14ac:dyDescent="0.2">
      <c r="C218" s="80" t="s">
        <v>215</v>
      </c>
      <c r="D218" s="7"/>
    </row>
    <row r="219" spans="3:4" hidden="1" x14ac:dyDescent="0.2">
      <c r="C219" s="80" t="s">
        <v>216</v>
      </c>
      <c r="D219" s="7"/>
    </row>
    <row r="220" spans="3:4" hidden="1" x14ac:dyDescent="0.2">
      <c r="C220" s="80" t="s">
        <v>217</v>
      </c>
      <c r="D220" s="7"/>
    </row>
    <row r="221" spans="3:4" hidden="1" x14ac:dyDescent="0.2">
      <c r="C221" s="80" t="s">
        <v>218</v>
      </c>
      <c r="D221" s="7"/>
    </row>
    <row r="222" spans="3:4" hidden="1" x14ac:dyDescent="0.2">
      <c r="C222" s="80" t="s">
        <v>219</v>
      </c>
      <c r="D222" s="7"/>
    </row>
    <row r="223" spans="3:4" hidden="1" x14ac:dyDescent="0.2">
      <c r="C223" s="80" t="s">
        <v>220</v>
      </c>
      <c r="D223" s="7"/>
    </row>
    <row r="224" spans="3:4" hidden="1" x14ac:dyDescent="0.2">
      <c r="C224" s="80" t="s">
        <v>221</v>
      </c>
      <c r="D224" s="7"/>
    </row>
    <row r="225" spans="3:4" hidden="1" x14ac:dyDescent="0.2">
      <c r="C225" s="80" t="s">
        <v>222</v>
      </c>
      <c r="D225" s="7"/>
    </row>
    <row r="226" spans="3:4" hidden="1" x14ac:dyDescent="0.2">
      <c r="C226" s="80" t="s">
        <v>223</v>
      </c>
      <c r="D226" s="7"/>
    </row>
    <row r="227" spans="3:4" hidden="1" x14ac:dyDescent="0.2">
      <c r="C227" s="80" t="s">
        <v>224</v>
      </c>
      <c r="D227" s="7"/>
    </row>
    <row r="228" spans="3:4" hidden="1" x14ac:dyDescent="0.2">
      <c r="C228" s="80" t="s">
        <v>225</v>
      </c>
      <c r="D228" s="7"/>
    </row>
    <row r="229" spans="3:4" hidden="1" x14ac:dyDescent="0.2">
      <c r="C229" s="80" t="s">
        <v>226</v>
      </c>
      <c r="D229" s="7"/>
    </row>
    <row r="230" spans="3:4" hidden="1" x14ac:dyDescent="0.2">
      <c r="C230" s="80" t="s">
        <v>227</v>
      </c>
      <c r="D230" s="7"/>
    </row>
    <row r="231" spans="3:4" hidden="1" x14ac:dyDescent="0.2">
      <c r="C231" s="80" t="s">
        <v>228</v>
      </c>
      <c r="D231" s="7"/>
    </row>
    <row r="232" spans="3:4" hidden="1" x14ac:dyDescent="0.2">
      <c r="C232" s="80" t="s">
        <v>229</v>
      </c>
      <c r="D232" s="7"/>
    </row>
    <row r="233" spans="3:4" hidden="1" x14ac:dyDescent="0.2">
      <c r="C233" s="80" t="s">
        <v>230</v>
      </c>
      <c r="D233" s="7"/>
    </row>
    <row r="234" spans="3:4" hidden="1" x14ac:dyDescent="0.2">
      <c r="C234" s="80" t="s">
        <v>231</v>
      </c>
      <c r="D234" s="7"/>
    </row>
    <row r="235" spans="3:4" hidden="1" x14ac:dyDescent="0.2">
      <c r="C235" s="80" t="s">
        <v>232</v>
      </c>
      <c r="D235" s="7"/>
    </row>
    <row r="236" spans="3:4" hidden="1" x14ac:dyDescent="0.2">
      <c r="C236" s="80" t="s">
        <v>233</v>
      </c>
      <c r="D236" s="7"/>
    </row>
    <row r="237" spans="3:4" hidden="1" x14ac:dyDescent="0.2">
      <c r="C237" s="80" t="s">
        <v>234</v>
      </c>
      <c r="D237" s="7"/>
    </row>
    <row r="238" spans="3:4" hidden="1" x14ac:dyDescent="0.2">
      <c r="C238" s="80" t="s">
        <v>235</v>
      </c>
      <c r="D238" s="7"/>
    </row>
    <row r="239" spans="3:4" hidden="1" x14ac:dyDescent="0.2">
      <c r="C239" s="80" t="s">
        <v>236</v>
      </c>
      <c r="D239" s="7"/>
    </row>
    <row r="240" spans="3:4" hidden="1" x14ac:dyDescent="0.2">
      <c r="C240" s="80" t="s">
        <v>237</v>
      </c>
      <c r="D240" s="7"/>
    </row>
    <row r="241" spans="3:4" hidden="1" x14ac:dyDescent="0.2">
      <c r="C241" s="80" t="s">
        <v>238</v>
      </c>
      <c r="D241" s="7"/>
    </row>
    <row r="242" spans="3:4" hidden="1" x14ac:dyDescent="0.2">
      <c r="C242" s="80" t="s">
        <v>239</v>
      </c>
      <c r="D242" s="7"/>
    </row>
    <row r="243" spans="3:4" hidden="1" x14ac:dyDescent="0.2">
      <c r="C243" s="80" t="s">
        <v>240</v>
      </c>
      <c r="D243" s="7"/>
    </row>
    <row r="244" spans="3:4" hidden="1" x14ac:dyDescent="0.2">
      <c r="C244" s="80" t="s">
        <v>241</v>
      </c>
      <c r="D244" s="7"/>
    </row>
    <row r="245" spans="3:4" hidden="1" x14ac:dyDescent="0.2">
      <c r="C245" s="80" t="s">
        <v>242</v>
      </c>
      <c r="D245" s="7"/>
    </row>
    <row r="246" spans="3:4" hidden="1" x14ac:dyDescent="0.2">
      <c r="C246" s="80" t="s">
        <v>243</v>
      </c>
      <c r="D246" s="7"/>
    </row>
    <row r="247" spans="3:4" hidden="1" x14ac:dyDescent="0.2">
      <c r="C247" s="80" t="s">
        <v>244</v>
      </c>
      <c r="D247" s="7"/>
    </row>
    <row r="248" spans="3:4" hidden="1" x14ac:dyDescent="0.2">
      <c r="C248" s="80" t="s">
        <v>245</v>
      </c>
      <c r="D248" s="7"/>
    </row>
    <row r="249" spans="3:4" hidden="1" x14ac:dyDescent="0.2">
      <c r="C249" s="80" t="s">
        <v>246</v>
      </c>
      <c r="D249" s="7"/>
    </row>
    <row r="250" spans="3:4" hidden="1" x14ac:dyDescent="0.2">
      <c r="C250" s="80" t="s">
        <v>247</v>
      </c>
      <c r="D250" s="7"/>
    </row>
    <row r="251" spans="3:4" hidden="1" x14ac:dyDescent="0.2">
      <c r="C251" s="80" t="s">
        <v>248</v>
      </c>
      <c r="D251" s="7"/>
    </row>
    <row r="252" spans="3:4" hidden="1" x14ac:dyDescent="0.2">
      <c r="C252" s="80" t="s">
        <v>249</v>
      </c>
      <c r="D252" s="7"/>
    </row>
    <row r="253" spans="3:4" hidden="1" x14ac:dyDescent="0.2">
      <c r="C253" s="80" t="s">
        <v>250</v>
      </c>
      <c r="D253" s="7"/>
    </row>
    <row r="254" spans="3:4" hidden="1" x14ac:dyDescent="0.2">
      <c r="C254" s="80" t="s">
        <v>251</v>
      </c>
      <c r="D254" s="7"/>
    </row>
    <row r="255" spans="3:4" hidden="1" x14ac:dyDescent="0.2">
      <c r="C255" s="80" t="s">
        <v>252</v>
      </c>
      <c r="D255" s="7"/>
    </row>
    <row r="256" spans="3:4" hidden="1" x14ac:dyDescent="0.2">
      <c r="C256" s="80" t="s">
        <v>253</v>
      </c>
      <c r="D256" s="7"/>
    </row>
    <row r="257" spans="3:4" hidden="1" x14ac:dyDescent="0.2">
      <c r="C257" s="80" t="s">
        <v>254</v>
      </c>
      <c r="D257" s="7"/>
    </row>
    <row r="258" spans="3:4" hidden="1" x14ac:dyDescent="0.2">
      <c r="C258" s="80" t="s">
        <v>255</v>
      </c>
      <c r="D258" s="7"/>
    </row>
    <row r="259" spans="3:4" hidden="1" x14ac:dyDescent="0.2">
      <c r="C259" s="80" t="s">
        <v>256</v>
      </c>
      <c r="D259" s="7"/>
    </row>
    <row r="260" spans="3:4" hidden="1" x14ac:dyDescent="0.2">
      <c r="C260" s="80" t="s">
        <v>257</v>
      </c>
      <c r="D260" s="7"/>
    </row>
    <row r="261" spans="3:4" hidden="1" x14ac:dyDescent="0.2">
      <c r="C261" s="80" t="s">
        <v>258</v>
      </c>
      <c r="D261" s="7"/>
    </row>
    <row r="262" spans="3:4" hidden="1" x14ac:dyDescent="0.2">
      <c r="C262" s="80" t="s">
        <v>259</v>
      </c>
      <c r="D262" s="7"/>
    </row>
    <row r="263" spans="3:4" hidden="1" x14ac:dyDescent="0.2">
      <c r="C263" s="80" t="s">
        <v>260</v>
      </c>
      <c r="D263" s="7"/>
    </row>
    <row r="264" spans="3:4" hidden="1" x14ac:dyDescent="0.2">
      <c r="C264" s="80" t="s">
        <v>261</v>
      </c>
      <c r="D264" s="7"/>
    </row>
    <row r="265" spans="3:4" hidden="1" x14ac:dyDescent="0.2">
      <c r="C265" s="80" t="s">
        <v>262</v>
      </c>
      <c r="D265" s="7"/>
    </row>
    <row r="266" spans="3:4" hidden="1" x14ac:dyDescent="0.2">
      <c r="C266" s="80" t="s">
        <v>263</v>
      </c>
      <c r="D266" s="7"/>
    </row>
    <row r="267" spans="3:4" hidden="1" x14ac:dyDescent="0.2">
      <c r="C267" s="80" t="s">
        <v>264</v>
      </c>
      <c r="D267" s="7"/>
    </row>
    <row r="268" spans="3:4" hidden="1" x14ac:dyDescent="0.2">
      <c r="C268" s="80" t="s">
        <v>265</v>
      </c>
      <c r="D268" s="7"/>
    </row>
    <row r="269" spans="3:4" hidden="1" x14ac:dyDescent="0.2">
      <c r="C269" s="80" t="s">
        <v>266</v>
      </c>
      <c r="D269" s="7"/>
    </row>
    <row r="270" spans="3:4" hidden="1" x14ac:dyDescent="0.2">
      <c r="C270" s="80" t="s">
        <v>267</v>
      </c>
      <c r="D270" s="7"/>
    </row>
    <row r="271" spans="3:4" hidden="1" x14ac:dyDescent="0.2">
      <c r="C271" s="80" t="s">
        <v>268</v>
      </c>
      <c r="D271" s="7"/>
    </row>
    <row r="272" spans="3:4" hidden="1" x14ac:dyDescent="0.2">
      <c r="C272" s="80" t="s">
        <v>269</v>
      </c>
      <c r="D272" s="7"/>
    </row>
    <row r="273" spans="3:4" hidden="1" x14ac:dyDescent="0.2">
      <c r="C273" s="80" t="s">
        <v>270</v>
      </c>
      <c r="D273" s="7"/>
    </row>
    <row r="274" spans="3:4" hidden="1" x14ac:dyDescent="0.2">
      <c r="C274" s="80" t="s">
        <v>271</v>
      </c>
      <c r="D274" s="7"/>
    </row>
    <row r="275" spans="3:4" hidden="1" x14ac:dyDescent="0.2">
      <c r="C275" s="80" t="s">
        <v>272</v>
      </c>
      <c r="D275" s="7"/>
    </row>
    <row r="276" spans="3:4" hidden="1" x14ac:dyDescent="0.2">
      <c r="C276" s="80" t="s">
        <v>273</v>
      </c>
      <c r="D276" s="7"/>
    </row>
    <row r="277" spans="3:4" hidden="1" x14ac:dyDescent="0.2">
      <c r="C277" s="80" t="s">
        <v>274</v>
      </c>
      <c r="D277" s="7"/>
    </row>
    <row r="278" spans="3:4" hidden="1" x14ac:dyDescent="0.2">
      <c r="C278" s="80" t="s">
        <v>275</v>
      </c>
      <c r="D278" s="7"/>
    </row>
    <row r="279" spans="3:4" hidden="1" x14ac:dyDescent="0.2">
      <c r="C279" s="80" t="s">
        <v>276</v>
      </c>
      <c r="D279" s="7"/>
    </row>
    <row r="280" spans="3:4" hidden="1" x14ac:dyDescent="0.2">
      <c r="C280" s="80" t="s">
        <v>277</v>
      </c>
      <c r="D280" s="7"/>
    </row>
    <row r="281" spans="3:4" hidden="1" x14ac:dyDescent="0.2">
      <c r="C281" s="80" t="s">
        <v>278</v>
      </c>
      <c r="D281" s="7"/>
    </row>
    <row r="282" spans="3:4" hidden="1" x14ac:dyDescent="0.2">
      <c r="C282" s="80" t="s">
        <v>279</v>
      </c>
      <c r="D282" s="7"/>
    </row>
    <row r="283" spans="3:4" hidden="1" x14ac:dyDescent="0.2">
      <c r="C283" s="80" t="s">
        <v>280</v>
      </c>
      <c r="D283" s="7"/>
    </row>
    <row r="284" spans="3:4" hidden="1" x14ac:dyDescent="0.2">
      <c r="C284" s="80" t="s">
        <v>281</v>
      </c>
      <c r="D284" s="7"/>
    </row>
    <row r="285" spans="3:4" hidden="1" x14ac:dyDescent="0.2">
      <c r="C285" s="80" t="s">
        <v>282</v>
      </c>
      <c r="D285" s="7"/>
    </row>
    <row r="286" spans="3:4" hidden="1" x14ac:dyDescent="0.2">
      <c r="C286" s="80" t="s">
        <v>283</v>
      </c>
      <c r="D286" s="7"/>
    </row>
    <row r="287" spans="3:4" hidden="1" x14ac:dyDescent="0.2">
      <c r="C287" s="80" t="s">
        <v>284</v>
      </c>
      <c r="D287" s="7"/>
    </row>
    <row r="288" spans="3:4" hidden="1" x14ac:dyDescent="0.2">
      <c r="C288" s="80" t="s">
        <v>285</v>
      </c>
      <c r="D288" s="7"/>
    </row>
    <row r="289" spans="3:4" hidden="1" x14ac:dyDescent="0.2">
      <c r="C289" s="80" t="s">
        <v>286</v>
      </c>
      <c r="D289" s="7"/>
    </row>
    <row r="290" spans="3:4" hidden="1" x14ac:dyDescent="0.2">
      <c r="C290" s="80" t="s">
        <v>287</v>
      </c>
      <c r="D290" s="7"/>
    </row>
    <row r="291" spans="3:4" hidden="1" x14ac:dyDescent="0.2">
      <c r="C291" s="80" t="s">
        <v>288</v>
      </c>
      <c r="D291" s="7"/>
    </row>
    <row r="292" spans="3:4" hidden="1" x14ac:dyDescent="0.2">
      <c r="C292" s="80" t="s">
        <v>289</v>
      </c>
      <c r="D292" s="7"/>
    </row>
    <row r="293" spans="3:4" hidden="1" x14ac:dyDescent="0.2">
      <c r="C293" s="80" t="s">
        <v>290</v>
      </c>
      <c r="D293" s="7"/>
    </row>
    <row r="294" spans="3:4" hidden="1" x14ac:dyDescent="0.2">
      <c r="C294" s="80" t="s">
        <v>291</v>
      </c>
      <c r="D294" s="7"/>
    </row>
    <row r="295" spans="3:4" hidden="1" x14ac:dyDescent="0.2">
      <c r="C295" s="80" t="s">
        <v>292</v>
      </c>
      <c r="D295" s="7"/>
    </row>
    <row r="296" spans="3:4" hidden="1" x14ac:dyDescent="0.2">
      <c r="C296" s="80" t="s">
        <v>293</v>
      </c>
      <c r="D296" s="7"/>
    </row>
    <row r="297" spans="3:4" hidden="1" x14ac:dyDescent="0.2">
      <c r="C297" s="80" t="s">
        <v>294</v>
      </c>
      <c r="D297" s="7"/>
    </row>
    <row r="298" spans="3:4" hidden="1" x14ac:dyDescent="0.2">
      <c r="C298" s="80" t="s">
        <v>295</v>
      </c>
      <c r="D298" s="7"/>
    </row>
    <row r="299" spans="3:4" hidden="1" x14ac:dyDescent="0.2">
      <c r="C299" s="80" t="s">
        <v>296</v>
      </c>
      <c r="D299" s="7"/>
    </row>
    <row r="300" spans="3:4" hidden="1" x14ac:dyDescent="0.2">
      <c r="C300" s="80" t="s">
        <v>297</v>
      </c>
      <c r="D300" s="7"/>
    </row>
    <row r="301" spans="3:4" hidden="1" x14ac:dyDescent="0.2">
      <c r="C301" s="80" t="s">
        <v>298</v>
      </c>
      <c r="D301" s="7"/>
    </row>
    <row r="302" spans="3:4" hidden="1" x14ac:dyDescent="0.2">
      <c r="C302" s="80" t="s">
        <v>299</v>
      </c>
      <c r="D302" s="7"/>
    </row>
    <row r="303" spans="3:4" hidden="1" x14ac:dyDescent="0.2">
      <c r="C303" s="80" t="s">
        <v>300</v>
      </c>
      <c r="D303" s="7"/>
    </row>
    <row r="304" spans="3:4" hidden="1" x14ac:dyDescent="0.2">
      <c r="C304" s="80" t="s">
        <v>301</v>
      </c>
      <c r="D304" s="7"/>
    </row>
    <row r="305" spans="3:4" hidden="1" x14ac:dyDescent="0.2">
      <c r="C305" s="80" t="s">
        <v>302</v>
      </c>
      <c r="D305" s="7"/>
    </row>
    <row r="306" spans="3:4" hidden="1" x14ac:dyDescent="0.2">
      <c r="C306" s="80" t="s">
        <v>303</v>
      </c>
      <c r="D306" s="7"/>
    </row>
    <row r="307" spans="3:4" hidden="1" x14ac:dyDescent="0.2">
      <c r="C307" s="80" t="s">
        <v>304</v>
      </c>
      <c r="D307" s="7"/>
    </row>
    <row r="308" spans="3:4" hidden="1" x14ac:dyDescent="0.2">
      <c r="C308" s="80" t="s">
        <v>305</v>
      </c>
      <c r="D308" s="7"/>
    </row>
    <row r="309" spans="3:4" hidden="1" x14ac:dyDescent="0.2">
      <c r="C309" s="80" t="s">
        <v>306</v>
      </c>
      <c r="D309" s="7"/>
    </row>
    <row r="310" spans="3:4" hidden="1" x14ac:dyDescent="0.2">
      <c r="C310" s="80" t="s">
        <v>307</v>
      </c>
      <c r="D310" s="7"/>
    </row>
    <row r="311" spans="3:4" hidden="1" x14ac:dyDescent="0.2">
      <c r="C311" s="80" t="s">
        <v>308</v>
      </c>
      <c r="D311" s="7"/>
    </row>
    <row r="312" spans="3:4" hidden="1" x14ac:dyDescent="0.2">
      <c r="C312" s="80" t="s">
        <v>309</v>
      </c>
      <c r="D312" s="7"/>
    </row>
    <row r="313" spans="3:4" hidden="1" x14ac:dyDescent="0.2">
      <c r="C313" s="80" t="s">
        <v>310</v>
      </c>
      <c r="D313" s="7"/>
    </row>
    <row r="314" spans="3:4" hidden="1" x14ac:dyDescent="0.2">
      <c r="C314" s="80" t="s">
        <v>311</v>
      </c>
      <c r="D314" s="7"/>
    </row>
    <row r="315" spans="3:4" hidden="1" x14ac:dyDescent="0.2">
      <c r="C315" s="80" t="s">
        <v>312</v>
      </c>
      <c r="D315" s="7"/>
    </row>
    <row r="316" spans="3:4" hidden="1" x14ac:dyDescent="0.2">
      <c r="C316" s="80" t="s">
        <v>313</v>
      </c>
      <c r="D316" s="7"/>
    </row>
    <row r="317" spans="3:4" hidden="1" x14ac:dyDescent="0.2">
      <c r="C317" s="80" t="s">
        <v>314</v>
      </c>
      <c r="D317" s="7"/>
    </row>
    <row r="318" spans="3:4" hidden="1" x14ac:dyDescent="0.2">
      <c r="C318" s="80" t="s">
        <v>315</v>
      </c>
      <c r="D318" s="7"/>
    </row>
    <row r="319" spans="3:4" hidden="1" x14ac:dyDescent="0.2">
      <c r="C319" s="80" t="s">
        <v>316</v>
      </c>
      <c r="D319" s="7"/>
    </row>
    <row r="320" spans="3:4" hidden="1" x14ac:dyDescent="0.2">
      <c r="C320" s="80" t="s">
        <v>317</v>
      </c>
      <c r="D320" s="7"/>
    </row>
    <row r="321" spans="3:4" hidden="1" x14ac:dyDescent="0.2">
      <c r="C321" s="80" t="s">
        <v>318</v>
      </c>
      <c r="D321" s="7"/>
    </row>
    <row r="322" spans="3:4" hidden="1" x14ac:dyDescent="0.2">
      <c r="C322" s="80" t="s">
        <v>319</v>
      </c>
      <c r="D322" s="7"/>
    </row>
    <row r="323" spans="3:4" hidden="1" x14ac:dyDescent="0.2">
      <c r="C323" s="80" t="s">
        <v>320</v>
      </c>
      <c r="D323" s="7"/>
    </row>
    <row r="324" spans="3:4" hidden="1" x14ac:dyDescent="0.2">
      <c r="C324" s="80" t="s">
        <v>321</v>
      </c>
      <c r="D324" s="7"/>
    </row>
    <row r="325" spans="3:4" hidden="1" x14ac:dyDescent="0.2">
      <c r="C325" s="80" t="s">
        <v>322</v>
      </c>
      <c r="D325" s="7"/>
    </row>
    <row r="326" spans="3:4" hidden="1" x14ac:dyDescent="0.2">
      <c r="C326" s="80" t="s">
        <v>323</v>
      </c>
      <c r="D326" s="7"/>
    </row>
    <row r="327" spans="3:4" hidden="1" x14ac:dyDescent="0.2">
      <c r="C327" s="80" t="s">
        <v>324</v>
      </c>
      <c r="D327" s="7"/>
    </row>
    <row r="328" spans="3:4" hidden="1" x14ac:dyDescent="0.2">
      <c r="C328" s="80" t="s">
        <v>325</v>
      </c>
      <c r="D328" s="7"/>
    </row>
    <row r="329" spans="3:4" hidden="1" x14ac:dyDescent="0.2">
      <c r="C329" s="80" t="s">
        <v>326</v>
      </c>
      <c r="D329" s="7"/>
    </row>
    <row r="330" spans="3:4" hidden="1" x14ac:dyDescent="0.2">
      <c r="C330" s="80" t="s">
        <v>327</v>
      </c>
      <c r="D330" s="7"/>
    </row>
    <row r="331" spans="3:4" hidden="1" x14ac:dyDescent="0.2">
      <c r="C331" s="80" t="s">
        <v>328</v>
      </c>
      <c r="D331" s="7"/>
    </row>
    <row r="332" spans="3:4" hidden="1" x14ac:dyDescent="0.2">
      <c r="C332" s="80" t="s">
        <v>329</v>
      </c>
      <c r="D332" s="7"/>
    </row>
    <row r="333" spans="3:4" hidden="1" x14ac:dyDescent="0.2">
      <c r="C333" s="80" t="s">
        <v>330</v>
      </c>
      <c r="D333" s="7"/>
    </row>
    <row r="334" spans="3:4" hidden="1" x14ac:dyDescent="0.2">
      <c r="C334" s="80" t="s">
        <v>331</v>
      </c>
      <c r="D334" s="7"/>
    </row>
    <row r="335" spans="3:4" hidden="1" x14ac:dyDescent="0.2">
      <c r="C335" s="80" t="s">
        <v>332</v>
      </c>
      <c r="D335" s="7"/>
    </row>
    <row r="336" spans="3:4" hidden="1" x14ac:dyDescent="0.2">
      <c r="C336" s="80" t="s">
        <v>333</v>
      </c>
      <c r="D336" s="7"/>
    </row>
    <row r="337" spans="3:4" hidden="1" x14ac:dyDescent="0.2">
      <c r="C337" s="80" t="s">
        <v>334</v>
      </c>
      <c r="D337" s="7"/>
    </row>
    <row r="338" spans="3:4" hidden="1" x14ac:dyDescent="0.2">
      <c r="C338" s="80" t="s">
        <v>335</v>
      </c>
      <c r="D338" s="7"/>
    </row>
    <row r="339" spans="3:4" hidden="1" x14ac:dyDescent="0.2">
      <c r="C339" s="80" t="s">
        <v>336</v>
      </c>
      <c r="D339" s="7"/>
    </row>
    <row r="340" spans="3:4" hidden="1" x14ac:dyDescent="0.2">
      <c r="C340" s="80" t="s">
        <v>337</v>
      </c>
      <c r="D340" s="7"/>
    </row>
    <row r="341" spans="3:4" hidden="1" x14ac:dyDescent="0.2">
      <c r="C341" s="80" t="s">
        <v>338</v>
      </c>
      <c r="D341" s="7"/>
    </row>
    <row r="342" spans="3:4" hidden="1" x14ac:dyDescent="0.2">
      <c r="C342" s="80" t="s">
        <v>339</v>
      </c>
      <c r="D342" s="7"/>
    </row>
    <row r="343" spans="3:4" hidden="1" x14ac:dyDescent="0.2">
      <c r="C343" s="80" t="s">
        <v>340</v>
      </c>
      <c r="D343" s="7"/>
    </row>
    <row r="344" spans="3:4" hidden="1" x14ac:dyDescent="0.2">
      <c r="C344" s="80" t="s">
        <v>341</v>
      </c>
      <c r="D344" s="7"/>
    </row>
    <row r="345" spans="3:4" hidden="1" x14ac:dyDescent="0.2">
      <c r="C345" s="80" t="s">
        <v>342</v>
      </c>
      <c r="D345" s="7"/>
    </row>
    <row r="346" spans="3:4" hidden="1" x14ac:dyDescent="0.2">
      <c r="C346" s="80" t="s">
        <v>343</v>
      </c>
      <c r="D346" s="7"/>
    </row>
    <row r="347" spans="3:4" hidden="1" x14ac:dyDescent="0.2">
      <c r="C347" s="80" t="s">
        <v>344</v>
      </c>
      <c r="D347" s="7"/>
    </row>
    <row r="348" spans="3:4" hidden="1" x14ac:dyDescent="0.2">
      <c r="C348" s="80" t="s">
        <v>345</v>
      </c>
      <c r="D348" s="7"/>
    </row>
    <row r="349" spans="3:4" hidden="1" x14ac:dyDescent="0.2">
      <c r="C349" s="80" t="s">
        <v>346</v>
      </c>
      <c r="D349" s="7"/>
    </row>
    <row r="350" spans="3:4" hidden="1" x14ac:dyDescent="0.2">
      <c r="C350" s="80" t="s">
        <v>347</v>
      </c>
      <c r="D350" s="7"/>
    </row>
    <row r="351" spans="3:4" hidden="1" x14ac:dyDescent="0.2">
      <c r="C351" s="80" t="s">
        <v>348</v>
      </c>
      <c r="D351" s="7"/>
    </row>
    <row r="352" spans="3:4" hidden="1" x14ac:dyDescent="0.2">
      <c r="C352" s="80" t="s">
        <v>349</v>
      </c>
      <c r="D352" s="7"/>
    </row>
    <row r="353" spans="3:4" hidden="1" x14ac:dyDescent="0.2">
      <c r="C353" s="80" t="s">
        <v>350</v>
      </c>
      <c r="D353" s="7"/>
    </row>
    <row r="354" spans="3:4" hidden="1" x14ac:dyDescent="0.2">
      <c r="C354" s="80" t="s">
        <v>351</v>
      </c>
      <c r="D354" s="7"/>
    </row>
    <row r="355" spans="3:4" hidden="1" x14ac:dyDescent="0.2">
      <c r="C355" s="80" t="s">
        <v>352</v>
      </c>
      <c r="D355" s="7"/>
    </row>
    <row r="356" spans="3:4" hidden="1" x14ac:dyDescent="0.2">
      <c r="C356" s="80" t="s">
        <v>353</v>
      </c>
      <c r="D356" s="7"/>
    </row>
    <row r="357" spans="3:4" hidden="1" x14ac:dyDescent="0.2">
      <c r="C357" s="80" t="s">
        <v>354</v>
      </c>
      <c r="D357" s="7"/>
    </row>
    <row r="358" spans="3:4" hidden="1" x14ac:dyDescent="0.2">
      <c r="C358" s="80" t="s">
        <v>355</v>
      </c>
      <c r="D358" s="7"/>
    </row>
    <row r="359" spans="3:4" hidden="1" x14ac:dyDescent="0.2">
      <c r="C359" s="80" t="s">
        <v>356</v>
      </c>
      <c r="D359" s="7"/>
    </row>
    <row r="360" spans="3:4" hidden="1" x14ac:dyDescent="0.2">
      <c r="C360" s="80" t="s">
        <v>357</v>
      </c>
      <c r="D360" s="7"/>
    </row>
    <row r="361" spans="3:4" hidden="1" x14ac:dyDescent="0.2">
      <c r="C361" s="80" t="s">
        <v>358</v>
      </c>
      <c r="D361" s="7"/>
    </row>
    <row r="362" spans="3:4" hidden="1" x14ac:dyDescent="0.2">
      <c r="C362" s="80" t="s">
        <v>359</v>
      </c>
      <c r="D362" s="7"/>
    </row>
    <row r="363" spans="3:4" hidden="1" x14ac:dyDescent="0.2">
      <c r="C363" s="55" t="s">
        <v>360</v>
      </c>
      <c r="D363" s="7"/>
    </row>
    <row r="364" spans="3:4" hidden="1" x14ac:dyDescent="0.2">
      <c r="C364" s="82" t="s">
        <v>361</v>
      </c>
      <c r="D364" s="7"/>
    </row>
    <row r="365" spans="3:4" hidden="1" x14ac:dyDescent="0.2">
      <c r="C365" s="82" t="s">
        <v>362</v>
      </c>
      <c r="D365" s="7"/>
    </row>
    <row r="366" spans="3:4" hidden="1" x14ac:dyDescent="0.2">
      <c r="C366" s="82" t="s">
        <v>363</v>
      </c>
      <c r="D366" s="7"/>
    </row>
    <row r="367" spans="3:4" hidden="1" x14ac:dyDescent="0.2">
      <c r="C367" s="82" t="s">
        <v>364</v>
      </c>
      <c r="D367" s="7"/>
    </row>
    <row r="368" spans="3:4" hidden="1" x14ac:dyDescent="0.2">
      <c r="C368" s="82" t="s">
        <v>365</v>
      </c>
      <c r="D368" s="7"/>
    </row>
    <row r="369" spans="3:4" hidden="1" x14ac:dyDescent="0.2">
      <c r="C369" s="82" t="s">
        <v>366</v>
      </c>
      <c r="D369" s="7"/>
    </row>
    <row r="370" spans="3:4" hidden="1" x14ac:dyDescent="0.2">
      <c r="C370" s="82" t="s">
        <v>367</v>
      </c>
      <c r="D370" s="7"/>
    </row>
    <row r="371" spans="3:4" hidden="1" x14ac:dyDescent="0.2">
      <c r="C371" s="82" t="s">
        <v>368</v>
      </c>
      <c r="D371" s="7"/>
    </row>
    <row r="372" spans="3:4" hidden="1" x14ac:dyDescent="0.2">
      <c r="C372" s="82" t="s">
        <v>369</v>
      </c>
      <c r="D372" s="7"/>
    </row>
    <row r="373" spans="3:4" hidden="1" x14ac:dyDescent="0.2">
      <c r="C373" s="82" t="s">
        <v>370</v>
      </c>
      <c r="D373" s="7"/>
    </row>
    <row r="374" spans="3:4" hidden="1" x14ac:dyDescent="0.2">
      <c r="C374" s="82" t="s">
        <v>371</v>
      </c>
      <c r="D374" s="7"/>
    </row>
    <row r="375" spans="3:4" hidden="1" x14ac:dyDescent="0.2">
      <c r="C375" s="82" t="s">
        <v>372</v>
      </c>
      <c r="D375" s="7"/>
    </row>
    <row r="376" spans="3:4" hidden="1" x14ac:dyDescent="0.2">
      <c r="C376" s="82" t="s">
        <v>373</v>
      </c>
      <c r="D376" s="7"/>
    </row>
    <row r="377" spans="3:4" hidden="1" x14ac:dyDescent="0.2">
      <c r="C377" s="82" t="s">
        <v>374</v>
      </c>
      <c r="D377" s="7"/>
    </row>
    <row r="378" spans="3:4" hidden="1" x14ac:dyDescent="0.2">
      <c r="C378" s="82" t="s">
        <v>375</v>
      </c>
      <c r="D378" s="7"/>
    </row>
    <row r="379" spans="3:4" hidden="1" x14ac:dyDescent="0.2">
      <c r="C379" s="82" t="s">
        <v>376</v>
      </c>
      <c r="D379" s="7"/>
    </row>
    <row r="380" spans="3:4" hidden="1" x14ac:dyDescent="0.2">
      <c r="C380" s="82" t="s">
        <v>377</v>
      </c>
      <c r="D380" s="7"/>
    </row>
    <row r="381" spans="3:4" hidden="1" x14ac:dyDescent="0.2">
      <c r="C381" s="82" t="s">
        <v>378</v>
      </c>
      <c r="D381" s="7"/>
    </row>
    <row r="382" spans="3:4" hidden="1" x14ac:dyDescent="0.2">
      <c r="C382" s="82" t="s">
        <v>379</v>
      </c>
      <c r="D382" s="7"/>
    </row>
    <row r="383" spans="3:4" hidden="1" x14ac:dyDescent="0.2">
      <c r="C383" s="82" t="s">
        <v>380</v>
      </c>
      <c r="D383" s="7"/>
    </row>
    <row r="384" spans="3:4" hidden="1" x14ac:dyDescent="0.2">
      <c r="C384" s="82" t="s">
        <v>381</v>
      </c>
      <c r="D384" s="7"/>
    </row>
    <row r="385" spans="3:8" hidden="1" x14ac:dyDescent="0.2">
      <c r="C385" s="82" t="s">
        <v>382</v>
      </c>
      <c r="D385" s="7"/>
    </row>
    <row r="386" spans="3:8" hidden="1" x14ac:dyDescent="0.2">
      <c r="C386" s="82" t="s">
        <v>383</v>
      </c>
      <c r="D386" s="7"/>
    </row>
    <row r="387" spans="3:8" hidden="1" x14ac:dyDescent="0.2">
      <c r="C387" s="82" t="s">
        <v>384</v>
      </c>
      <c r="D387" s="7"/>
    </row>
    <row r="388" spans="3:8" hidden="1" x14ac:dyDescent="0.2">
      <c r="C388" s="82" t="s">
        <v>385</v>
      </c>
      <c r="D388" s="7"/>
    </row>
    <row r="389" spans="3:8" hidden="1" x14ac:dyDescent="0.2">
      <c r="C389" s="82" t="s">
        <v>386</v>
      </c>
      <c r="D389" s="7"/>
    </row>
    <row r="390" spans="3:8" hidden="1" x14ac:dyDescent="0.2">
      <c r="C390" s="82" t="s">
        <v>387</v>
      </c>
      <c r="D390" s="7"/>
    </row>
    <row r="391" spans="3:8" hidden="1" x14ac:dyDescent="0.2"/>
    <row r="392" spans="3:8" x14ac:dyDescent="0.2">
      <c r="H392" s="83"/>
    </row>
    <row r="393" spans="3:8" x14ac:dyDescent="0.2">
      <c r="H393" s="83"/>
    </row>
    <row r="394" spans="3:8" x14ac:dyDescent="0.2">
      <c r="H394" s="83"/>
    </row>
    <row r="395" spans="3:8" x14ac:dyDescent="0.2">
      <c r="H395" s="83"/>
    </row>
    <row r="396" spans="3:8" x14ac:dyDescent="0.2">
      <c r="H396" s="83"/>
    </row>
    <row r="397" spans="3:8" x14ac:dyDescent="0.2">
      <c r="H397" s="83"/>
    </row>
    <row r="398" spans="3:8" x14ac:dyDescent="0.2">
      <c r="H398" s="83"/>
    </row>
    <row r="399" spans="3:8" x14ac:dyDescent="0.2">
      <c r="H399" s="83"/>
    </row>
    <row r="515" spans="2:9" ht="12.75" customHeight="1" x14ac:dyDescent="0.2"/>
    <row r="516" spans="2:9" ht="12.75" customHeight="1" x14ac:dyDescent="0.2"/>
    <row r="519" spans="2:9" ht="15.75" x14ac:dyDescent="0.25">
      <c r="B519" s="84"/>
      <c r="C519" s="84"/>
      <c r="D519" s="84"/>
      <c r="E519" s="84"/>
      <c r="F519" s="84"/>
      <c r="G519" s="84"/>
      <c r="H519" s="84"/>
      <c r="I519" s="85"/>
    </row>
    <row r="520" spans="2:9" ht="15" customHeight="1" x14ac:dyDescent="0.25">
      <c r="B520" s="86"/>
      <c r="C520" s="86"/>
      <c r="D520" s="86"/>
      <c r="E520" s="86"/>
      <c r="F520" s="86"/>
      <c r="G520" s="86"/>
    </row>
    <row r="521" spans="2:9" ht="21.75" customHeight="1" x14ac:dyDescent="0.2"/>
    <row r="522" spans="2:9" ht="36.75" customHeight="1" x14ac:dyDescent="0.2"/>
  </sheetData>
  <sheetProtection selectLockedCells="1"/>
  <mergeCells count="19">
    <mergeCell ref="B29:O29"/>
    <mergeCell ref="B30:O30"/>
    <mergeCell ref="B31:O31"/>
    <mergeCell ref="B32:O32"/>
    <mergeCell ref="B24:C24"/>
    <mergeCell ref="B17:C17"/>
    <mergeCell ref="B18:C18"/>
    <mergeCell ref="B20:C20"/>
    <mergeCell ref="B28:O28"/>
    <mergeCell ref="D6:G6"/>
    <mergeCell ref="D7:G7"/>
    <mergeCell ref="B13:C13"/>
    <mergeCell ref="B14:C14"/>
    <mergeCell ref="B15:C15"/>
    <mergeCell ref="B2:E2"/>
    <mergeCell ref="B4:C4"/>
    <mergeCell ref="D4:G4"/>
    <mergeCell ref="M4:N4"/>
    <mergeCell ref="D5:G5"/>
  </mergeCells>
  <dataValidations count="3">
    <dataValidation type="list" allowBlank="1" showErrorMessage="1" sqref="B4:C4">
      <formula1>$C$36:$C$390</formula1>
    </dataValidation>
    <dataValidation type="whole" operator="greaterThan" allowBlank="1" showInputMessage="1" showErrorMessage="1" sqref="D15:K15">
      <formula1>-1000000</formula1>
    </dataValidation>
    <dataValidation type="whole" operator="greaterThan" allowBlank="1" showInputMessage="1" showErrorMessage="1" error="Please enter a numerical value only, less than or equal to total net additions. " sqref="E24">
      <formula1>-1000000</formula1>
    </dataValidation>
  </dataValidations>
  <hyperlinks>
    <hyperlink ref="B6" location="'New Homes Bonus'!I14" tooltip="Click here to return to homepage" display="Return to homepage"/>
  </hyperlinks>
  <pageMargins left="0.74803149606299213" right="0.74803149606299213" top="0.98425196850393704" bottom="0.98425196850393704" header="0.51181102362204722" footer="0.51181102362204722"/>
  <pageSetup paperSize="9" scale="41"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2:Q401"/>
  <sheetViews>
    <sheetView showRowColHeaders="0" zoomScale="85" zoomScaleNormal="85" workbookViewId="0">
      <selection activeCell="B6" sqref="B6"/>
    </sheetView>
  </sheetViews>
  <sheetFormatPr defaultRowHeight="12.75" x14ac:dyDescent="0.2"/>
  <cols>
    <col min="1" max="1" width="4.140625" style="1" customWidth="1"/>
    <col min="2" max="2" width="25.7109375" style="1" customWidth="1"/>
    <col min="3" max="3" width="29.85546875" style="1" customWidth="1"/>
    <col min="4" max="12" width="13" style="1" customWidth="1"/>
    <col min="13" max="13" width="8.28515625" style="1" customWidth="1"/>
    <col min="14" max="14" width="25.140625" style="1" bestFit="1" customWidth="1"/>
    <col min="15" max="15" width="19.28515625" style="1" customWidth="1"/>
    <col min="16" max="16" width="20.85546875" style="1" customWidth="1"/>
    <col min="17" max="17" width="15.5703125" style="1" customWidth="1"/>
    <col min="18" max="18" width="37.140625" style="1" customWidth="1"/>
    <col min="19" max="19" width="24" style="1" customWidth="1"/>
    <col min="20" max="21" width="9.28515625" style="1" bestFit="1" customWidth="1"/>
    <col min="22" max="16384" width="9.140625" style="1"/>
  </cols>
  <sheetData>
    <row r="2" spans="2:17" ht="33" customHeight="1" x14ac:dyDescent="0.55000000000000004">
      <c r="B2" s="368" t="s">
        <v>0</v>
      </c>
      <c r="C2" s="368"/>
      <c r="D2" s="368"/>
      <c r="E2" s="368"/>
      <c r="F2" s="87"/>
    </row>
    <row r="3" spans="2:17" ht="16.5" customHeight="1" x14ac:dyDescent="0.7">
      <c r="B3" s="59"/>
      <c r="C3" s="5"/>
      <c r="D3" s="2"/>
      <c r="E3" s="2"/>
      <c r="F3" s="2"/>
    </row>
    <row r="4" spans="2:17" ht="37.5" customHeight="1" x14ac:dyDescent="0.4">
      <c r="B4" s="392" t="s">
        <v>418</v>
      </c>
      <c r="C4" s="392"/>
      <c r="D4" s="370" t="s">
        <v>388</v>
      </c>
      <c r="E4" s="370"/>
      <c r="F4" s="370"/>
      <c r="G4" s="370"/>
      <c r="H4" s="60" t="str">
        <f>VLOOKUP($B$4,Data!$D$3:$J$359,Data!$F$1,0)</f>
        <v>-</v>
      </c>
      <c r="M4" s="376"/>
      <c r="N4" s="376"/>
    </row>
    <row r="5" spans="2:17" ht="19.5" customHeight="1" x14ac:dyDescent="0.35">
      <c r="C5" s="6"/>
      <c r="D5" s="370" t="s">
        <v>389</v>
      </c>
      <c r="E5" s="370"/>
      <c r="F5" s="370"/>
      <c r="G5" s="370"/>
      <c r="H5" s="60" t="str">
        <f>VLOOKUP($B$4,Data!$D$3:$BG$359,Data!$H$1,0)</f>
        <v>-</v>
      </c>
      <c r="M5" s="7"/>
      <c r="N5" s="7"/>
    </row>
    <row r="6" spans="2:17" ht="21" customHeight="1" x14ac:dyDescent="0.4">
      <c r="B6" s="8" t="s">
        <v>4</v>
      </c>
      <c r="C6" s="88"/>
      <c r="D6" s="371" t="s">
        <v>390</v>
      </c>
      <c r="E6" s="371"/>
      <c r="F6" s="371"/>
      <c r="G6" s="371"/>
      <c r="H6" s="64" t="str">
        <f>VLOOKUP($B$4,Data!$D$3:$J$359,Data!$J$1,0)</f>
        <v>-</v>
      </c>
      <c r="M6" s="10"/>
      <c r="N6" s="89"/>
      <c r="O6" s="11"/>
      <c r="P6" s="12"/>
    </row>
    <row r="7" spans="2:17" ht="18.75" customHeight="1" x14ac:dyDescent="0.25">
      <c r="D7" s="370" t="s">
        <v>391</v>
      </c>
      <c r="E7" s="370"/>
      <c r="F7" s="370"/>
      <c r="G7" s="370"/>
      <c r="H7" s="60" t="str">
        <f>VLOOKUP($B$4,Data!$D$3:$I$359,Data!$G$1,0)</f>
        <v>-</v>
      </c>
      <c r="I7" s="13"/>
      <c r="J7" s="13"/>
      <c r="K7" s="13"/>
      <c r="O7" s="11"/>
      <c r="P7" s="11"/>
    </row>
    <row r="8" spans="2:17" ht="25.5" customHeight="1" x14ac:dyDescent="0.4">
      <c r="J8" s="15"/>
      <c r="K8" s="15"/>
      <c r="N8" s="7"/>
      <c r="O8" s="66"/>
      <c r="P8" s="17"/>
      <c r="Q8" s="18"/>
    </row>
    <row r="9" spans="2:17" ht="33.75" customHeight="1" x14ac:dyDescent="0.4">
      <c r="C9" s="25" t="s">
        <v>392</v>
      </c>
      <c r="D9" s="25" t="s">
        <v>393</v>
      </c>
      <c r="E9" s="25" t="s">
        <v>394</v>
      </c>
      <c r="F9" s="25" t="s">
        <v>395</v>
      </c>
      <c r="G9" s="25" t="s">
        <v>396</v>
      </c>
      <c r="H9" s="25" t="s">
        <v>397</v>
      </c>
      <c r="I9" s="25" t="s">
        <v>398</v>
      </c>
      <c r="J9" s="25" t="s">
        <v>399</v>
      </c>
      <c r="K9" s="25" t="s">
        <v>400</v>
      </c>
      <c r="L9" s="25" t="s">
        <v>401</v>
      </c>
      <c r="N9" s="239"/>
      <c r="O9" s="240" t="s">
        <v>409</v>
      </c>
      <c r="P9" s="274"/>
      <c r="Q9" s="68"/>
    </row>
    <row r="10" spans="2:17" ht="36.75" customHeight="1" x14ac:dyDescent="0.35">
      <c r="C10" s="69" t="s">
        <v>824</v>
      </c>
      <c r="D10" s="269">
        <f>VLOOKUP($B$4,Data!$D$4:$AC$359,Data!V$1,0)</f>
        <v>0</v>
      </c>
      <c r="E10" s="269">
        <f>VLOOKUP($B$4,Data!$D$4:$AC$359,Data!W$1,0)</f>
        <v>0</v>
      </c>
      <c r="F10" s="269">
        <f>VLOOKUP($B$4,Data!$D$4:$AC$359,Data!X$1,0)</f>
        <v>0</v>
      </c>
      <c r="G10" s="269">
        <f>VLOOKUP($B$4,Data!$D$4:$AC$359,Data!Y$1,0)</f>
        <v>0</v>
      </c>
      <c r="H10" s="269">
        <f>VLOOKUP($B$4,Data!$D$4:$AC$359,Data!Z$1,0)</f>
        <v>0</v>
      </c>
      <c r="I10" s="269">
        <f>VLOOKUP($B$4,Data!$D$4:$AC$359,Data!AA$1,0)</f>
        <v>0</v>
      </c>
      <c r="J10" s="269">
        <f>VLOOKUP($B$4,Data!$D$4:$AC$359,Data!AB$1,0)</f>
        <v>0</v>
      </c>
      <c r="K10" s="283">
        <f>VLOOKUP($B$4,Data!$D$4:$AC$359,Data!AC$1,0)</f>
        <v>0</v>
      </c>
      <c r="L10" s="270" t="str">
        <f>H4</f>
        <v>-</v>
      </c>
      <c r="N10" s="70" t="s">
        <v>402</v>
      </c>
      <c r="O10" s="6"/>
      <c r="P10" s="70" t="s">
        <v>403</v>
      </c>
      <c r="Q10" s="7"/>
    </row>
    <row r="11" spans="2:17" ht="52.5" customHeight="1" x14ac:dyDescent="0.4">
      <c r="C11" s="69" t="s">
        <v>408</v>
      </c>
      <c r="D11" s="293">
        <f>Data!CG10</f>
        <v>1019.7066666666666</v>
      </c>
      <c r="E11" s="293">
        <f>Data!CH10</f>
        <v>1189.6577777777777</v>
      </c>
      <c r="F11" s="293">
        <f>Data!CI10</f>
        <v>1359.6088888888887</v>
      </c>
      <c r="G11" s="267">
        <f>Data!CJ10</f>
        <v>1529.56</v>
      </c>
      <c r="H11" s="293">
        <f>Data!CK10</f>
        <v>1869.4622222222224</v>
      </c>
      <c r="I11" s="293">
        <f>Data!CL10</f>
        <v>2209.3644444444444</v>
      </c>
      <c r="J11" s="293">
        <f>Data!CM10</f>
        <v>2549.2666666666669</v>
      </c>
      <c r="K11" s="293">
        <f>Data!CN10</f>
        <v>3059.12</v>
      </c>
      <c r="L11" s="271"/>
      <c r="N11" s="72">
        <f>N13*N23</f>
        <v>0</v>
      </c>
      <c r="P11" s="39">
        <f>P13*P23</f>
        <v>0</v>
      </c>
      <c r="Q11" s="7"/>
    </row>
    <row r="12" spans="2:17" ht="42.75" customHeight="1" x14ac:dyDescent="0.4">
      <c r="C12" s="222" t="s">
        <v>410</v>
      </c>
      <c r="D12" s="67"/>
      <c r="E12" s="272"/>
      <c r="F12" s="272"/>
      <c r="G12" s="267"/>
      <c r="H12" s="272"/>
      <c r="I12" s="272"/>
      <c r="J12" s="272"/>
      <c r="K12" s="272"/>
      <c r="L12" s="229">
        <v>350</v>
      </c>
      <c r="N12" s="90"/>
      <c r="P12" s="91"/>
      <c r="Q12" s="7"/>
    </row>
    <row r="13" spans="2:17" s="291" customFormat="1" ht="26.25" customHeight="1" x14ac:dyDescent="0.4">
      <c r="B13" s="287"/>
      <c r="C13" s="288"/>
      <c r="D13" s="289"/>
      <c r="E13" s="289"/>
      <c r="F13" s="289"/>
      <c r="G13" s="289"/>
      <c r="H13" s="289"/>
      <c r="I13" s="289"/>
      <c r="J13" s="289"/>
      <c r="K13" s="289"/>
      <c r="L13" s="290"/>
      <c r="N13" s="286">
        <f>IF(O22&gt;0,O22,0)+((D18+D22)*$L$12)</f>
        <v>0</v>
      </c>
      <c r="O13" s="292" t="s">
        <v>851</v>
      </c>
      <c r="P13" s="93">
        <f>IF(O22&gt;0,O22,0)+((D18+D22)*$L$12)</f>
        <v>0</v>
      </c>
      <c r="Q13" s="92"/>
    </row>
    <row r="14" spans="2:17" ht="26.25" customHeight="1" thickBot="1" x14ac:dyDescent="0.4">
      <c r="B14" s="393" t="s">
        <v>411</v>
      </c>
      <c r="C14" s="394"/>
      <c r="D14" s="401" t="s">
        <v>856</v>
      </c>
      <c r="E14" s="401"/>
      <c r="F14" s="401"/>
      <c r="G14" s="401"/>
      <c r="H14" s="401"/>
      <c r="I14" s="401"/>
      <c r="J14" s="401"/>
      <c r="K14" s="401"/>
      <c r="L14" s="21"/>
      <c r="N14" s="94"/>
      <c r="O14" s="94"/>
      <c r="P14" s="94"/>
      <c r="Q14" s="94"/>
    </row>
    <row r="15" spans="2:17" ht="41.25" customHeight="1" thickBot="1" x14ac:dyDescent="0.4">
      <c r="B15" s="395"/>
      <c r="C15" s="395"/>
      <c r="D15" s="275">
        <v>0</v>
      </c>
      <c r="E15" s="275">
        <v>0</v>
      </c>
      <c r="F15" s="275">
        <v>0</v>
      </c>
      <c r="G15" s="275">
        <v>0</v>
      </c>
      <c r="H15" s="275">
        <v>0</v>
      </c>
      <c r="I15" s="275">
        <v>0</v>
      </c>
      <c r="J15" s="275">
        <v>0</v>
      </c>
      <c r="K15" s="275">
        <v>0</v>
      </c>
      <c r="L15" s="235">
        <f>SUM(D15:K15)</f>
        <v>0</v>
      </c>
      <c r="N15" s="239"/>
      <c r="O15" s="240" t="s">
        <v>828</v>
      </c>
      <c r="P15" s="273"/>
      <c r="Q15" s="76"/>
    </row>
    <row r="16" spans="2:17" ht="2.25" customHeight="1" x14ac:dyDescent="0.3">
      <c r="B16" s="79"/>
      <c r="C16" s="74"/>
      <c r="D16" s="276"/>
      <c r="E16" s="276"/>
      <c r="F16" s="276"/>
      <c r="G16" s="276"/>
      <c r="H16" s="276"/>
      <c r="I16" s="276"/>
      <c r="J16" s="276"/>
      <c r="K16" s="276"/>
      <c r="L16" s="277"/>
      <c r="N16" s="95"/>
      <c r="O16" s="7"/>
      <c r="P16" s="11"/>
      <c r="Q16" s="7"/>
    </row>
    <row r="17" spans="2:17" ht="9" customHeight="1" thickBot="1" x14ac:dyDescent="0.35">
      <c r="B17" s="96"/>
      <c r="C17" s="79"/>
      <c r="D17" s="278"/>
      <c r="E17" s="278"/>
      <c r="F17" s="278"/>
      <c r="G17" s="278"/>
      <c r="H17" s="278"/>
      <c r="I17" s="278"/>
      <c r="J17" s="278"/>
      <c r="K17" s="278"/>
      <c r="L17" s="277"/>
      <c r="O17" s="97"/>
      <c r="P17" s="7"/>
      <c r="Q17" s="7"/>
    </row>
    <row r="18" spans="2:17" ht="40.5" customHeight="1" thickBot="1" x14ac:dyDescent="0.4">
      <c r="B18" s="396" t="s">
        <v>412</v>
      </c>
      <c r="C18" s="397"/>
      <c r="D18" s="275">
        <v>0</v>
      </c>
      <c r="E18" s="279"/>
      <c r="F18" s="279"/>
      <c r="G18" s="279"/>
      <c r="H18" s="279"/>
      <c r="I18" s="279"/>
      <c r="J18" s="279"/>
      <c r="K18" s="279"/>
      <c r="L18" s="235">
        <f>D18</f>
        <v>0</v>
      </c>
      <c r="N18" s="70" t="s">
        <v>402</v>
      </c>
      <c r="O18" s="98"/>
      <c r="P18" s="70" t="s">
        <v>403</v>
      </c>
      <c r="Q18" s="98"/>
    </row>
    <row r="19" spans="2:17" ht="11.25" customHeight="1" thickBot="1" x14ac:dyDescent="0.4">
      <c r="B19" s="99"/>
      <c r="C19" s="79"/>
      <c r="D19" s="278"/>
      <c r="E19" s="278"/>
      <c r="F19" s="278"/>
      <c r="G19" s="278"/>
      <c r="H19" s="278"/>
      <c r="I19" s="278"/>
      <c r="J19" s="278"/>
      <c r="K19" s="278"/>
      <c r="L19" s="277"/>
      <c r="N19" s="98"/>
      <c r="O19" s="98"/>
      <c r="P19" s="98"/>
      <c r="Q19" s="98"/>
    </row>
    <row r="20" spans="2:17" ht="41.25" customHeight="1" thickBot="1" x14ac:dyDescent="0.45">
      <c r="B20" s="398" t="s">
        <v>413</v>
      </c>
      <c r="C20" s="397"/>
      <c r="D20" s="275">
        <v>0</v>
      </c>
      <c r="E20" s="275">
        <v>0</v>
      </c>
      <c r="F20" s="275">
        <v>0</v>
      </c>
      <c r="G20" s="275">
        <v>0</v>
      </c>
      <c r="H20" s="275">
        <v>0</v>
      </c>
      <c r="I20" s="275">
        <v>0</v>
      </c>
      <c r="J20" s="275">
        <v>0</v>
      </c>
      <c r="K20" s="275">
        <v>0</v>
      </c>
      <c r="L20" s="235">
        <f>SUM(D20:K20)</f>
        <v>0</v>
      </c>
      <c r="N20" s="39">
        <f>N11*4</f>
        <v>0</v>
      </c>
      <c r="O20" s="98"/>
      <c r="P20" s="38">
        <f>P11*4</f>
        <v>0</v>
      </c>
      <c r="Q20" s="98"/>
    </row>
    <row r="21" spans="2:17" ht="11.25" customHeight="1" thickBot="1" x14ac:dyDescent="0.35">
      <c r="B21" s="79"/>
      <c r="C21" s="79"/>
      <c r="D21" s="278"/>
      <c r="E21" s="278"/>
      <c r="F21" s="278"/>
      <c r="G21" s="278"/>
      <c r="H21" s="278"/>
      <c r="I21" s="278"/>
      <c r="J21" s="278"/>
      <c r="K21" s="278"/>
      <c r="L21" s="277"/>
      <c r="N21" s="95"/>
      <c r="O21" s="7"/>
      <c r="P21" s="7"/>
      <c r="Q21" s="7"/>
    </row>
    <row r="22" spans="2:17" ht="41.25" customHeight="1" thickBot="1" x14ac:dyDescent="0.45">
      <c r="B22" s="399" t="s">
        <v>414</v>
      </c>
      <c r="C22" s="400"/>
      <c r="D22" s="275">
        <v>0</v>
      </c>
      <c r="E22" s="279"/>
      <c r="F22" s="279"/>
      <c r="G22" s="279"/>
      <c r="H22" s="279"/>
      <c r="I22" s="279"/>
      <c r="J22" s="279"/>
      <c r="K22" s="279"/>
      <c r="L22" s="235">
        <f>D22</f>
        <v>0</v>
      </c>
      <c r="M22" s="100"/>
      <c r="N22" s="101"/>
      <c r="O22" s="202">
        <f>(SUMPRODUCT(D11:K11,D15:K15)+SUMPRODUCT(D11:K11,D20:K20))-('Year 7 Payments'!$L$20*VLOOKUP($B$4,Data!$D$6:$E$331,2)*G11)</f>
        <v>-210748.21523555554</v>
      </c>
      <c r="P22" s="296">
        <f>VLOOKUP($B$4,Data!$D$6:$E$331,2)</f>
        <v>34445.888888888891</v>
      </c>
      <c r="Q22" s="7"/>
    </row>
    <row r="23" spans="2:17" ht="27" customHeight="1" x14ac:dyDescent="0.4">
      <c r="B23" s="103"/>
      <c r="C23" s="104"/>
      <c r="D23" s="105"/>
      <c r="E23" s="105"/>
      <c r="F23" s="105"/>
      <c r="G23" s="105"/>
      <c r="H23" s="105"/>
      <c r="I23" s="105"/>
      <c r="J23" s="105"/>
      <c r="K23" s="105"/>
      <c r="L23" s="106"/>
      <c r="M23" s="107"/>
      <c r="N23" s="108">
        <f>(VLOOKUP($B$4,Data!$D$4:$BJ$359,Data!$BH$1,0))</f>
        <v>0</v>
      </c>
      <c r="O23" s="102">
        <f>SUMPRODUCT(D11:K11,D15:K15)+SUMPRODUCT(D11:K11,D20:K20)</f>
        <v>0</v>
      </c>
      <c r="P23" s="108">
        <f>(VLOOKUP($B$4,Data!$D$4:$BJ$359,Data!$BI$1,0))</f>
        <v>0</v>
      </c>
      <c r="Q23" s="109"/>
    </row>
    <row r="24" spans="2:17" ht="18.75" customHeight="1" x14ac:dyDescent="0.35">
      <c r="B24" s="7"/>
      <c r="C24" s="104"/>
      <c r="D24" s="110"/>
      <c r="E24" s="105"/>
      <c r="F24" s="105"/>
      <c r="G24" s="105"/>
      <c r="H24" s="105"/>
      <c r="I24" s="105"/>
      <c r="J24" s="105"/>
      <c r="K24" s="105"/>
      <c r="L24" s="106"/>
      <c r="M24" s="107"/>
      <c r="N24" s="111"/>
      <c r="O24" s="111"/>
      <c r="P24" s="111"/>
      <c r="Q24" s="109"/>
    </row>
    <row r="25" spans="2:17" ht="18.75" x14ac:dyDescent="0.3">
      <c r="B25" s="46" t="s">
        <v>415</v>
      </c>
    </row>
    <row r="26" spans="2:17" ht="36" customHeight="1" x14ac:dyDescent="0.25">
      <c r="B26" s="380" t="s">
        <v>897</v>
      </c>
      <c r="C26" s="380"/>
      <c r="D26" s="380"/>
      <c r="E26" s="380"/>
      <c r="F26" s="380"/>
      <c r="G26" s="380"/>
      <c r="H26" s="380"/>
      <c r="I26" s="380"/>
      <c r="J26" s="380"/>
      <c r="K26" s="380"/>
      <c r="L26" s="380"/>
      <c r="M26" s="380"/>
      <c r="N26" s="380"/>
      <c r="O26" s="380"/>
      <c r="Q26" s="48"/>
    </row>
    <row r="27" spans="2:17" ht="15.75" x14ac:dyDescent="0.25">
      <c r="B27" s="387" t="s">
        <v>834</v>
      </c>
      <c r="C27" s="388"/>
      <c r="D27" s="388"/>
      <c r="E27" s="388"/>
      <c r="F27" s="388"/>
      <c r="G27" s="388"/>
      <c r="H27" s="388"/>
      <c r="I27" s="388"/>
      <c r="J27" s="388"/>
      <c r="K27" s="388"/>
      <c r="L27" s="388"/>
      <c r="M27" s="388"/>
      <c r="N27" s="388"/>
      <c r="O27" s="388"/>
    </row>
    <row r="28" spans="2:17" ht="20.25" customHeight="1" x14ac:dyDescent="0.25">
      <c r="B28" s="373" t="s">
        <v>844</v>
      </c>
      <c r="C28" s="389"/>
      <c r="D28" s="389"/>
      <c r="E28" s="389"/>
      <c r="F28" s="389"/>
      <c r="G28" s="389"/>
      <c r="H28" s="389"/>
      <c r="I28" s="389"/>
      <c r="J28" s="389"/>
      <c r="K28" s="389"/>
      <c r="L28" s="389"/>
      <c r="M28" s="389"/>
      <c r="N28" s="389"/>
      <c r="O28" s="389"/>
    </row>
    <row r="29" spans="2:17" ht="36" customHeight="1" x14ac:dyDescent="0.25">
      <c r="B29" s="373" t="s">
        <v>843</v>
      </c>
      <c r="C29" s="373"/>
      <c r="D29" s="373"/>
      <c r="E29" s="373"/>
      <c r="F29" s="373"/>
      <c r="G29" s="373"/>
      <c r="H29" s="373"/>
      <c r="I29" s="373"/>
      <c r="J29" s="373"/>
      <c r="K29" s="373"/>
      <c r="L29" s="373"/>
      <c r="M29" s="373"/>
      <c r="N29" s="373"/>
      <c r="O29" s="373"/>
    </row>
    <row r="30" spans="2:17" ht="24.75" customHeight="1" x14ac:dyDescent="0.4">
      <c r="B30" s="373" t="s">
        <v>416</v>
      </c>
      <c r="C30" s="390"/>
      <c r="D30" s="390"/>
      <c r="E30" s="390"/>
      <c r="F30" s="390"/>
      <c r="G30" s="390"/>
      <c r="H30" s="390"/>
      <c r="I30" s="390"/>
      <c r="J30" s="390"/>
      <c r="K30" s="390"/>
      <c r="L30" s="390"/>
      <c r="M30" s="390"/>
      <c r="N30" s="390"/>
      <c r="O30" s="390"/>
      <c r="P30" s="112"/>
      <c r="Q30" s="7"/>
    </row>
    <row r="31" spans="2:17" ht="15.75" customHeight="1" x14ac:dyDescent="0.25">
      <c r="B31" s="390" t="s">
        <v>417</v>
      </c>
      <c r="C31" s="390"/>
      <c r="D31" s="390"/>
      <c r="E31" s="390"/>
      <c r="F31" s="390"/>
      <c r="G31" s="390"/>
      <c r="H31" s="390"/>
      <c r="I31" s="390"/>
      <c r="J31" s="390"/>
      <c r="K31" s="390"/>
      <c r="L31" s="390"/>
      <c r="M31" s="390"/>
      <c r="N31" s="390"/>
      <c r="O31" s="390"/>
      <c r="P31" s="7"/>
      <c r="Q31" s="7"/>
    </row>
    <row r="32" spans="2:17" ht="16.5" customHeight="1" x14ac:dyDescent="0.35">
      <c r="B32" s="113"/>
      <c r="N32" s="76"/>
      <c r="O32" s="76"/>
      <c r="P32" s="76"/>
      <c r="Q32" s="76"/>
    </row>
    <row r="33" spans="2:13" ht="13.5" customHeight="1" x14ac:dyDescent="0.25">
      <c r="B33" s="113"/>
    </row>
    <row r="34" spans="2:13" ht="15" customHeight="1" x14ac:dyDescent="0.25">
      <c r="B34" s="113"/>
    </row>
    <row r="35" spans="2:13" ht="33.75" customHeight="1" x14ac:dyDescent="0.25">
      <c r="B35" s="114"/>
      <c r="C35" s="114"/>
      <c r="D35" s="114"/>
      <c r="E35" s="114"/>
      <c r="F35" s="114"/>
      <c r="G35" s="114"/>
      <c r="H35" s="114"/>
      <c r="I35" s="114"/>
      <c r="J35" s="114"/>
      <c r="K35" s="114"/>
      <c r="L35" s="114"/>
      <c r="M35" s="114"/>
    </row>
    <row r="36" spans="2:13" ht="15.75" x14ac:dyDescent="0.25">
      <c r="B36" s="113"/>
    </row>
    <row r="40" spans="2:13" ht="13.5" customHeight="1" x14ac:dyDescent="0.2"/>
    <row r="43" spans="2:13" ht="9.75" customHeight="1" x14ac:dyDescent="0.2"/>
    <row r="45" spans="2:13" hidden="1" x14ac:dyDescent="0.2"/>
    <row r="46" spans="2:13" hidden="1" x14ac:dyDescent="0.2">
      <c r="C46" s="51" t="s">
        <v>33</v>
      </c>
      <c r="D46" s="7"/>
      <c r="E46" s="7"/>
      <c r="F46" s="7"/>
    </row>
    <row r="47" spans="2:13" hidden="1" x14ac:dyDescent="0.2">
      <c r="C47" s="1" t="s">
        <v>418</v>
      </c>
      <c r="D47" s="7"/>
      <c r="E47" s="7"/>
      <c r="F47" s="7"/>
    </row>
    <row r="48" spans="2:13" hidden="1" x14ac:dyDescent="0.2">
      <c r="C48" s="80" t="s">
        <v>35</v>
      </c>
      <c r="D48" s="7"/>
      <c r="E48" s="54"/>
      <c r="F48" s="54"/>
    </row>
    <row r="49" spans="3:6" hidden="1" x14ac:dyDescent="0.2">
      <c r="C49" s="80" t="s">
        <v>36</v>
      </c>
      <c r="D49" s="7"/>
      <c r="E49" s="54"/>
      <c r="F49" s="7"/>
    </row>
    <row r="50" spans="3:6" hidden="1" x14ac:dyDescent="0.2">
      <c r="C50" s="80" t="s">
        <v>37</v>
      </c>
      <c r="D50" s="7"/>
      <c r="E50" s="54"/>
      <c r="F50" s="7"/>
    </row>
    <row r="51" spans="3:6" hidden="1" x14ac:dyDescent="0.2">
      <c r="C51" s="80" t="s">
        <v>38</v>
      </c>
      <c r="D51" s="7"/>
      <c r="E51" s="54"/>
      <c r="F51" s="7"/>
    </row>
    <row r="52" spans="3:6" hidden="1" x14ac:dyDescent="0.2">
      <c r="C52" s="80" t="s">
        <v>3</v>
      </c>
      <c r="D52" s="7"/>
      <c r="E52" s="54"/>
      <c r="F52" s="7"/>
    </row>
    <row r="53" spans="3:6" hidden="1" x14ac:dyDescent="0.2">
      <c r="C53" s="80" t="s">
        <v>39</v>
      </c>
      <c r="D53" s="7"/>
      <c r="E53" s="54"/>
      <c r="F53" s="7"/>
    </row>
    <row r="54" spans="3:6" hidden="1" x14ac:dyDescent="0.2">
      <c r="C54" s="80" t="s">
        <v>40</v>
      </c>
      <c r="D54" s="7"/>
      <c r="E54" s="54"/>
      <c r="F54" s="7"/>
    </row>
    <row r="55" spans="3:6" hidden="1" x14ac:dyDescent="0.2">
      <c r="C55" s="81" t="s">
        <v>41</v>
      </c>
      <c r="D55" s="7"/>
      <c r="E55" s="54"/>
      <c r="F55" s="7"/>
    </row>
    <row r="56" spans="3:6" hidden="1" x14ac:dyDescent="0.2">
      <c r="C56" s="80" t="s">
        <v>42</v>
      </c>
      <c r="D56" s="7"/>
      <c r="E56" s="54"/>
      <c r="F56" s="7"/>
    </row>
    <row r="57" spans="3:6" hidden="1" x14ac:dyDescent="0.2">
      <c r="C57" s="80" t="s">
        <v>43</v>
      </c>
      <c r="D57" s="7"/>
      <c r="E57" s="54"/>
      <c r="F57" s="7"/>
    </row>
    <row r="58" spans="3:6" hidden="1" x14ac:dyDescent="0.2">
      <c r="C58" s="80" t="s">
        <v>44</v>
      </c>
      <c r="D58" s="7"/>
    </row>
    <row r="59" spans="3:6" hidden="1" x14ac:dyDescent="0.2">
      <c r="C59" s="80" t="s">
        <v>45</v>
      </c>
      <c r="D59" s="7"/>
    </row>
    <row r="60" spans="3:6" hidden="1" x14ac:dyDescent="0.2">
      <c r="C60" s="80" t="s">
        <v>46</v>
      </c>
      <c r="D60" s="7"/>
    </row>
    <row r="61" spans="3:6" hidden="1" x14ac:dyDescent="0.2">
      <c r="C61" s="80" t="s">
        <v>47</v>
      </c>
      <c r="D61" s="7"/>
    </row>
    <row r="62" spans="3:6" hidden="1" x14ac:dyDescent="0.2">
      <c r="C62" s="80" t="s">
        <v>48</v>
      </c>
      <c r="D62" s="7"/>
    </row>
    <row r="63" spans="3:6" hidden="1" x14ac:dyDescent="0.2">
      <c r="C63" s="80" t="s">
        <v>49</v>
      </c>
      <c r="D63" s="7"/>
    </row>
    <row r="64" spans="3:6" hidden="1" x14ac:dyDescent="0.2">
      <c r="C64" s="80" t="s">
        <v>50</v>
      </c>
      <c r="D64" s="7"/>
    </row>
    <row r="65" spans="3:4" hidden="1" x14ac:dyDescent="0.2">
      <c r="C65" s="80" t="s">
        <v>51</v>
      </c>
      <c r="D65" s="7"/>
    </row>
    <row r="66" spans="3:4" hidden="1" x14ac:dyDescent="0.2">
      <c r="C66" s="80" t="s">
        <v>52</v>
      </c>
      <c r="D66" s="7"/>
    </row>
    <row r="67" spans="3:4" hidden="1" x14ac:dyDescent="0.2">
      <c r="C67" s="80" t="s">
        <v>53</v>
      </c>
      <c r="D67" s="7"/>
    </row>
    <row r="68" spans="3:4" hidden="1" x14ac:dyDescent="0.2">
      <c r="C68" s="80" t="s">
        <v>54</v>
      </c>
      <c r="D68" s="7"/>
    </row>
    <row r="69" spans="3:4" hidden="1" x14ac:dyDescent="0.2">
      <c r="C69" s="80" t="s">
        <v>55</v>
      </c>
      <c r="D69" s="7"/>
    </row>
    <row r="70" spans="3:4" hidden="1" x14ac:dyDescent="0.2">
      <c r="C70" s="80" t="s">
        <v>56</v>
      </c>
      <c r="D70" s="7"/>
    </row>
    <row r="71" spans="3:4" hidden="1" x14ac:dyDescent="0.2">
      <c r="C71" s="80" t="s">
        <v>57</v>
      </c>
      <c r="D71" s="7"/>
    </row>
    <row r="72" spans="3:4" hidden="1" x14ac:dyDescent="0.2">
      <c r="C72" s="80" t="s">
        <v>58</v>
      </c>
      <c r="D72" s="7"/>
    </row>
    <row r="73" spans="3:4" hidden="1" x14ac:dyDescent="0.2">
      <c r="C73" s="80" t="s">
        <v>59</v>
      </c>
      <c r="D73" s="7"/>
    </row>
    <row r="74" spans="3:4" hidden="1" x14ac:dyDescent="0.2">
      <c r="C74" s="80" t="s">
        <v>60</v>
      </c>
      <c r="D74" s="7"/>
    </row>
    <row r="75" spans="3:4" hidden="1" x14ac:dyDescent="0.2">
      <c r="C75" s="80" t="s">
        <v>61</v>
      </c>
      <c r="D75" s="7"/>
    </row>
    <row r="76" spans="3:4" hidden="1" x14ac:dyDescent="0.2">
      <c r="C76" s="80" t="s">
        <v>62</v>
      </c>
      <c r="D76" s="7"/>
    </row>
    <row r="77" spans="3:4" hidden="1" x14ac:dyDescent="0.2">
      <c r="C77" s="80" t="s">
        <v>63</v>
      </c>
      <c r="D77" s="7"/>
    </row>
    <row r="78" spans="3:4" hidden="1" x14ac:dyDescent="0.2">
      <c r="C78" s="80" t="s">
        <v>64</v>
      </c>
      <c r="D78" s="7"/>
    </row>
    <row r="79" spans="3:4" hidden="1" x14ac:dyDescent="0.2">
      <c r="C79" s="80" t="s">
        <v>65</v>
      </c>
      <c r="D79" s="7"/>
    </row>
    <row r="80" spans="3:4" hidden="1" x14ac:dyDescent="0.2">
      <c r="C80" s="80" t="s">
        <v>66</v>
      </c>
      <c r="D80" s="7"/>
    </row>
    <row r="81" spans="3:4" hidden="1" x14ac:dyDescent="0.2">
      <c r="C81" s="80" t="s">
        <v>67</v>
      </c>
      <c r="D81" s="7"/>
    </row>
    <row r="82" spans="3:4" hidden="1" x14ac:dyDescent="0.2">
      <c r="C82" s="80" t="s">
        <v>68</v>
      </c>
      <c r="D82" s="7"/>
    </row>
    <row r="83" spans="3:4" hidden="1" x14ac:dyDescent="0.2">
      <c r="C83" s="80" t="s">
        <v>69</v>
      </c>
      <c r="D83" s="7"/>
    </row>
    <row r="84" spans="3:4" hidden="1" x14ac:dyDescent="0.2">
      <c r="C84" s="80" t="s">
        <v>70</v>
      </c>
      <c r="D84" s="7"/>
    </row>
    <row r="85" spans="3:4" hidden="1" x14ac:dyDescent="0.2">
      <c r="C85" s="80" t="s">
        <v>71</v>
      </c>
      <c r="D85" s="7"/>
    </row>
    <row r="86" spans="3:4" hidden="1" x14ac:dyDescent="0.2">
      <c r="C86" s="80" t="s">
        <v>72</v>
      </c>
      <c r="D86" s="7"/>
    </row>
    <row r="87" spans="3:4" hidden="1" x14ac:dyDescent="0.2">
      <c r="C87" s="80" t="s">
        <v>73</v>
      </c>
      <c r="D87" s="7"/>
    </row>
    <row r="88" spans="3:4" hidden="1" x14ac:dyDescent="0.2">
      <c r="C88" s="80" t="s">
        <v>74</v>
      </c>
      <c r="D88" s="7"/>
    </row>
    <row r="89" spans="3:4" hidden="1" x14ac:dyDescent="0.2">
      <c r="C89" s="80" t="s">
        <v>75</v>
      </c>
      <c r="D89" s="7"/>
    </row>
    <row r="90" spans="3:4" hidden="1" x14ac:dyDescent="0.2">
      <c r="C90" s="80" t="s">
        <v>76</v>
      </c>
      <c r="D90" s="7"/>
    </row>
    <row r="91" spans="3:4" hidden="1" x14ac:dyDescent="0.2">
      <c r="C91" s="80" t="s">
        <v>77</v>
      </c>
      <c r="D91" s="7"/>
    </row>
    <row r="92" spans="3:4" hidden="1" x14ac:dyDescent="0.2">
      <c r="C92" s="80" t="s">
        <v>78</v>
      </c>
      <c r="D92" s="7"/>
    </row>
    <row r="93" spans="3:4" hidden="1" x14ac:dyDescent="0.2">
      <c r="C93" s="80" t="s">
        <v>79</v>
      </c>
      <c r="D93" s="7"/>
    </row>
    <row r="94" spans="3:4" hidden="1" x14ac:dyDescent="0.2">
      <c r="C94" s="80" t="s">
        <v>80</v>
      </c>
      <c r="D94" s="7"/>
    </row>
    <row r="95" spans="3:4" hidden="1" x14ac:dyDescent="0.2">
      <c r="C95" s="80" t="s">
        <v>81</v>
      </c>
      <c r="D95" s="7"/>
    </row>
    <row r="96" spans="3:4" hidden="1" x14ac:dyDescent="0.2">
      <c r="C96" s="80" t="s">
        <v>82</v>
      </c>
      <c r="D96" s="7"/>
    </row>
    <row r="97" spans="3:4" hidden="1" x14ac:dyDescent="0.2">
      <c r="C97" s="80" t="s">
        <v>83</v>
      </c>
      <c r="D97" s="7"/>
    </row>
    <row r="98" spans="3:4" hidden="1" x14ac:dyDescent="0.2">
      <c r="C98" s="80" t="s">
        <v>84</v>
      </c>
      <c r="D98" s="7"/>
    </row>
    <row r="99" spans="3:4" hidden="1" x14ac:dyDescent="0.2">
      <c r="C99" s="80" t="s">
        <v>85</v>
      </c>
      <c r="D99" s="7"/>
    </row>
    <row r="100" spans="3:4" hidden="1" x14ac:dyDescent="0.2">
      <c r="C100" s="80" t="s">
        <v>86</v>
      </c>
      <c r="D100" s="7"/>
    </row>
    <row r="101" spans="3:4" hidden="1" x14ac:dyDescent="0.2">
      <c r="C101" s="80" t="s">
        <v>87</v>
      </c>
      <c r="D101" s="7"/>
    </row>
    <row r="102" spans="3:4" hidden="1" x14ac:dyDescent="0.2">
      <c r="C102" s="80" t="s">
        <v>88</v>
      </c>
      <c r="D102" s="7"/>
    </row>
    <row r="103" spans="3:4" hidden="1" x14ac:dyDescent="0.2">
      <c r="C103" s="80" t="s">
        <v>89</v>
      </c>
      <c r="D103" s="7"/>
    </row>
    <row r="104" spans="3:4" hidden="1" x14ac:dyDescent="0.2">
      <c r="C104" s="80" t="s">
        <v>90</v>
      </c>
      <c r="D104" s="7"/>
    </row>
    <row r="105" spans="3:4" hidden="1" x14ac:dyDescent="0.2">
      <c r="C105" s="80" t="s">
        <v>91</v>
      </c>
      <c r="D105" s="7"/>
    </row>
    <row r="106" spans="3:4" hidden="1" x14ac:dyDescent="0.2">
      <c r="C106" s="80" t="s">
        <v>92</v>
      </c>
      <c r="D106" s="7"/>
    </row>
    <row r="107" spans="3:4" hidden="1" x14ac:dyDescent="0.2">
      <c r="C107" s="80" t="s">
        <v>93</v>
      </c>
      <c r="D107" s="7"/>
    </row>
    <row r="108" spans="3:4" hidden="1" x14ac:dyDescent="0.2">
      <c r="C108" s="80" t="s">
        <v>94</v>
      </c>
      <c r="D108" s="7"/>
    </row>
    <row r="109" spans="3:4" hidden="1" x14ac:dyDescent="0.2">
      <c r="C109" s="80" t="s">
        <v>95</v>
      </c>
      <c r="D109" s="7"/>
    </row>
    <row r="110" spans="3:4" hidden="1" x14ac:dyDescent="0.2">
      <c r="C110" s="80" t="s">
        <v>96</v>
      </c>
      <c r="D110" s="7"/>
    </row>
    <row r="111" spans="3:4" hidden="1" x14ac:dyDescent="0.2">
      <c r="C111" s="80" t="s">
        <v>97</v>
      </c>
      <c r="D111" s="7"/>
    </row>
    <row r="112" spans="3:4" hidden="1" x14ac:dyDescent="0.2">
      <c r="C112" s="80" t="s">
        <v>98</v>
      </c>
      <c r="D112" s="7"/>
    </row>
    <row r="113" spans="3:4" hidden="1" x14ac:dyDescent="0.2">
      <c r="C113" s="80" t="s">
        <v>99</v>
      </c>
      <c r="D113" s="7"/>
    </row>
    <row r="114" spans="3:4" hidden="1" x14ac:dyDescent="0.2">
      <c r="C114" s="80" t="s">
        <v>100</v>
      </c>
      <c r="D114" s="7"/>
    </row>
    <row r="115" spans="3:4" hidden="1" x14ac:dyDescent="0.2">
      <c r="C115" s="80" t="s">
        <v>101</v>
      </c>
      <c r="D115" s="7"/>
    </row>
    <row r="116" spans="3:4" hidden="1" x14ac:dyDescent="0.2">
      <c r="C116" s="80" t="s">
        <v>102</v>
      </c>
      <c r="D116" s="7"/>
    </row>
    <row r="117" spans="3:4" hidden="1" x14ac:dyDescent="0.2">
      <c r="C117" s="80" t="s">
        <v>103</v>
      </c>
      <c r="D117" s="7"/>
    </row>
    <row r="118" spans="3:4" hidden="1" x14ac:dyDescent="0.2">
      <c r="C118" s="80" t="s">
        <v>104</v>
      </c>
      <c r="D118" s="7"/>
    </row>
    <row r="119" spans="3:4" hidden="1" x14ac:dyDescent="0.2">
      <c r="C119" s="80" t="s">
        <v>105</v>
      </c>
      <c r="D119" s="7"/>
    </row>
    <row r="120" spans="3:4" hidden="1" x14ac:dyDescent="0.2">
      <c r="C120" s="80" t="s">
        <v>106</v>
      </c>
      <c r="D120" s="7"/>
    </row>
    <row r="121" spans="3:4" hidden="1" x14ac:dyDescent="0.2">
      <c r="C121" s="80" t="s">
        <v>107</v>
      </c>
      <c r="D121" s="7"/>
    </row>
    <row r="122" spans="3:4" hidden="1" x14ac:dyDescent="0.2">
      <c r="C122" s="80" t="s">
        <v>108</v>
      </c>
      <c r="D122" s="7"/>
    </row>
    <row r="123" spans="3:4" hidden="1" x14ac:dyDescent="0.2">
      <c r="C123" s="80" t="s">
        <v>109</v>
      </c>
      <c r="D123" s="7"/>
    </row>
    <row r="124" spans="3:4" hidden="1" x14ac:dyDescent="0.2">
      <c r="C124" s="80" t="s">
        <v>110</v>
      </c>
      <c r="D124" s="7"/>
    </row>
    <row r="125" spans="3:4" hidden="1" x14ac:dyDescent="0.2">
      <c r="C125" s="80" t="s">
        <v>111</v>
      </c>
      <c r="D125" s="7"/>
    </row>
    <row r="126" spans="3:4" hidden="1" x14ac:dyDescent="0.2">
      <c r="C126" s="80" t="s">
        <v>112</v>
      </c>
      <c r="D126" s="7"/>
    </row>
    <row r="127" spans="3:4" hidden="1" x14ac:dyDescent="0.2">
      <c r="C127" s="80" t="s">
        <v>113</v>
      </c>
      <c r="D127" s="7"/>
    </row>
    <row r="128" spans="3:4" hidden="1" x14ac:dyDescent="0.2">
      <c r="C128" s="80" t="s">
        <v>114</v>
      </c>
      <c r="D128" s="7"/>
    </row>
    <row r="129" spans="3:4" hidden="1" x14ac:dyDescent="0.2">
      <c r="C129" s="80" t="s">
        <v>115</v>
      </c>
      <c r="D129" s="7"/>
    </row>
    <row r="130" spans="3:4" hidden="1" x14ac:dyDescent="0.2">
      <c r="C130" s="80" t="s">
        <v>116</v>
      </c>
      <c r="D130" s="7"/>
    </row>
    <row r="131" spans="3:4" hidden="1" x14ac:dyDescent="0.2">
      <c r="C131" s="80" t="s">
        <v>117</v>
      </c>
      <c r="D131" s="7"/>
    </row>
    <row r="132" spans="3:4" hidden="1" x14ac:dyDescent="0.2">
      <c r="C132" s="80" t="s">
        <v>118</v>
      </c>
      <c r="D132" s="7"/>
    </row>
    <row r="133" spans="3:4" hidden="1" x14ac:dyDescent="0.2">
      <c r="C133" s="80" t="s">
        <v>119</v>
      </c>
      <c r="D133" s="7"/>
    </row>
    <row r="134" spans="3:4" hidden="1" x14ac:dyDescent="0.2">
      <c r="C134" s="80" t="s">
        <v>120</v>
      </c>
      <c r="D134" s="7"/>
    </row>
    <row r="135" spans="3:4" hidden="1" x14ac:dyDescent="0.2">
      <c r="C135" s="80" t="s">
        <v>121</v>
      </c>
      <c r="D135" s="7"/>
    </row>
    <row r="136" spans="3:4" hidden="1" x14ac:dyDescent="0.2">
      <c r="C136" s="80" t="s">
        <v>122</v>
      </c>
      <c r="D136" s="7"/>
    </row>
    <row r="137" spans="3:4" hidden="1" x14ac:dyDescent="0.2">
      <c r="C137" s="80" t="s">
        <v>123</v>
      </c>
      <c r="D137" s="7"/>
    </row>
    <row r="138" spans="3:4" hidden="1" x14ac:dyDescent="0.2">
      <c r="C138" s="80" t="s">
        <v>124</v>
      </c>
      <c r="D138" s="7"/>
    </row>
    <row r="139" spans="3:4" hidden="1" x14ac:dyDescent="0.2">
      <c r="C139" s="80" t="s">
        <v>125</v>
      </c>
      <c r="D139" s="7"/>
    </row>
    <row r="140" spans="3:4" hidden="1" x14ac:dyDescent="0.2">
      <c r="C140" s="80" t="s">
        <v>126</v>
      </c>
      <c r="D140" s="7"/>
    </row>
    <row r="141" spans="3:4" hidden="1" x14ac:dyDescent="0.2">
      <c r="C141" s="80" t="s">
        <v>127</v>
      </c>
      <c r="D141" s="7"/>
    </row>
    <row r="142" spans="3:4" hidden="1" x14ac:dyDescent="0.2">
      <c r="C142" s="80" t="s">
        <v>128</v>
      </c>
      <c r="D142" s="7"/>
    </row>
    <row r="143" spans="3:4" hidden="1" x14ac:dyDescent="0.2">
      <c r="C143" s="80" t="s">
        <v>129</v>
      </c>
      <c r="D143" s="7"/>
    </row>
    <row r="144" spans="3:4" hidden="1" x14ac:dyDescent="0.2">
      <c r="C144" s="80" t="s">
        <v>130</v>
      </c>
      <c r="D144" s="7"/>
    </row>
    <row r="145" spans="3:4" hidden="1" x14ac:dyDescent="0.2">
      <c r="C145" s="80" t="s">
        <v>131</v>
      </c>
      <c r="D145" s="7"/>
    </row>
    <row r="146" spans="3:4" hidden="1" x14ac:dyDescent="0.2">
      <c r="C146" s="80" t="s">
        <v>132</v>
      </c>
      <c r="D146" s="7"/>
    </row>
    <row r="147" spans="3:4" hidden="1" x14ac:dyDescent="0.2">
      <c r="C147" s="80" t="s">
        <v>133</v>
      </c>
      <c r="D147" s="7"/>
    </row>
    <row r="148" spans="3:4" hidden="1" x14ac:dyDescent="0.2">
      <c r="C148" s="80" t="s">
        <v>134</v>
      </c>
      <c r="D148" s="7"/>
    </row>
    <row r="149" spans="3:4" hidden="1" x14ac:dyDescent="0.2">
      <c r="C149" s="80" t="s">
        <v>135</v>
      </c>
      <c r="D149" s="7"/>
    </row>
    <row r="150" spans="3:4" hidden="1" x14ac:dyDescent="0.2">
      <c r="C150" s="80" t="s">
        <v>136</v>
      </c>
      <c r="D150" s="7"/>
    </row>
    <row r="151" spans="3:4" hidden="1" x14ac:dyDescent="0.2">
      <c r="C151" s="80" t="s">
        <v>137</v>
      </c>
      <c r="D151" s="7"/>
    </row>
    <row r="152" spans="3:4" hidden="1" x14ac:dyDescent="0.2">
      <c r="C152" s="80" t="s">
        <v>138</v>
      </c>
      <c r="D152" s="7"/>
    </row>
    <row r="153" spans="3:4" hidden="1" x14ac:dyDescent="0.2">
      <c r="C153" s="80" t="s">
        <v>139</v>
      </c>
      <c r="D153" s="7"/>
    </row>
    <row r="154" spans="3:4" hidden="1" x14ac:dyDescent="0.2">
      <c r="C154" s="80" t="s">
        <v>140</v>
      </c>
      <c r="D154" s="7"/>
    </row>
    <row r="155" spans="3:4" hidden="1" x14ac:dyDescent="0.2">
      <c r="C155" s="80" t="s">
        <v>141</v>
      </c>
      <c r="D155" s="7"/>
    </row>
    <row r="156" spans="3:4" hidden="1" x14ac:dyDescent="0.2">
      <c r="C156" s="80" t="s">
        <v>142</v>
      </c>
      <c r="D156" s="7"/>
    </row>
    <row r="157" spans="3:4" hidden="1" x14ac:dyDescent="0.2">
      <c r="C157" s="80" t="s">
        <v>143</v>
      </c>
      <c r="D157" s="7"/>
    </row>
    <row r="158" spans="3:4" hidden="1" x14ac:dyDescent="0.2">
      <c r="C158" s="80" t="s">
        <v>144</v>
      </c>
      <c r="D158" s="7"/>
    </row>
    <row r="159" spans="3:4" hidden="1" x14ac:dyDescent="0.2">
      <c r="C159" s="80" t="s">
        <v>145</v>
      </c>
      <c r="D159" s="7"/>
    </row>
    <row r="160" spans="3:4" hidden="1" x14ac:dyDescent="0.2">
      <c r="C160" s="80" t="s">
        <v>146</v>
      </c>
      <c r="D160" s="7"/>
    </row>
    <row r="161" spans="3:4" hidden="1" x14ac:dyDescent="0.2">
      <c r="C161" s="80" t="s">
        <v>147</v>
      </c>
      <c r="D161" s="7"/>
    </row>
    <row r="162" spans="3:4" hidden="1" x14ac:dyDescent="0.2">
      <c r="C162" s="80" t="s">
        <v>148</v>
      </c>
      <c r="D162" s="7"/>
    </row>
    <row r="163" spans="3:4" hidden="1" x14ac:dyDescent="0.2">
      <c r="C163" s="80" t="s">
        <v>149</v>
      </c>
      <c r="D163" s="7"/>
    </row>
    <row r="164" spans="3:4" hidden="1" x14ac:dyDescent="0.2">
      <c r="C164" s="80" t="s">
        <v>150</v>
      </c>
      <c r="D164" s="7"/>
    </row>
    <row r="165" spans="3:4" hidden="1" x14ac:dyDescent="0.2">
      <c r="C165" s="80" t="s">
        <v>151</v>
      </c>
      <c r="D165" s="7"/>
    </row>
    <row r="166" spans="3:4" hidden="1" x14ac:dyDescent="0.2">
      <c r="C166" s="80" t="s">
        <v>152</v>
      </c>
      <c r="D166" s="7"/>
    </row>
    <row r="167" spans="3:4" hidden="1" x14ac:dyDescent="0.2">
      <c r="C167" s="80" t="s">
        <v>153</v>
      </c>
      <c r="D167" s="7"/>
    </row>
    <row r="168" spans="3:4" hidden="1" x14ac:dyDescent="0.2">
      <c r="C168" s="80" t="s">
        <v>154</v>
      </c>
      <c r="D168" s="7"/>
    </row>
    <row r="169" spans="3:4" hidden="1" x14ac:dyDescent="0.2">
      <c r="C169" s="80" t="s">
        <v>155</v>
      </c>
      <c r="D169" s="7"/>
    </row>
    <row r="170" spans="3:4" hidden="1" x14ac:dyDescent="0.2">
      <c r="C170" s="80" t="s">
        <v>156</v>
      </c>
      <c r="D170" s="7"/>
    </row>
    <row r="171" spans="3:4" hidden="1" x14ac:dyDescent="0.2">
      <c r="C171" s="80" t="s">
        <v>157</v>
      </c>
      <c r="D171" s="7"/>
    </row>
    <row r="172" spans="3:4" hidden="1" x14ac:dyDescent="0.2">
      <c r="C172" s="80" t="s">
        <v>158</v>
      </c>
      <c r="D172" s="7"/>
    </row>
    <row r="173" spans="3:4" hidden="1" x14ac:dyDescent="0.2">
      <c r="C173" s="80" t="s">
        <v>159</v>
      </c>
      <c r="D173" s="7"/>
    </row>
    <row r="174" spans="3:4" hidden="1" x14ac:dyDescent="0.2">
      <c r="C174" s="80" t="s">
        <v>160</v>
      </c>
      <c r="D174" s="7"/>
    </row>
    <row r="175" spans="3:4" hidden="1" x14ac:dyDescent="0.2">
      <c r="C175" s="80" t="s">
        <v>161</v>
      </c>
      <c r="D175" s="7"/>
    </row>
    <row r="176" spans="3:4" hidden="1" x14ac:dyDescent="0.2">
      <c r="C176" s="80" t="s">
        <v>162</v>
      </c>
      <c r="D176" s="7"/>
    </row>
    <row r="177" spans="3:4" hidden="1" x14ac:dyDescent="0.2">
      <c r="C177" s="80" t="s">
        <v>163</v>
      </c>
      <c r="D177" s="7"/>
    </row>
    <row r="178" spans="3:4" hidden="1" x14ac:dyDescent="0.2">
      <c r="C178" s="80" t="s">
        <v>164</v>
      </c>
      <c r="D178" s="7"/>
    </row>
    <row r="179" spans="3:4" hidden="1" x14ac:dyDescent="0.2">
      <c r="C179" s="80" t="s">
        <v>165</v>
      </c>
      <c r="D179" s="7"/>
    </row>
    <row r="180" spans="3:4" hidden="1" x14ac:dyDescent="0.2">
      <c r="C180" s="80" t="s">
        <v>166</v>
      </c>
      <c r="D180" s="7"/>
    </row>
    <row r="181" spans="3:4" hidden="1" x14ac:dyDescent="0.2">
      <c r="C181" s="80" t="s">
        <v>167</v>
      </c>
      <c r="D181" s="7"/>
    </row>
    <row r="182" spans="3:4" hidden="1" x14ac:dyDescent="0.2">
      <c r="C182" s="80" t="s">
        <v>168</v>
      </c>
      <c r="D182" s="7"/>
    </row>
    <row r="183" spans="3:4" hidden="1" x14ac:dyDescent="0.2">
      <c r="C183" s="80" t="s">
        <v>169</v>
      </c>
      <c r="D183" s="7"/>
    </row>
    <row r="184" spans="3:4" hidden="1" x14ac:dyDescent="0.2">
      <c r="C184" s="80" t="s">
        <v>170</v>
      </c>
      <c r="D184" s="7"/>
    </row>
    <row r="185" spans="3:4" hidden="1" x14ac:dyDescent="0.2">
      <c r="C185" s="80" t="s">
        <v>171</v>
      </c>
      <c r="D185" s="7"/>
    </row>
    <row r="186" spans="3:4" hidden="1" x14ac:dyDescent="0.2">
      <c r="C186" s="80" t="s">
        <v>172</v>
      </c>
      <c r="D186" s="7"/>
    </row>
    <row r="187" spans="3:4" hidden="1" x14ac:dyDescent="0.2">
      <c r="C187" s="80" t="s">
        <v>173</v>
      </c>
      <c r="D187" s="7"/>
    </row>
    <row r="188" spans="3:4" hidden="1" x14ac:dyDescent="0.2">
      <c r="C188" s="80" t="s">
        <v>174</v>
      </c>
      <c r="D188" s="7"/>
    </row>
    <row r="189" spans="3:4" hidden="1" x14ac:dyDescent="0.2">
      <c r="C189" s="80" t="s">
        <v>175</v>
      </c>
      <c r="D189" s="7"/>
    </row>
    <row r="190" spans="3:4" hidden="1" x14ac:dyDescent="0.2">
      <c r="C190" s="80" t="s">
        <v>176</v>
      </c>
      <c r="D190" s="7"/>
    </row>
    <row r="191" spans="3:4" hidden="1" x14ac:dyDescent="0.2">
      <c r="C191" s="80" t="s">
        <v>177</v>
      </c>
      <c r="D191" s="7"/>
    </row>
    <row r="192" spans="3:4" hidden="1" x14ac:dyDescent="0.2">
      <c r="C192" s="80" t="s">
        <v>178</v>
      </c>
      <c r="D192" s="7"/>
    </row>
    <row r="193" spans="3:4" hidden="1" x14ac:dyDescent="0.2">
      <c r="C193" s="80" t="s">
        <v>179</v>
      </c>
      <c r="D193" s="7"/>
    </row>
    <row r="194" spans="3:4" hidden="1" x14ac:dyDescent="0.2">
      <c r="C194" s="80" t="s">
        <v>180</v>
      </c>
      <c r="D194" s="7"/>
    </row>
    <row r="195" spans="3:4" hidden="1" x14ac:dyDescent="0.2">
      <c r="C195" s="80" t="s">
        <v>181</v>
      </c>
      <c r="D195" s="7"/>
    </row>
    <row r="196" spans="3:4" hidden="1" x14ac:dyDescent="0.2">
      <c r="C196" s="80" t="s">
        <v>182</v>
      </c>
      <c r="D196" s="7"/>
    </row>
    <row r="197" spans="3:4" hidden="1" x14ac:dyDescent="0.2">
      <c r="C197" s="80" t="s">
        <v>183</v>
      </c>
      <c r="D197" s="7"/>
    </row>
    <row r="198" spans="3:4" hidden="1" x14ac:dyDescent="0.2">
      <c r="C198" s="80" t="s">
        <v>184</v>
      </c>
      <c r="D198" s="7"/>
    </row>
    <row r="199" spans="3:4" hidden="1" x14ac:dyDescent="0.2">
      <c r="C199" s="80" t="s">
        <v>185</v>
      </c>
      <c r="D199" s="7"/>
    </row>
    <row r="200" spans="3:4" hidden="1" x14ac:dyDescent="0.2">
      <c r="C200" s="80" t="s">
        <v>186</v>
      </c>
      <c r="D200" s="7"/>
    </row>
    <row r="201" spans="3:4" hidden="1" x14ac:dyDescent="0.2">
      <c r="C201" s="80" t="s">
        <v>187</v>
      </c>
      <c r="D201" s="7"/>
    </row>
    <row r="202" spans="3:4" hidden="1" x14ac:dyDescent="0.2">
      <c r="C202" s="80" t="s">
        <v>188</v>
      </c>
      <c r="D202" s="7"/>
    </row>
    <row r="203" spans="3:4" hidden="1" x14ac:dyDescent="0.2">
      <c r="C203" s="80" t="s">
        <v>189</v>
      </c>
      <c r="D203" s="7"/>
    </row>
    <row r="204" spans="3:4" hidden="1" x14ac:dyDescent="0.2">
      <c r="C204" s="80" t="s">
        <v>190</v>
      </c>
      <c r="D204" s="7"/>
    </row>
    <row r="205" spans="3:4" hidden="1" x14ac:dyDescent="0.2">
      <c r="C205" s="80" t="s">
        <v>191</v>
      </c>
      <c r="D205" s="7"/>
    </row>
    <row r="206" spans="3:4" hidden="1" x14ac:dyDescent="0.2">
      <c r="C206" s="80" t="s">
        <v>192</v>
      </c>
      <c r="D206" s="7"/>
    </row>
    <row r="207" spans="3:4" hidden="1" x14ac:dyDescent="0.2">
      <c r="C207" s="80" t="s">
        <v>193</v>
      </c>
      <c r="D207" s="7"/>
    </row>
    <row r="208" spans="3:4" hidden="1" x14ac:dyDescent="0.2">
      <c r="C208" s="80" t="s">
        <v>194</v>
      </c>
      <c r="D208" s="7"/>
    </row>
    <row r="209" spans="3:4" hidden="1" x14ac:dyDescent="0.2">
      <c r="C209" s="80" t="s">
        <v>195</v>
      </c>
      <c r="D209" s="7"/>
    </row>
    <row r="210" spans="3:4" hidden="1" x14ac:dyDescent="0.2">
      <c r="C210" s="80" t="s">
        <v>196</v>
      </c>
      <c r="D210" s="7"/>
    </row>
    <row r="211" spans="3:4" hidden="1" x14ac:dyDescent="0.2">
      <c r="C211" s="80" t="s">
        <v>197</v>
      </c>
      <c r="D211" s="7"/>
    </row>
    <row r="212" spans="3:4" hidden="1" x14ac:dyDescent="0.2">
      <c r="C212" s="80" t="s">
        <v>198</v>
      </c>
      <c r="D212" s="7"/>
    </row>
    <row r="213" spans="3:4" hidden="1" x14ac:dyDescent="0.2">
      <c r="C213" s="80" t="s">
        <v>199</v>
      </c>
      <c r="D213" s="7"/>
    </row>
    <row r="214" spans="3:4" hidden="1" x14ac:dyDescent="0.2">
      <c r="C214" s="80" t="s">
        <v>200</v>
      </c>
      <c r="D214" s="7"/>
    </row>
    <row r="215" spans="3:4" hidden="1" x14ac:dyDescent="0.2">
      <c r="C215" s="80" t="s">
        <v>201</v>
      </c>
      <c r="D215" s="7"/>
    </row>
    <row r="216" spans="3:4" hidden="1" x14ac:dyDescent="0.2">
      <c r="C216" s="80" t="s">
        <v>202</v>
      </c>
      <c r="D216" s="7"/>
    </row>
    <row r="217" spans="3:4" hidden="1" x14ac:dyDescent="0.2">
      <c r="C217" s="80" t="s">
        <v>203</v>
      </c>
      <c r="D217" s="7"/>
    </row>
    <row r="218" spans="3:4" hidden="1" x14ac:dyDescent="0.2">
      <c r="C218" s="80" t="s">
        <v>204</v>
      </c>
      <c r="D218" s="7"/>
    </row>
    <row r="219" spans="3:4" hidden="1" x14ac:dyDescent="0.2">
      <c r="C219" s="80" t="s">
        <v>205</v>
      </c>
      <c r="D219" s="7"/>
    </row>
    <row r="220" spans="3:4" hidden="1" x14ac:dyDescent="0.2">
      <c r="C220" s="80" t="s">
        <v>206</v>
      </c>
      <c r="D220" s="7"/>
    </row>
    <row r="221" spans="3:4" hidden="1" x14ac:dyDescent="0.2">
      <c r="C221" s="80" t="s">
        <v>207</v>
      </c>
      <c r="D221" s="7"/>
    </row>
    <row r="222" spans="3:4" hidden="1" x14ac:dyDescent="0.2">
      <c r="C222" s="80" t="s">
        <v>208</v>
      </c>
      <c r="D222" s="7"/>
    </row>
    <row r="223" spans="3:4" hidden="1" x14ac:dyDescent="0.2">
      <c r="C223" s="80" t="s">
        <v>209</v>
      </c>
      <c r="D223" s="7"/>
    </row>
    <row r="224" spans="3:4" hidden="1" x14ac:dyDescent="0.2">
      <c r="C224" s="80" t="s">
        <v>210</v>
      </c>
      <c r="D224" s="7"/>
    </row>
    <row r="225" spans="3:4" hidden="1" x14ac:dyDescent="0.2">
      <c r="C225" s="80" t="s">
        <v>211</v>
      </c>
      <c r="D225" s="7"/>
    </row>
    <row r="226" spans="3:4" hidden="1" x14ac:dyDescent="0.2">
      <c r="C226" s="80" t="s">
        <v>212</v>
      </c>
      <c r="D226" s="7"/>
    </row>
    <row r="227" spans="3:4" hidden="1" x14ac:dyDescent="0.2">
      <c r="C227" s="80" t="s">
        <v>213</v>
      </c>
      <c r="D227" s="7"/>
    </row>
    <row r="228" spans="3:4" hidden="1" x14ac:dyDescent="0.2">
      <c r="C228" s="80" t="s">
        <v>214</v>
      </c>
      <c r="D228" s="7"/>
    </row>
    <row r="229" spans="3:4" hidden="1" x14ac:dyDescent="0.2">
      <c r="C229" s="80" t="s">
        <v>215</v>
      </c>
      <c r="D229" s="7"/>
    </row>
    <row r="230" spans="3:4" hidden="1" x14ac:dyDescent="0.2">
      <c r="C230" s="80" t="s">
        <v>216</v>
      </c>
      <c r="D230" s="7"/>
    </row>
    <row r="231" spans="3:4" hidden="1" x14ac:dyDescent="0.2">
      <c r="C231" s="80" t="s">
        <v>217</v>
      </c>
      <c r="D231" s="7"/>
    </row>
    <row r="232" spans="3:4" hidden="1" x14ac:dyDescent="0.2">
      <c r="C232" s="80" t="s">
        <v>218</v>
      </c>
      <c r="D232" s="7"/>
    </row>
    <row r="233" spans="3:4" hidden="1" x14ac:dyDescent="0.2">
      <c r="C233" s="80" t="s">
        <v>219</v>
      </c>
      <c r="D233" s="7"/>
    </row>
    <row r="234" spans="3:4" hidden="1" x14ac:dyDescent="0.2">
      <c r="C234" s="80" t="s">
        <v>220</v>
      </c>
      <c r="D234" s="7"/>
    </row>
    <row r="235" spans="3:4" hidden="1" x14ac:dyDescent="0.2">
      <c r="C235" s="80" t="s">
        <v>221</v>
      </c>
      <c r="D235" s="7"/>
    </row>
    <row r="236" spans="3:4" hidden="1" x14ac:dyDescent="0.2">
      <c r="C236" s="80" t="s">
        <v>222</v>
      </c>
      <c r="D236" s="7"/>
    </row>
    <row r="237" spans="3:4" hidden="1" x14ac:dyDescent="0.2">
      <c r="C237" s="80" t="s">
        <v>223</v>
      </c>
      <c r="D237" s="7"/>
    </row>
    <row r="238" spans="3:4" hidden="1" x14ac:dyDescent="0.2">
      <c r="C238" s="80" t="s">
        <v>224</v>
      </c>
      <c r="D238" s="7"/>
    </row>
    <row r="239" spans="3:4" hidden="1" x14ac:dyDescent="0.2">
      <c r="C239" s="80" t="s">
        <v>225</v>
      </c>
      <c r="D239" s="7"/>
    </row>
    <row r="240" spans="3:4" hidden="1" x14ac:dyDescent="0.2">
      <c r="C240" s="80" t="s">
        <v>226</v>
      </c>
      <c r="D240" s="7"/>
    </row>
    <row r="241" spans="3:4" hidden="1" x14ac:dyDescent="0.2">
      <c r="C241" s="80" t="s">
        <v>227</v>
      </c>
      <c r="D241" s="7"/>
    </row>
    <row r="242" spans="3:4" hidden="1" x14ac:dyDescent="0.2">
      <c r="C242" s="80" t="s">
        <v>228</v>
      </c>
      <c r="D242" s="7"/>
    </row>
    <row r="243" spans="3:4" hidden="1" x14ac:dyDescent="0.2">
      <c r="C243" s="80" t="s">
        <v>229</v>
      </c>
      <c r="D243" s="7"/>
    </row>
    <row r="244" spans="3:4" hidden="1" x14ac:dyDescent="0.2">
      <c r="C244" s="80" t="s">
        <v>230</v>
      </c>
      <c r="D244" s="7"/>
    </row>
    <row r="245" spans="3:4" hidden="1" x14ac:dyDescent="0.2">
      <c r="C245" s="80" t="s">
        <v>231</v>
      </c>
      <c r="D245" s="7"/>
    </row>
    <row r="246" spans="3:4" hidden="1" x14ac:dyDescent="0.2">
      <c r="C246" s="80" t="s">
        <v>232</v>
      </c>
      <c r="D246" s="7"/>
    </row>
    <row r="247" spans="3:4" hidden="1" x14ac:dyDescent="0.2">
      <c r="C247" s="80" t="s">
        <v>233</v>
      </c>
      <c r="D247" s="7"/>
    </row>
    <row r="248" spans="3:4" hidden="1" x14ac:dyDescent="0.2">
      <c r="C248" s="80" t="s">
        <v>234</v>
      </c>
      <c r="D248" s="7"/>
    </row>
    <row r="249" spans="3:4" hidden="1" x14ac:dyDescent="0.2">
      <c r="C249" s="80" t="s">
        <v>235</v>
      </c>
      <c r="D249" s="7"/>
    </row>
    <row r="250" spans="3:4" hidden="1" x14ac:dyDescent="0.2">
      <c r="C250" s="80" t="s">
        <v>236</v>
      </c>
      <c r="D250" s="7"/>
    </row>
    <row r="251" spans="3:4" hidden="1" x14ac:dyDescent="0.2">
      <c r="C251" s="80" t="s">
        <v>237</v>
      </c>
      <c r="D251" s="7"/>
    </row>
    <row r="252" spans="3:4" hidden="1" x14ac:dyDescent="0.2">
      <c r="C252" s="80" t="s">
        <v>238</v>
      </c>
      <c r="D252" s="7"/>
    </row>
    <row r="253" spans="3:4" hidden="1" x14ac:dyDescent="0.2">
      <c r="C253" s="80" t="s">
        <v>239</v>
      </c>
      <c r="D253" s="7"/>
    </row>
    <row r="254" spans="3:4" hidden="1" x14ac:dyDescent="0.2">
      <c r="C254" s="80" t="s">
        <v>240</v>
      </c>
      <c r="D254" s="7"/>
    </row>
    <row r="255" spans="3:4" hidden="1" x14ac:dyDescent="0.2">
      <c r="C255" s="80" t="s">
        <v>241</v>
      </c>
      <c r="D255" s="7"/>
    </row>
    <row r="256" spans="3:4" hidden="1" x14ac:dyDescent="0.2">
      <c r="C256" s="80" t="s">
        <v>242</v>
      </c>
      <c r="D256" s="7"/>
    </row>
    <row r="257" spans="3:4" hidden="1" x14ac:dyDescent="0.2">
      <c r="C257" s="80" t="s">
        <v>243</v>
      </c>
      <c r="D257" s="7"/>
    </row>
    <row r="258" spans="3:4" hidden="1" x14ac:dyDescent="0.2">
      <c r="C258" s="80" t="s">
        <v>244</v>
      </c>
      <c r="D258" s="7"/>
    </row>
    <row r="259" spans="3:4" hidden="1" x14ac:dyDescent="0.2">
      <c r="C259" s="80" t="s">
        <v>245</v>
      </c>
      <c r="D259" s="7"/>
    </row>
    <row r="260" spans="3:4" hidden="1" x14ac:dyDescent="0.2">
      <c r="C260" s="80" t="s">
        <v>246</v>
      </c>
      <c r="D260" s="7"/>
    </row>
    <row r="261" spans="3:4" hidden="1" x14ac:dyDescent="0.2">
      <c r="C261" s="80" t="s">
        <v>247</v>
      </c>
      <c r="D261" s="7"/>
    </row>
    <row r="262" spans="3:4" hidden="1" x14ac:dyDescent="0.2">
      <c r="C262" s="80" t="s">
        <v>248</v>
      </c>
      <c r="D262" s="7"/>
    </row>
    <row r="263" spans="3:4" hidden="1" x14ac:dyDescent="0.2">
      <c r="C263" s="80" t="s">
        <v>249</v>
      </c>
      <c r="D263" s="7"/>
    </row>
    <row r="264" spans="3:4" hidden="1" x14ac:dyDescent="0.2">
      <c r="C264" s="80" t="s">
        <v>250</v>
      </c>
      <c r="D264" s="7"/>
    </row>
    <row r="265" spans="3:4" hidden="1" x14ac:dyDescent="0.2">
      <c r="C265" s="80" t="s">
        <v>251</v>
      </c>
      <c r="D265" s="7"/>
    </row>
    <row r="266" spans="3:4" hidden="1" x14ac:dyDescent="0.2">
      <c r="C266" s="80" t="s">
        <v>252</v>
      </c>
      <c r="D266" s="7"/>
    </row>
    <row r="267" spans="3:4" hidden="1" x14ac:dyDescent="0.2">
      <c r="C267" s="80" t="s">
        <v>253</v>
      </c>
      <c r="D267" s="7"/>
    </row>
    <row r="268" spans="3:4" hidden="1" x14ac:dyDescent="0.2">
      <c r="C268" s="80" t="s">
        <v>254</v>
      </c>
      <c r="D268" s="7"/>
    </row>
    <row r="269" spans="3:4" hidden="1" x14ac:dyDescent="0.2">
      <c r="C269" s="80" t="s">
        <v>255</v>
      </c>
      <c r="D269" s="7"/>
    </row>
    <row r="270" spans="3:4" hidden="1" x14ac:dyDescent="0.2">
      <c r="C270" s="80" t="s">
        <v>256</v>
      </c>
      <c r="D270" s="7"/>
    </row>
    <row r="271" spans="3:4" hidden="1" x14ac:dyDescent="0.2">
      <c r="C271" s="80" t="s">
        <v>257</v>
      </c>
      <c r="D271" s="7"/>
    </row>
    <row r="272" spans="3:4" hidden="1" x14ac:dyDescent="0.2">
      <c r="C272" s="80" t="s">
        <v>258</v>
      </c>
      <c r="D272" s="7"/>
    </row>
    <row r="273" spans="3:4" hidden="1" x14ac:dyDescent="0.2">
      <c r="C273" s="80" t="s">
        <v>259</v>
      </c>
      <c r="D273" s="7"/>
    </row>
    <row r="274" spans="3:4" hidden="1" x14ac:dyDescent="0.2">
      <c r="C274" s="80" t="s">
        <v>260</v>
      </c>
      <c r="D274" s="7"/>
    </row>
    <row r="275" spans="3:4" hidden="1" x14ac:dyDescent="0.2">
      <c r="C275" s="80" t="s">
        <v>261</v>
      </c>
      <c r="D275" s="7"/>
    </row>
    <row r="276" spans="3:4" hidden="1" x14ac:dyDescent="0.2">
      <c r="C276" s="80" t="s">
        <v>262</v>
      </c>
      <c r="D276" s="7"/>
    </row>
    <row r="277" spans="3:4" hidden="1" x14ac:dyDescent="0.2">
      <c r="C277" s="80" t="s">
        <v>263</v>
      </c>
      <c r="D277" s="7"/>
    </row>
    <row r="278" spans="3:4" hidden="1" x14ac:dyDescent="0.2">
      <c r="C278" s="80" t="s">
        <v>264</v>
      </c>
      <c r="D278" s="7"/>
    </row>
    <row r="279" spans="3:4" hidden="1" x14ac:dyDescent="0.2">
      <c r="C279" s="80" t="s">
        <v>265</v>
      </c>
      <c r="D279" s="7"/>
    </row>
    <row r="280" spans="3:4" hidden="1" x14ac:dyDescent="0.2">
      <c r="C280" s="80" t="s">
        <v>266</v>
      </c>
      <c r="D280" s="7"/>
    </row>
    <row r="281" spans="3:4" hidden="1" x14ac:dyDescent="0.2">
      <c r="C281" s="80" t="s">
        <v>267</v>
      </c>
      <c r="D281" s="7"/>
    </row>
    <row r="282" spans="3:4" hidden="1" x14ac:dyDescent="0.2">
      <c r="C282" s="80" t="s">
        <v>268</v>
      </c>
      <c r="D282" s="7"/>
    </row>
    <row r="283" spans="3:4" hidden="1" x14ac:dyDescent="0.2">
      <c r="C283" s="80" t="s">
        <v>269</v>
      </c>
      <c r="D283" s="7"/>
    </row>
    <row r="284" spans="3:4" hidden="1" x14ac:dyDescent="0.2">
      <c r="C284" s="80" t="s">
        <v>270</v>
      </c>
      <c r="D284" s="7"/>
    </row>
    <row r="285" spans="3:4" hidden="1" x14ac:dyDescent="0.2">
      <c r="C285" s="80" t="s">
        <v>271</v>
      </c>
      <c r="D285" s="7"/>
    </row>
    <row r="286" spans="3:4" hidden="1" x14ac:dyDescent="0.2">
      <c r="C286" s="80" t="s">
        <v>272</v>
      </c>
      <c r="D286" s="7"/>
    </row>
    <row r="287" spans="3:4" hidden="1" x14ac:dyDescent="0.2">
      <c r="C287" s="80" t="s">
        <v>273</v>
      </c>
      <c r="D287" s="7"/>
    </row>
    <row r="288" spans="3:4" hidden="1" x14ac:dyDescent="0.2">
      <c r="C288" s="80" t="s">
        <v>274</v>
      </c>
      <c r="D288" s="7"/>
    </row>
    <row r="289" spans="3:4" hidden="1" x14ac:dyDescent="0.2">
      <c r="C289" s="80" t="s">
        <v>275</v>
      </c>
      <c r="D289" s="7"/>
    </row>
    <row r="290" spans="3:4" hidden="1" x14ac:dyDescent="0.2">
      <c r="C290" s="80" t="s">
        <v>276</v>
      </c>
      <c r="D290" s="7"/>
    </row>
    <row r="291" spans="3:4" hidden="1" x14ac:dyDescent="0.2">
      <c r="C291" s="80" t="s">
        <v>277</v>
      </c>
      <c r="D291" s="7"/>
    </row>
    <row r="292" spans="3:4" hidden="1" x14ac:dyDescent="0.2">
      <c r="C292" s="80" t="s">
        <v>278</v>
      </c>
      <c r="D292" s="7"/>
    </row>
    <row r="293" spans="3:4" hidden="1" x14ac:dyDescent="0.2">
      <c r="C293" s="80" t="s">
        <v>279</v>
      </c>
      <c r="D293" s="7"/>
    </row>
    <row r="294" spans="3:4" hidden="1" x14ac:dyDescent="0.2">
      <c r="C294" s="80" t="s">
        <v>280</v>
      </c>
      <c r="D294" s="7"/>
    </row>
    <row r="295" spans="3:4" hidden="1" x14ac:dyDescent="0.2">
      <c r="C295" s="80" t="s">
        <v>281</v>
      </c>
      <c r="D295" s="7"/>
    </row>
    <row r="296" spans="3:4" hidden="1" x14ac:dyDescent="0.2">
      <c r="C296" s="80" t="s">
        <v>282</v>
      </c>
      <c r="D296" s="7"/>
    </row>
    <row r="297" spans="3:4" hidden="1" x14ac:dyDescent="0.2">
      <c r="C297" s="80" t="s">
        <v>283</v>
      </c>
      <c r="D297" s="7"/>
    </row>
    <row r="298" spans="3:4" hidden="1" x14ac:dyDescent="0.2">
      <c r="C298" s="80" t="s">
        <v>284</v>
      </c>
      <c r="D298" s="7"/>
    </row>
    <row r="299" spans="3:4" hidden="1" x14ac:dyDescent="0.2">
      <c r="C299" s="80" t="s">
        <v>285</v>
      </c>
      <c r="D299" s="7"/>
    </row>
    <row r="300" spans="3:4" hidden="1" x14ac:dyDescent="0.2">
      <c r="C300" s="80" t="s">
        <v>286</v>
      </c>
      <c r="D300" s="7"/>
    </row>
    <row r="301" spans="3:4" hidden="1" x14ac:dyDescent="0.2">
      <c r="C301" s="80" t="s">
        <v>287</v>
      </c>
      <c r="D301" s="7"/>
    </row>
    <row r="302" spans="3:4" hidden="1" x14ac:dyDescent="0.2">
      <c r="C302" s="80" t="s">
        <v>288</v>
      </c>
      <c r="D302" s="7"/>
    </row>
    <row r="303" spans="3:4" hidden="1" x14ac:dyDescent="0.2">
      <c r="C303" s="80" t="s">
        <v>289</v>
      </c>
      <c r="D303" s="7"/>
    </row>
    <row r="304" spans="3:4" hidden="1" x14ac:dyDescent="0.2">
      <c r="C304" s="80" t="s">
        <v>290</v>
      </c>
      <c r="D304" s="7"/>
    </row>
    <row r="305" spans="3:4" hidden="1" x14ac:dyDescent="0.2">
      <c r="C305" s="80" t="s">
        <v>291</v>
      </c>
      <c r="D305" s="7"/>
    </row>
    <row r="306" spans="3:4" hidden="1" x14ac:dyDescent="0.2">
      <c r="C306" s="80" t="s">
        <v>292</v>
      </c>
      <c r="D306" s="7"/>
    </row>
    <row r="307" spans="3:4" hidden="1" x14ac:dyDescent="0.2">
      <c r="C307" s="80" t="s">
        <v>293</v>
      </c>
      <c r="D307" s="7"/>
    </row>
    <row r="308" spans="3:4" hidden="1" x14ac:dyDescent="0.2">
      <c r="C308" s="80" t="s">
        <v>294</v>
      </c>
      <c r="D308" s="7"/>
    </row>
    <row r="309" spans="3:4" hidden="1" x14ac:dyDescent="0.2">
      <c r="C309" s="80" t="s">
        <v>295</v>
      </c>
      <c r="D309" s="7"/>
    </row>
    <row r="310" spans="3:4" hidden="1" x14ac:dyDescent="0.2">
      <c r="C310" s="80" t="s">
        <v>296</v>
      </c>
      <c r="D310" s="7"/>
    </row>
    <row r="311" spans="3:4" hidden="1" x14ac:dyDescent="0.2">
      <c r="C311" s="80" t="s">
        <v>297</v>
      </c>
      <c r="D311" s="7"/>
    </row>
    <row r="312" spans="3:4" hidden="1" x14ac:dyDescent="0.2">
      <c r="C312" s="80" t="s">
        <v>298</v>
      </c>
      <c r="D312" s="7"/>
    </row>
    <row r="313" spans="3:4" hidden="1" x14ac:dyDescent="0.2">
      <c r="C313" s="80" t="s">
        <v>299</v>
      </c>
      <c r="D313" s="7"/>
    </row>
    <row r="314" spans="3:4" hidden="1" x14ac:dyDescent="0.2">
      <c r="C314" s="80" t="s">
        <v>300</v>
      </c>
      <c r="D314" s="7"/>
    </row>
    <row r="315" spans="3:4" hidden="1" x14ac:dyDescent="0.2">
      <c r="C315" s="80" t="s">
        <v>301</v>
      </c>
      <c r="D315" s="7"/>
    </row>
    <row r="316" spans="3:4" hidden="1" x14ac:dyDescent="0.2">
      <c r="C316" s="80" t="s">
        <v>302</v>
      </c>
      <c r="D316" s="7"/>
    </row>
    <row r="317" spans="3:4" hidden="1" x14ac:dyDescent="0.2">
      <c r="C317" s="80" t="s">
        <v>303</v>
      </c>
      <c r="D317" s="7"/>
    </row>
    <row r="318" spans="3:4" hidden="1" x14ac:dyDescent="0.2">
      <c r="C318" s="80" t="s">
        <v>304</v>
      </c>
      <c r="D318" s="7"/>
    </row>
    <row r="319" spans="3:4" hidden="1" x14ac:dyDescent="0.2">
      <c r="C319" s="80" t="s">
        <v>305</v>
      </c>
      <c r="D319" s="7"/>
    </row>
    <row r="320" spans="3:4" hidden="1" x14ac:dyDescent="0.2">
      <c r="C320" s="80" t="s">
        <v>306</v>
      </c>
      <c r="D320" s="7"/>
    </row>
    <row r="321" spans="3:4" hidden="1" x14ac:dyDescent="0.2">
      <c r="C321" s="80" t="s">
        <v>307</v>
      </c>
      <c r="D321" s="7"/>
    </row>
    <row r="322" spans="3:4" hidden="1" x14ac:dyDescent="0.2">
      <c r="C322" s="80" t="s">
        <v>308</v>
      </c>
      <c r="D322" s="7"/>
    </row>
    <row r="323" spans="3:4" hidden="1" x14ac:dyDescent="0.2">
      <c r="C323" s="80" t="s">
        <v>309</v>
      </c>
      <c r="D323" s="7"/>
    </row>
    <row r="324" spans="3:4" hidden="1" x14ac:dyDescent="0.2">
      <c r="C324" s="80" t="s">
        <v>310</v>
      </c>
      <c r="D324" s="7"/>
    </row>
    <row r="325" spans="3:4" hidden="1" x14ac:dyDescent="0.2">
      <c r="C325" s="80" t="s">
        <v>311</v>
      </c>
      <c r="D325" s="7"/>
    </row>
    <row r="326" spans="3:4" hidden="1" x14ac:dyDescent="0.2">
      <c r="C326" s="80" t="s">
        <v>312</v>
      </c>
      <c r="D326" s="7"/>
    </row>
    <row r="327" spans="3:4" hidden="1" x14ac:dyDescent="0.2">
      <c r="C327" s="80" t="s">
        <v>313</v>
      </c>
      <c r="D327" s="7"/>
    </row>
    <row r="328" spans="3:4" hidden="1" x14ac:dyDescent="0.2">
      <c r="C328" s="80" t="s">
        <v>314</v>
      </c>
      <c r="D328" s="7"/>
    </row>
    <row r="329" spans="3:4" hidden="1" x14ac:dyDescent="0.2">
      <c r="C329" s="80" t="s">
        <v>315</v>
      </c>
      <c r="D329" s="7"/>
    </row>
    <row r="330" spans="3:4" hidden="1" x14ac:dyDescent="0.2">
      <c r="C330" s="80" t="s">
        <v>316</v>
      </c>
      <c r="D330" s="7"/>
    </row>
    <row r="331" spans="3:4" hidden="1" x14ac:dyDescent="0.2">
      <c r="C331" s="80" t="s">
        <v>317</v>
      </c>
      <c r="D331" s="7"/>
    </row>
    <row r="332" spans="3:4" hidden="1" x14ac:dyDescent="0.2">
      <c r="C332" s="80" t="s">
        <v>318</v>
      </c>
      <c r="D332" s="7"/>
    </row>
    <row r="333" spans="3:4" hidden="1" x14ac:dyDescent="0.2">
      <c r="C333" s="80" t="s">
        <v>319</v>
      </c>
      <c r="D333" s="7"/>
    </row>
    <row r="334" spans="3:4" hidden="1" x14ac:dyDescent="0.2">
      <c r="C334" s="80" t="s">
        <v>320</v>
      </c>
      <c r="D334" s="7"/>
    </row>
    <row r="335" spans="3:4" hidden="1" x14ac:dyDescent="0.2">
      <c r="C335" s="80" t="s">
        <v>321</v>
      </c>
      <c r="D335" s="7"/>
    </row>
    <row r="336" spans="3:4" hidden="1" x14ac:dyDescent="0.2">
      <c r="C336" s="80" t="s">
        <v>322</v>
      </c>
      <c r="D336" s="7"/>
    </row>
    <row r="337" spans="3:4" hidden="1" x14ac:dyDescent="0.2">
      <c r="C337" s="80" t="s">
        <v>323</v>
      </c>
      <c r="D337" s="7"/>
    </row>
    <row r="338" spans="3:4" hidden="1" x14ac:dyDescent="0.2">
      <c r="C338" s="80" t="s">
        <v>324</v>
      </c>
      <c r="D338" s="7"/>
    </row>
    <row r="339" spans="3:4" hidden="1" x14ac:dyDescent="0.2">
      <c r="C339" s="80" t="s">
        <v>325</v>
      </c>
      <c r="D339" s="7"/>
    </row>
    <row r="340" spans="3:4" hidden="1" x14ac:dyDescent="0.2">
      <c r="C340" s="80" t="s">
        <v>326</v>
      </c>
      <c r="D340" s="7"/>
    </row>
    <row r="341" spans="3:4" hidden="1" x14ac:dyDescent="0.2">
      <c r="C341" s="80" t="s">
        <v>327</v>
      </c>
      <c r="D341" s="7"/>
    </row>
    <row r="342" spans="3:4" hidden="1" x14ac:dyDescent="0.2">
      <c r="C342" s="80" t="s">
        <v>328</v>
      </c>
      <c r="D342" s="7"/>
    </row>
    <row r="343" spans="3:4" hidden="1" x14ac:dyDescent="0.2">
      <c r="C343" s="80" t="s">
        <v>329</v>
      </c>
      <c r="D343" s="7"/>
    </row>
    <row r="344" spans="3:4" hidden="1" x14ac:dyDescent="0.2">
      <c r="C344" s="80" t="s">
        <v>330</v>
      </c>
      <c r="D344" s="7"/>
    </row>
    <row r="345" spans="3:4" hidden="1" x14ac:dyDescent="0.2">
      <c r="C345" s="80" t="s">
        <v>331</v>
      </c>
      <c r="D345" s="7"/>
    </row>
    <row r="346" spans="3:4" hidden="1" x14ac:dyDescent="0.2">
      <c r="C346" s="80" t="s">
        <v>332</v>
      </c>
      <c r="D346" s="7"/>
    </row>
    <row r="347" spans="3:4" hidden="1" x14ac:dyDescent="0.2">
      <c r="C347" s="80" t="s">
        <v>333</v>
      </c>
      <c r="D347" s="7"/>
    </row>
    <row r="348" spans="3:4" hidden="1" x14ac:dyDescent="0.2">
      <c r="C348" s="80" t="s">
        <v>334</v>
      </c>
      <c r="D348" s="7"/>
    </row>
    <row r="349" spans="3:4" hidden="1" x14ac:dyDescent="0.2">
      <c r="C349" s="80" t="s">
        <v>335</v>
      </c>
      <c r="D349" s="7"/>
    </row>
    <row r="350" spans="3:4" hidden="1" x14ac:dyDescent="0.2">
      <c r="C350" s="80" t="s">
        <v>336</v>
      </c>
      <c r="D350" s="7"/>
    </row>
    <row r="351" spans="3:4" hidden="1" x14ac:dyDescent="0.2">
      <c r="C351" s="80" t="s">
        <v>337</v>
      </c>
      <c r="D351" s="7"/>
    </row>
    <row r="352" spans="3:4" hidden="1" x14ac:dyDescent="0.2">
      <c r="C352" s="80" t="s">
        <v>338</v>
      </c>
      <c r="D352" s="7"/>
    </row>
    <row r="353" spans="3:4" hidden="1" x14ac:dyDescent="0.2">
      <c r="C353" s="80" t="s">
        <v>339</v>
      </c>
      <c r="D353" s="7"/>
    </row>
    <row r="354" spans="3:4" hidden="1" x14ac:dyDescent="0.2">
      <c r="C354" s="80" t="s">
        <v>340</v>
      </c>
      <c r="D354" s="7"/>
    </row>
    <row r="355" spans="3:4" hidden="1" x14ac:dyDescent="0.2">
      <c r="C355" s="80" t="s">
        <v>341</v>
      </c>
      <c r="D355" s="7"/>
    </row>
    <row r="356" spans="3:4" hidden="1" x14ac:dyDescent="0.2">
      <c r="C356" s="80" t="s">
        <v>342</v>
      </c>
      <c r="D356" s="7"/>
    </row>
    <row r="357" spans="3:4" hidden="1" x14ac:dyDescent="0.2">
      <c r="C357" s="80" t="s">
        <v>343</v>
      </c>
      <c r="D357" s="7"/>
    </row>
    <row r="358" spans="3:4" hidden="1" x14ac:dyDescent="0.2">
      <c r="C358" s="80" t="s">
        <v>344</v>
      </c>
      <c r="D358" s="7"/>
    </row>
    <row r="359" spans="3:4" hidden="1" x14ac:dyDescent="0.2">
      <c r="C359" s="80" t="s">
        <v>345</v>
      </c>
      <c r="D359" s="7"/>
    </row>
    <row r="360" spans="3:4" hidden="1" x14ac:dyDescent="0.2">
      <c r="C360" s="80" t="s">
        <v>346</v>
      </c>
      <c r="D360" s="7"/>
    </row>
    <row r="361" spans="3:4" hidden="1" x14ac:dyDescent="0.2">
      <c r="C361" s="80" t="s">
        <v>347</v>
      </c>
      <c r="D361" s="7"/>
    </row>
    <row r="362" spans="3:4" hidden="1" x14ac:dyDescent="0.2">
      <c r="C362" s="80" t="s">
        <v>348</v>
      </c>
      <c r="D362" s="7"/>
    </row>
    <row r="363" spans="3:4" hidden="1" x14ac:dyDescent="0.2">
      <c r="C363" s="80" t="s">
        <v>349</v>
      </c>
      <c r="D363" s="7"/>
    </row>
    <row r="364" spans="3:4" hidden="1" x14ac:dyDescent="0.2">
      <c r="C364" s="80" t="s">
        <v>350</v>
      </c>
      <c r="D364" s="7"/>
    </row>
    <row r="365" spans="3:4" hidden="1" x14ac:dyDescent="0.2">
      <c r="C365" s="80" t="s">
        <v>351</v>
      </c>
      <c r="D365" s="7"/>
    </row>
    <row r="366" spans="3:4" hidden="1" x14ac:dyDescent="0.2">
      <c r="C366" s="80" t="s">
        <v>352</v>
      </c>
      <c r="D366" s="7"/>
    </row>
    <row r="367" spans="3:4" hidden="1" x14ac:dyDescent="0.2">
      <c r="C367" s="80" t="s">
        <v>353</v>
      </c>
      <c r="D367" s="7"/>
    </row>
    <row r="368" spans="3:4" hidden="1" x14ac:dyDescent="0.2">
      <c r="C368" s="80" t="s">
        <v>354</v>
      </c>
      <c r="D368" s="7"/>
    </row>
    <row r="369" spans="3:4" hidden="1" x14ac:dyDescent="0.2">
      <c r="C369" s="80" t="s">
        <v>355</v>
      </c>
      <c r="D369" s="7"/>
    </row>
    <row r="370" spans="3:4" hidden="1" x14ac:dyDescent="0.2">
      <c r="C370" s="80" t="s">
        <v>356</v>
      </c>
      <c r="D370" s="7"/>
    </row>
    <row r="371" spans="3:4" hidden="1" x14ac:dyDescent="0.2">
      <c r="C371" s="80" t="s">
        <v>357</v>
      </c>
      <c r="D371" s="7"/>
    </row>
    <row r="372" spans="3:4" hidden="1" x14ac:dyDescent="0.2">
      <c r="C372" s="80" t="s">
        <v>358</v>
      </c>
      <c r="D372" s="7"/>
    </row>
    <row r="373" spans="3:4" hidden="1" x14ac:dyDescent="0.2">
      <c r="C373" s="80" t="s">
        <v>359</v>
      </c>
      <c r="D373" s="7"/>
    </row>
    <row r="374" spans="3:4" hidden="1" x14ac:dyDescent="0.2">
      <c r="C374" s="55"/>
    </row>
    <row r="375" spans="3:4" x14ac:dyDescent="0.2">
      <c r="C375" s="82"/>
    </row>
    <row r="376" spans="3:4" x14ac:dyDescent="0.2">
      <c r="C376" s="82"/>
    </row>
    <row r="377" spans="3:4" x14ac:dyDescent="0.2">
      <c r="C377" s="82"/>
    </row>
    <row r="378" spans="3:4" x14ac:dyDescent="0.2">
      <c r="C378" s="82"/>
    </row>
    <row r="379" spans="3:4" x14ac:dyDescent="0.2">
      <c r="C379" s="82"/>
    </row>
    <row r="380" spans="3:4" x14ac:dyDescent="0.2">
      <c r="C380" s="82"/>
    </row>
    <row r="381" spans="3:4" x14ac:dyDescent="0.2">
      <c r="C381" s="82"/>
    </row>
    <row r="382" spans="3:4" x14ac:dyDescent="0.2">
      <c r="C382" s="82"/>
    </row>
    <row r="383" spans="3:4" x14ac:dyDescent="0.2">
      <c r="C383" s="82"/>
    </row>
    <row r="384" spans="3:4" x14ac:dyDescent="0.2">
      <c r="C384" s="82"/>
    </row>
    <row r="385" spans="3:3" x14ac:dyDescent="0.2">
      <c r="C385" s="82"/>
    </row>
    <row r="386" spans="3:3" x14ac:dyDescent="0.2">
      <c r="C386" s="82"/>
    </row>
    <row r="387" spans="3:3" x14ac:dyDescent="0.2">
      <c r="C387" s="82"/>
    </row>
    <row r="388" spans="3:3" x14ac:dyDescent="0.2">
      <c r="C388" s="82"/>
    </row>
    <row r="389" spans="3:3" x14ac:dyDescent="0.2">
      <c r="C389" s="82"/>
    </row>
    <row r="390" spans="3:3" x14ac:dyDescent="0.2">
      <c r="C390" s="82"/>
    </row>
    <row r="391" spans="3:3" x14ac:dyDescent="0.2">
      <c r="C391" s="82"/>
    </row>
    <row r="392" spans="3:3" x14ac:dyDescent="0.2">
      <c r="C392" s="82"/>
    </row>
    <row r="393" spans="3:3" x14ac:dyDescent="0.2">
      <c r="C393" s="82"/>
    </row>
    <row r="394" spans="3:3" x14ac:dyDescent="0.2">
      <c r="C394" s="82"/>
    </row>
    <row r="395" spans="3:3" x14ac:dyDescent="0.2">
      <c r="C395" s="82"/>
    </row>
    <row r="396" spans="3:3" x14ac:dyDescent="0.2">
      <c r="C396" s="82"/>
    </row>
    <row r="397" spans="3:3" x14ac:dyDescent="0.2">
      <c r="C397" s="82"/>
    </row>
    <row r="398" spans="3:3" x14ac:dyDescent="0.2">
      <c r="C398" s="82"/>
    </row>
    <row r="399" spans="3:3" x14ac:dyDescent="0.2">
      <c r="C399" s="82"/>
    </row>
    <row r="400" spans="3:3" x14ac:dyDescent="0.2">
      <c r="C400" s="82"/>
    </row>
    <row r="401" spans="3:3" x14ac:dyDescent="0.2">
      <c r="C401" s="82"/>
    </row>
  </sheetData>
  <sheetProtection selectLockedCells="1"/>
  <mergeCells count="18">
    <mergeCell ref="B27:O27"/>
    <mergeCell ref="B28:O28"/>
    <mergeCell ref="B29:O29"/>
    <mergeCell ref="B30:O30"/>
    <mergeCell ref="B31:O31"/>
    <mergeCell ref="B26:O26"/>
    <mergeCell ref="B2:E2"/>
    <mergeCell ref="B4:C4"/>
    <mergeCell ref="D4:G4"/>
    <mergeCell ref="M4:N4"/>
    <mergeCell ref="D5:G5"/>
    <mergeCell ref="D6:G6"/>
    <mergeCell ref="D7:G7"/>
    <mergeCell ref="B14:C15"/>
    <mergeCell ref="B18:C18"/>
    <mergeCell ref="B20:C20"/>
    <mergeCell ref="B22:C22"/>
    <mergeCell ref="D14:K14"/>
  </mergeCells>
  <dataValidations count="3">
    <dataValidation type="list" allowBlank="1" showInputMessage="1" showErrorMessage="1" sqref="B4:C4">
      <formula1>$C$47:$C$373</formula1>
    </dataValidation>
    <dataValidation type="whole" operator="greaterThan" allowBlank="1" showInputMessage="1" showErrorMessage="1" error="Please enter a numerical value only. " sqref="D22 D15:K15 D20:K20">
      <formula1>-1000000</formula1>
    </dataValidation>
    <dataValidation type="whole" operator="greaterThan" allowBlank="1" showInputMessage="1" showErrorMessage="1" error="Please enter a numerical value only, less than or equal to total net additions." sqref="D18">
      <formula1>-1000000</formula1>
    </dataValidation>
  </dataValidations>
  <hyperlinks>
    <hyperlink ref="B6" location="'New Homes Bonus'!I14" tooltip="Click here to return to homepage" display="Return to homepage"/>
  </hyperlinks>
  <pageMargins left="0.74803149606299213" right="0.74803149606299213" top="0.98425196850393704" bottom="0.98425196850393704" header="0.51181102362204722" footer="0.51181102362204722"/>
  <pageSetup paperSize="9"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O366"/>
  <sheetViews>
    <sheetView zoomScale="70" workbookViewId="0">
      <pane xSplit="4" ySplit="5" topLeftCell="BR88" activePane="bottomRight" state="frozen"/>
      <selection activeCell="C26" sqref="C26"/>
      <selection pane="topRight" activeCell="C26" sqref="C26"/>
      <selection pane="bottomLeft" activeCell="C26" sqref="C26"/>
      <selection pane="bottomRight" activeCell="CM96" sqref="CM96"/>
    </sheetView>
  </sheetViews>
  <sheetFormatPr defaultRowHeight="12.75" x14ac:dyDescent="0.2"/>
  <cols>
    <col min="1" max="1" width="10.7109375" bestFit="1" customWidth="1"/>
    <col min="4" max="4" width="31.5703125" bestFit="1" customWidth="1"/>
    <col min="5" max="5" width="23.5703125" customWidth="1"/>
    <col min="6" max="6" width="19.140625" customWidth="1"/>
    <col min="7" max="7" width="25.7109375" style="161" customWidth="1"/>
    <col min="8" max="8" width="29.85546875" style="57" customWidth="1"/>
    <col min="9" max="9" width="19.42578125" style="57" customWidth="1"/>
    <col min="10" max="10" width="28.140625" style="57" customWidth="1"/>
    <col min="11" max="11" width="7.5703125" style="57" customWidth="1"/>
    <col min="12" max="13" width="11.28515625" style="57" customWidth="1"/>
    <col min="14" max="19" width="10.28515625" style="57" customWidth="1"/>
    <col min="20" max="20" width="11.28515625" style="57" customWidth="1"/>
    <col min="21" max="21" width="4" customWidth="1"/>
    <col min="30" max="30" width="4.85546875" customWidth="1"/>
    <col min="31" max="31" width="9.85546875" style="57" customWidth="1"/>
    <col min="32" max="32" width="9.28515625" style="57" customWidth="1"/>
    <col min="33" max="33" width="10" style="57" customWidth="1"/>
    <col min="34" max="34" width="10.140625" style="57" customWidth="1"/>
    <col min="35" max="38" width="9.28515625" style="57" customWidth="1"/>
    <col min="39" max="39" width="10.140625" style="57" customWidth="1"/>
    <col min="40" max="40" width="11.85546875" style="57" customWidth="1"/>
    <col min="41" max="49" width="9.140625" style="57" customWidth="1"/>
    <col min="58" max="58" width="10.28515625" customWidth="1"/>
    <col min="59" max="59" width="4.28515625" customWidth="1"/>
    <col min="60" max="60" width="12" customWidth="1"/>
    <col min="61" max="61" width="11.28515625" customWidth="1"/>
    <col min="62" max="62" width="14.42578125" style="57" customWidth="1"/>
    <col min="63" max="63" width="15.7109375" style="130" customWidth="1"/>
    <col min="64" max="64" width="13.5703125" style="174" customWidth="1"/>
    <col min="65" max="65" width="15.7109375" style="130" customWidth="1"/>
    <col min="66" max="66" width="15.28515625" style="131" customWidth="1"/>
    <col min="67" max="67" width="17.42578125" style="130" customWidth="1"/>
    <col min="68" max="68" width="15.42578125" style="131" bestFit="1" customWidth="1"/>
    <col min="69" max="69" width="15.7109375" style="130" customWidth="1"/>
    <col min="70" max="70" width="15.42578125" style="131" bestFit="1" customWidth="1"/>
    <col min="71" max="71" width="15.7109375" style="130" customWidth="1"/>
    <col min="72" max="73" width="14.42578125" style="131" customWidth="1"/>
    <col min="74" max="74" width="17.42578125" style="130" customWidth="1"/>
    <col min="75" max="83" width="15" style="131" customWidth="1"/>
    <col min="85" max="85" width="13" bestFit="1" customWidth="1"/>
    <col min="86" max="86" width="10.140625" bestFit="1" customWidth="1"/>
    <col min="87" max="90" width="11" bestFit="1" customWidth="1"/>
    <col min="91" max="92" width="11.42578125" bestFit="1" customWidth="1"/>
  </cols>
  <sheetData>
    <row r="1" spans="1:93" x14ac:dyDescent="0.2">
      <c r="D1" s="115">
        <v>1</v>
      </c>
      <c r="E1" s="115">
        <f>D1+1</f>
        <v>2</v>
      </c>
      <c r="F1" s="115">
        <f t="shared" ref="F1:BR1" si="0">E1+1</f>
        <v>3</v>
      </c>
      <c r="G1" s="340">
        <f t="shared" si="0"/>
        <v>4</v>
      </c>
      <c r="H1" s="115">
        <f t="shared" si="0"/>
        <v>5</v>
      </c>
      <c r="I1" s="115">
        <f t="shared" si="0"/>
        <v>6</v>
      </c>
      <c r="J1" s="115">
        <f t="shared" si="0"/>
        <v>7</v>
      </c>
      <c r="K1" s="115">
        <f t="shared" si="0"/>
        <v>8</v>
      </c>
      <c r="L1" s="115">
        <f t="shared" si="0"/>
        <v>9</v>
      </c>
      <c r="M1" s="115">
        <f t="shared" si="0"/>
        <v>10</v>
      </c>
      <c r="N1" s="115">
        <f t="shared" si="0"/>
        <v>11</v>
      </c>
      <c r="O1" s="115">
        <f t="shared" si="0"/>
        <v>12</v>
      </c>
      <c r="P1" s="115">
        <f t="shared" si="0"/>
        <v>13</v>
      </c>
      <c r="Q1" s="115">
        <f t="shared" si="0"/>
        <v>14</v>
      </c>
      <c r="R1" s="115">
        <f t="shared" si="0"/>
        <v>15</v>
      </c>
      <c r="S1" s="115">
        <f t="shared" si="0"/>
        <v>16</v>
      </c>
      <c r="T1" s="115">
        <f t="shared" si="0"/>
        <v>17</v>
      </c>
      <c r="U1" s="115">
        <f t="shared" si="0"/>
        <v>18</v>
      </c>
      <c r="V1" s="115">
        <f t="shared" si="0"/>
        <v>19</v>
      </c>
      <c r="W1" s="115">
        <f t="shared" si="0"/>
        <v>20</v>
      </c>
      <c r="X1" s="115">
        <f t="shared" si="0"/>
        <v>21</v>
      </c>
      <c r="Y1" s="115">
        <f t="shared" si="0"/>
        <v>22</v>
      </c>
      <c r="Z1" s="115">
        <f t="shared" si="0"/>
        <v>23</v>
      </c>
      <c r="AA1" s="115">
        <f t="shared" si="0"/>
        <v>24</v>
      </c>
      <c r="AB1" s="115">
        <f t="shared" si="0"/>
        <v>25</v>
      </c>
      <c r="AC1" s="115">
        <f t="shared" si="0"/>
        <v>26</v>
      </c>
      <c r="AD1" s="115">
        <f t="shared" si="0"/>
        <v>27</v>
      </c>
      <c r="AE1" s="115">
        <f t="shared" si="0"/>
        <v>28</v>
      </c>
      <c r="AF1" s="115">
        <f t="shared" si="0"/>
        <v>29</v>
      </c>
      <c r="AG1" s="115">
        <f t="shared" si="0"/>
        <v>30</v>
      </c>
      <c r="AH1" s="115">
        <f t="shared" si="0"/>
        <v>31</v>
      </c>
      <c r="AI1" s="115">
        <f t="shared" si="0"/>
        <v>32</v>
      </c>
      <c r="AJ1" s="115">
        <f t="shared" si="0"/>
        <v>33</v>
      </c>
      <c r="AK1" s="115">
        <f t="shared" si="0"/>
        <v>34</v>
      </c>
      <c r="AL1" s="115">
        <f t="shared" si="0"/>
        <v>35</v>
      </c>
      <c r="AM1" s="115">
        <f t="shared" si="0"/>
        <v>36</v>
      </c>
      <c r="AN1" s="115">
        <f t="shared" si="0"/>
        <v>37</v>
      </c>
      <c r="AO1" s="115">
        <f>AN1+1</f>
        <v>38</v>
      </c>
      <c r="AP1" s="115">
        <f t="shared" si="0"/>
        <v>39</v>
      </c>
      <c r="AQ1" s="115">
        <f t="shared" si="0"/>
        <v>40</v>
      </c>
      <c r="AR1" s="115">
        <f t="shared" si="0"/>
        <v>41</v>
      </c>
      <c r="AS1" s="115">
        <f t="shared" si="0"/>
        <v>42</v>
      </c>
      <c r="AT1" s="115">
        <f t="shared" si="0"/>
        <v>43</v>
      </c>
      <c r="AU1" s="115">
        <f t="shared" si="0"/>
        <v>44</v>
      </c>
      <c r="AV1" s="115">
        <f t="shared" si="0"/>
        <v>45</v>
      </c>
      <c r="AW1" s="115">
        <f t="shared" si="0"/>
        <v>46</v>
      </c>
      <c r="AX1" s="115">
        <f t="shared" si="0"/>
        <v>47</v>
      </c>
      <c r="AY1" s="115">
        <f t="shared" si="0"/>
        <v>48</v>
      </c>
      <c r="AZ1" s="115">
        <f t="shared" si="0"/>
        <v>49</v>
      </c>
      <c r="BA1" s="115">
        <f t="shared" si="0"/>
        <v>50</v>
      </c>
      <c r="BB1" s="115">
        <f t="shared" si="0"/>
        <v>51</v>
      </c>
      <c r="BC1" s="115">
        <f t="shared" si="0"/>
        <v>52</v>
      </c>
      <c r="BD1" s="115">
        <f t="shared" si="0"/>
        <v>53</v>
      </c>
      <c r="BE1" s="115">
        <f t="shared" si="0"/>
        <v>54</v>
      </c>
      <c r="BF1" s="115">
        <f t="shared" si="0"/>
        <v>55</v>
      </c>
      <c r="BG1" s="115">
        <f t="shared" si="0"/>
        <v>56</v>
      </c>
      <c r="BH1" s="115">
        <f t="shared" si="0"/>
        <v>57</v>
      </c>
      <c r="BI1" s="115">
        <f t="shared" si="0"/>
        <v>58</v>
      </c>
      <c r="BJ1" s="115">
        <f t="shared" si="0"/>
        <v>59</v>
      </c>
      <c r="BK1" s="115">
        <f t="shared" si="0"/>
        <v>60</v>
      </c>
      <c r="BL1" s="115">
        <f t="shared" si="0"/>
        <v>61</v>
      </c>
      <c r="BM1" s="115">
        <f t="shared" si="0"/>
        <v>62</v>
      </c>
      <c r="BN1" s="115">
        <f t="shared" si="0"/>
        <v>63</v>
      </c>
      <c r="BO1" s="115">
        <f t="shared" si="0"/>
        <v>64</v>
      </c>
      <c r="BP1" s="115">
        <f t="shared" si="0"/>
        <v>65</v>
      </c>
      <c r="BQ1" s="115">
        <f t="shared" si="0"/>
        <v>66</v>
      </c>
      <c r="BR1" s="115">
        <f t="shared" si="0"/>
        <v>67</v>
      </c>
      <c r="BS1" s="115">
        <f t="shared" ref="BS1:CE1" si="1">BR1+1</f>
        <v>68</v>
      </c>
      <c r="BT1" s="115">
        <f t="shared" si="1"/>
        <v>69</v>
      </c>
      <c r="BU1" s="115">
        <v>70</v>
      </c>
      <c r="BV1" s="115">
        <v>71</v>
      </c>
      <c r="BW1" s="115">
        <v>72</v>
      </c>
      <c r="BX1" s="115">
        <f t="shared" si="1"/>
        <v>73</v>
      </c>
      <c r="BY1" s="115">
        <f t="shared" si="1"/>
        <v>74</v>
      </c>
      <c r="BZ1" s="115">
        <f t="shared" si="1"/>
        <v>75</v>
      </c>
      <c r="CA1" s="115">
        <f t="shared" si="1"/>
        <v>76</v>
      </c>
      <c r="CB1" s="115">
        <f t="shared" si="1"/>
        <v>77</v>
      </c>
      <c r="CC1" s="115">
        <f t="shared" si="1"/>
        <v>78</v>
      </c>
      <c r="CD1" s="115">
        <f t="shared" si="1"/>
        <v>79</v>
      </c>
      <c r="CE1" s="115">
        <f t="shared" si="1"/>
        <v>80</v>
      </c>
    </row>
    <row r="2" spans="1:93" ht="20.25" x14ac:dyDescent="0.3">
      <c r="D2" s="116"/>
      <c r="E2" s="116"/>
      <c r="F2" t="s">
        <v>419</v>
      </c>
      <c r="G2" s="161" t="s">
        <v>806</v>
      </c>
      <c r="I2" s="117" t="s">
        <v>420</v>
      </c>
      <c r="J2" s="118" t="s">
        <v>421</v>
      </c>
      <c r="K2" s="119" t="s">
        <v>392</v>
      </c>
      <c r="L2" s="120" t="s">
        <v>393</v>
      </c>
      <c r="M2" s="120" t="s">
        <v>394</v>
      </c>
      <c r="N2" s="120" t="s">
        <v>395</v>
      </c>
      <c r="O2" s="120" t="s">
        <v>396</v>
      </c>
      <c r="P2" s="120" t="s">
        <v>397</v>
      </c>
      <c r="Q2" s="120" t="s">
        <v>398</v>
      </c>
      <c r="R2" s="120" t="s">
        <v>399</v>
      </c>
      <c r="S2" s="120" t="s">
        <v>400</v>
      </c>
      <c r="T2" s="120" t="s">
        <v>401</v>
      </c>
      <c r="U2" s="121"/>
      <c r="V2" s="122" t="s">
        <v>393</v>
      </c>
      <c r="W2" s="122" t="s">
        <v>394</v>
      </c>
      <c r="X2" s="122" t="s">
        <v>395</v>
      </c>
      <c r="Y2" s="122" t="s">
        <v>396</v>
      </c>
      <c r="Z2" s="122" t="s">
        <v>397</v>
      </c>
      <c r="AA2" s="122" t="s">
        <v>398</v>
      </c>
      <c r="AB2" s="122" t="s">
        <v>399</v>
      </c>
      <c r="AC2" s="122" t="s">
        <v>400</v>
      </c>
      <c r="AD2" s="123"/>
      <c r="AE2" s="124" t="s">
        <v>393</v>
      </c>
      <c r="AF2" s="124" t="s">
        <v>394</v>
      </c>
      <c r="AG2" s="124" t="s">
        <v>395</v>
      </c>
      <c r="AH2" s="124" t="s">
        <v>396</v>
      </c>
      <c r="AI2" s="124" t="s">
        <v>397</v>
      </c>
      <c r="AJ2" s="124" t="s">
        <v>398</v>
      </c>
      <c r="AK2" s="124" t="s">
        <v>399</v>
      </c>
      <c r="AL2" s="124" t="s">
        <v>400</v>
      </c>
      <c r="AM2" s="125" t="s">
        <v>401</v>
      </c>
      <c r="AN2" s="126"/>
      <c r="AO2" s="124" t="s">
        <v>393</v>
      </c>
      <c r="AP2" s="124" t="s">
        <v>394</v>
      </c>
      <c r="AQ2" s="124" t="s">
        <v>395</v>
      </c>
      <c r="AR2" s="124" t="s">
        <v>396</v>
      </c>
      <c r="AS2" s="124" t="s">
        <v>397</v>
      </c>
      <c r="AT2" s="124" t="s">
        <v>398</v>
      </c>
      <c r="AU2" s="124" t="s">
        <v>399</v>
      </c>
      <c r="AV2" s="124" t="s">
        <v>400</v>
      </c>
      <c r="AW2" s="124" t="s">
        <v>401</v>
      </c>
      <c r="AX2" s="127" t="s">
        <v>393</v>
      </c>
      <c r="AY2" s="127" t="s">
        <v>394</v>
      </c>
      <c r="AZ2" s="127" t="s">
        <v>395</v>
      </c>
      <c r="BA2" s="127" t="s">
        <v>396</v>
      </c>
      <c r="BB2" s="127" t="s">
        <v>397</v>
      </c>
      <c r="BC2" s="127" t="s">
        <v>398</v>
      </c>
      <c r="BD2" s="127" t="s">
        <v>399</v>
      </c>
      <c r="BE2" s="127" t="s">
        <v>400</v>
      </c>
      <c r="BF2" s="127" t="s">
        <v>401</v>
      </c>
      <c r="BG2" s="126"/>
      <c r="BH2" s="126"/>
      <c r="BJ2" s="295" t="s">
        <v>422</v>
      </c>
      <c r="BK2" s="128"/>
      <c r="BL2" s="294" t="s">
        <v>423</v>
      </c>
      <c r="BM2" s="128"/>
      <c r="BN2" s="294" t="s">
        <v>424</v>
      </c>
      <c r="BO2" s="129"/>
      <c r="BP2" s="294" t="s">
        <v>425</v>
      </c>
      <c r="BR2" s="294" t="s">
        <v>426</v>
      </c>
      <c r="BT2" s="294" t="s">
        <v>427</v>
      </c>
      <c r="BU2" s="347"/>
      <c r="BW2" s="402" t="s">
        <v>804</v>
      </c>
      <c r="BX2" s="402"/>
      <c r="BY2" s="402"/>
      <c r="BZ2" s="402"/>
      <c r="CA2" s="402"/>
      <c r="CB2" s="402"/>
      <c r="CC2" s="402"/>
      <c r="CD2" s="402"/>
      <c r="CE2" s="130"/>
    </row>
    <row r="3" spans="1:93" ht="39" x14ac:dyDescent="0.25">
      <c r="B3" s="132" t="s">
        <v>428</v>
      </c>
      <c r="C3" s="132" t="s">
        <v>429</v>
      </c>
      <c r="D3" s="132" t="s">
        <v>430</v>
      </c>
      <c r="E3" s="196" t="s">
        <v>821</v>
      </c>
      <c r="F3" s="133" t="s">
        <v>808</v>
      </c>
      <c r="G3" s="341" t="s">
        <v>809</v>
      </c>
      <c r="H3" s="133" t="s">
        <v>807</v>
      </c>
      <c r="I3" s="133" t="s">
        <v>850</v>
      </c>
      <c r="J3" s="134" t="s">
        <v>810</v>
      </c>
      <c r="K3"/>
      <c r="L3" s="403" t="s">
        <v>811</v>
      </c>
      <c r="M3" s="403"/>
      <c r="N3" s="403"/>
      <c r="O3" s="403"/>
      <c r="P3" s="403"/>
      <c r="Q3" s="403"/>
      <c r="R3" s="403"/>
      <c r="S3" s="403"/>
      <c r="T3" s="403"/>
      <c r="U3" s="121"/>
      <c r="V3" s="402" t="s">
        <v>812</v>
      </c>
      <c r="W3" s="402"/>
      <c r="X3" s="402"/>
      <c r="Y3" s="402"/>
      <c r="Z3" s="402"/>
      <c r="AA3" s="402"/>
      <c r="AB3" s="402"/>
      <c r="AC3" s="402"/>
      <c r="AD3" s="135"/>
      <c r="AE3" s="404" t="s">
        <v>813</v>
      </c>
      <c r="AF3" s="404"/>
      <c r="AG3" s="404"/>
      <c r="AH3" s="404"/>
      <c r="AI3" s="404"/>
      <c r="AJ3" s="404"/>
      <c r="AK3" s="404"/>
      <c r="AL3" s="404"/>
      <c r="AM3" s="404"/>
      <c r="AN3"/>
      <c r="AO3" s="404" t="s">
        <v>814</v>
      </c>
      <c r="AP3" s="404"/>
      <c r="AQ3" s="404"/>
      <c r="AR3" s="404"/>
      <c r="AS3" s="404"/>
      <c r="AT3" s="404"/>
      <c r="AU3" s="404"/>
      <c r="AV3" s="404"/>
      <c r="AW3" s="136">
        <v>-1</v>
      </c>
      <c r="AX3" s="405" t="s">
        <v>431</v>
      </c>
      <c r="AY3" s="405"/>
      <c r="AZ3" s="405"/>
      <c r="BA3" s="405"/>
      <c r="BB3" s="405"/>
      <c r="BC3" s="405"/>
      <c r="BD3" s="405"/>
      <c r="BE3" s="405"/>
      <c r="BF3" s="405"/>
      <c r="BH3" s="297" t="s">
        <v>852</v>
      </c>
      <c r="BI3" s="297" t="s">
        <v>853</v>
      </c>
      <c r="BJ3" s="137" t="s">
        <v>432</v>
      </c>
      <c r="BK3" s="139" t="s">
        <v>433</v>
      </c>
      <c r="BL3" s="137" t="s">
        <v>432</v>
      </c>
      <c r="BM3" s="139" t="s">
        <v>434</v>
      </c>
      <c r="BN3" s="137" t="s">
        <v>432</v>
      </c>
      <c r="BO3" s="139" t="s">
        <v>435</v>
      </c>
      <c r="BP3" s="137" t="s">
        <v>432</v>
      </c>
      <c r="BQ3" s="139" t="s">
        <v>436</v>
      </c>
      <c r="BR3" s="137" t="s">
        <v>432</v>
      </c>
      <c r="BS3" s="139" t="s">
        <v>437</v>
      </c>
      <c r="BT3" s="137" t="s">
        <v>432</v>
      </c>
      <c r="BU3" s="138" t="s">
        <v>899</v>
      </c>
      <c r="BV3" s="139" t="s">
        <v>438</v>
      </c>
      <c r="BW3" s="138" t="s">
        <v>817</v>
      </c>
      <c r="BX3" s="138" t="s">
        <v>818</v>
      </c>
      <c r="BY3" s="138" t="s">
        <v>819</v>
      </c>
      <c r="BZ3" s="138" t="s">
        <v>820</v>
      </c>
      <c r="CA3" s="138" t="s">
        <v>822</v>
      </c>
      <c r="CB3" s="138" t="s">
        <v>823</v>
      </c>
      <c r="CC3" s="138" t="s">
        <v>827</v>
      </c>
      <c r="CD3" s="138" t="s">
        <v>826</v>
      </c>
      <c r="CE3" s="139" t="s">
        <v>439</v>
      </c>
    </row>
    <row r="4" spans="1:93" s="56" customFormat="1" x14ac:dyDescent="0.2">
      <c r="D4" s="56" t="s">
        <v>418</v>
      </c>
      <c r="F4" s="140" t="s">
        <v>440</v>
      </c>
      <c r="G4" s="145" t="s">
        <v>440</v>
      </c>
      <c r="H4" s="140" t="s">
        <v>440</v>
      </c>
      <c r="I4" s="140"/>
      <c r="J4" s="141" t="s">
        <v>440</v>
      </c>
      <c r="K4" s="140"/>
      <c r="L4" s="142">
        <v>0</v>
      </c>
      <c r="M4" s="142">
        <v>0</v>
      </c>
      <c r="N4" s="142">
        <v>0</v>
      </c>
      <c r="O4" s="142">
        <v>0</v>
      </c>
      <c r="P4" s="142">
        <v>0</v>
      </c>
      <c r="Q4" s="142">
        <v>0</v>
      </c>
      <c r="R4" s="142">
        <v>0</v>
      </c>
      <c r="S4" s="142">
        <v>0</v>
      </c>
      <c r="T4" s="142">
        <v>0</v>
      </c>
      <c r="U4" s="143"/>
      <c r="V4" s="140">
        <v>0</v>
      </c>
      <c r="W4" s="140">
        <v>0</v>
      </c>
      <c r="X4" s="140">
        <v>0</v>
      </c>
      <c r="Y4" s="140">
        <v>0</v>
      </c>
      <c r="Z4" s="140">
        <v>0</v>
      </c>
      <c r="AA4" s="140">
        <v>0</v>
      </c>
      <c r="AB4" s="140">
        <v>0</v>
      </c>
      <c r="AC4" s="140">
        <v>0</v>
      </c>
      <c r="AD4" s="140"/>
      <c r="AE4" s="141"/>
      <c r="AF4" s="141"/>
      <c r="AG4" s="141"/>
      <c r="AH4" s="141"/>
      <c r="AI4" s="141"/>
      <c r="AJ4" s="141"/>
      <c r="AK4" s="141"/>
      <c r="AL4" s="141"/>
      <c r="AM4" s="141"/>
      <c r="AO4" s="141"/>
      <c r="AP4" s="141"/>
      <c r="AQ4" s="141"/>
      <c r="AR4" s="141"/>
      <c r="AS4" s="141"/>
      <c r="AT4" s="141"/>
      <c r="AU4" s="141"/>
      <c r="AV4" s="141"/>
      <c r="AW4" s="141"/>
      <c r="BK4" s="144"/>
      <c r="BL4" s="145"/>
      <c r="BM4" s="144"/>
      <c r="BN4" s="145"/>
      <c r="BO4" s="144"/>
      <c r="BP4" s="145"/>
      <c r="BQ4" s="146"/>
      <c r="BR4" s="145"/>
      <c r="BS4" s="146"/>
      <c r="BT4" s="145"/>
      <c r="BU4" s="145"/>
      <c r="BV4" s="146"/>
      <c r="BW4" s="145"/>
      <c r="BX4" s="145"/>
      <c r="BY4" s="145"/>
      <c r="BZ4" s="145"/>
      <c r="CA4" s="145"/>
      <c r="CB4" s="145"/>
      <c r="CC4" s="145"/>
      <c r="CD4" s="145"/>
      <c r="CE4" s="146"/>
    </row>
    <row r="5" spans="1:93" s="56" customFormat="1" x14ac:dyDescent="0.2">
      <c r="D5" s="56" t="s">
        <v>34</v>
      </c>
      <c r="F5" s="140" t="s">
        <v>440</v>
      </c>
      <c r="G5" s="145" t="s">
        <v>440</v>
      </c>
      <c r="H5" s="140" t="s">
        <v>440</v>
      </c>
      <c r="I5" s="140"/>
      <c r="J5" s="141" t="s">
        <v>440</v>
      </c>
      <c r="K5" s="140"/>
      <c r="L5" s="142">
        <v>0</v>
      </c>
      <c r="M5" s="142">
        <v>0</v>
      </c>
      <c r="N5" s="142">
        <v>0</v>
      </c>
      <c r="O5" s="142">
        <v>0</v>
      </c>
      <c r="P5" s="142">
        <v>0</v>
      </c>
      <c r="Q5" s="142">
        <v>0</v>
      </c>
      <c r="R5" s="142">
        <v>0</v>
      </c>
      <c r="S5" s="142">
        <v>0</v>
      </c>
      <c r="T5" s="142">
        <v>0</v>
      </c>
      <c r="U5" s="143"/>
      <c r="V5" s="140">
        <v>0</v>
      </c>
      <c r="W5" s="140">
        <v>0</v>
      </c>
      <c r="X5" s="140">
        <v>0</v>
      </c>
      <c r="Y5" s="140">
        <v>0</v>
      </c>
      <c r="Z5" s="140">
        <v>0</v>
      </c>
      <c r="AA5" s="140">
        <v>0</v>
      </c>
      <c r="AB5" s="140">
        <v>0</v>
      </c>
      <c r="AC5" s="140">
        <v>0</v>
      </c>
      <c r="AD5" s="140"/>
      <c r="AE5" s="141"/>
      <c r="AF5" s="141"/>
      <c r="AG5" s="141"/>
      <c r="AH5" s="141"/>
      <c r="AI5" s="141"/>
      <c r="AJ5" s="141"/>
      <c r="AK5" s="141"/>
      <c r="AL5" s="141"/>
      <c r="AM5" s="141"/>
      <c r="AO5" s="141"/>
      <c r="AP5" s="141"/>
      <c r="AQ5" s="141"/>
      <c r="AR5" s="141"/>
      <c r="AS5" s="141"/>
      <c r="AT5" s="141"/>
      <c r="AU5" s="141"/>
      <c r="AV5" s="141"/>
      <c r="AW5" s="141"/>
      <c r="BK5" s="144"/>
      <c r="BL5" s="145"/>
      <c r="BM5" s="144"/>
      <c r="BN5" s="145"/>
      <c r="BO5" s="144"/>
      <c r="BP5" s="145"/>
      <c r="BQ5" s="146"/>
      <c r="BR5" s="145"/>
      <c r="BS5" s="146"/>
      <c r="BT5" s="145"/>
      <c r="BU5" s="145"/>
      <c r="BV5" s="146"/>
      <c r="BW5" s="145"/>
      <c r="BX5" s="145"/>
      <c r="BY5" s="145"/>
      <c r="BZ5" s="145"/>
      <c r="CA5" s="145"/>
      <c r="CB5" s="145"/>
      <c r="CC5" s="145"/>
      <c r="CD5" s="350"/>
      <c r="CE5" s="350">
        <f>SUM(CE6:CE359)</f>
        <v>197414860.8326757</v>
      </c>
    </row>
    <row r="6" spans="1:93" x14ac:dyDescent="0.2">
      <c r="A6" s="147" t="s">
        <v>441</v>
      </c>
      <c r="B6" s="57" t="s">
        <v>442</v>
      </c>
      <c r="C6" s="57" t="s">
        <v>443</v>
      </c>
      <c r="D6" s="148" t="s">
        <v>35</v>
      </c>
      <c r="E6" s="197">
        <v>25689.333333333332</v>
      </c>
      <c r="F6" s="147">
        <f>T6</f>
        <v>28133</v>
      </c>
      <c r="G6" s="342">
        <v>118</v>
      </c>
      <c r="H6" s="149">
        <f t="shared" ref="H6:H69" si="2">AM6+BF6</f>
        <v>12</v>
      </c>
      <c r="I6" s="346">
        <v>0</v>
      </c>
      <c r="J6" s="150">
        <v>5</v>
      </c>
      <c r="L6" s="151">
        <v>2731</v>
      </c>
      <c r="M6" s="151">
        <v>4996</v>
      </c>
      <c r="N6" s="151">
        <v>11319</v>
      </c>
      <c r="O6" s="151">
        <v>6114</v>
      </c>
      <c r="P6" s="151">
        <v>1928</v>
      </c>
      <c r="Q6" s="151">
        <v>733</v>
      </c>
      <c r="R6" s="151">
        <v>302</v>
      </c>
      <c r="S6" s="151">
        <v>10</v>
      </c>
      <c r="T6" s="151">
        <v>28133</v>
      </c>
      <c r="U6" s="147"/>
      <c r="V6" s="152">
        <f>L6/T6</f>
        <v>9.7074609888742752E-2</v>
      </c>
      <c r="W6" s="152">
        <f t="shared" ref="W6:W69" si="3">M6/T6</f>
        <v>0.17758504247680659</v>
      </c>
      <c r="X6" s="152">
        <f t="shared" ref="X6:X69" si="4">N6/T6</f>
        <v>0.40233889027121172</v>
      </c>
      <c r="Y6" s="152">
        <f t="shared" ref="Y6:Y69" si="5">O6/T6</f>
        <v>0.21732484982049549</v>
      </c>
      <c r="Z6" s="152">
        <f t="shared" ref="Z6:Z69" si="6">P6/T6</f>
        <v>6.8531617673195183E-2</v>
      </c>
      <c r="AA6" s="152">
        <f t="shared" ref="AA6:AA69" si="7">Q6/T6</f>
        <v>2.6054811075960617E-2</v>
      </c>
      <c r="AB6" s="152">
        <f t="shared" ref="AB6:AB69" si="8">R6/T6</f>
        <v>1.0734724345075178E-2</v>
      </c>
      <c r="AC6" s="153">
        <f t="shared" ref="AC6:AC69" si="9">S6/T6</f>
        <v>3.5545444851242311E-4</v>
      </c>
      <c r="AD6" s="153"/>
      <c r="AE6" s="221">
        <v>13</v>
      </c>
      <c r="AF6" s="221">
        <v>0</v>
      </c>
      <c r="AG6" s="221">
        <v>-18</v>
      </c>
      <c r="AH6" s="221">
        <v>9</v>
      </c>
      <c r="AI6" s="221">
        <v>10</v>
      </c>
      <c r="AJ6" s="221">
        <v>16</v>
      </c>
      <c r="AK6" s="221">
        <v>2</v>
      </c>
      <c r="AL6" s="221">
        <v>0</v>
      </c>
      <c r="AM6" s="221">
        <v>32</v>
      </c>
      <c r="AN6" s="147"/>
      <c r="AO6" s="221">
        <v>-2</v>
      </c>
      <c r="AP6" s="221">
        <v>-2</v>
      </c>
      <c r="AQ6" s="221">
        <v>10</v>
      </c>
      <c r="AR6" s="221">
        <v>2</v>
      </c>
      <c r="AS6" s="221">
        <v>1</v>
      </c>
      <c r="AT6" s="221">
        <v>10</v>
      </c>
      <c r="AU6" s="221">
        <v>0</v>
      </c>
      <c r="AV6" s="221">
        <v>1</v>
      </c>
      <c r="AW6" s="221">
        <v>20</v>
      </c>
      <c r="AX6" s="56">
        <f>AO6*$AW$3</f>
        <v>2</v>
      </c>
      <c r="AY6" s="56">
        <f t="shared" ref="AY6:BF38" si="10">AP6*$AW$3</f>
        <v>2</v>
      </c>
      <c r="AZ6" s="56">
        <f t="shared" si="10"/>
        <v>-10</v>
      </c>
      <c r="BA6" s="56">
        <f t="shared" si="10"/>
        <v>-2</v>
      </c>
      <c r="BB6" s="56">
        <f t="shared" si="10"/>
        <v>-1</v>
      </c>
      <c r="BC6" s="56">
        <f t="shared" si="10"/>
        <v>-10</v>
      </c>
      <c r="BD6" s="56">
        <f t="shared" si="10"/>
        <v>0</v>
      </c>
      <c r="BE6" s="56">
        <f>AV6*$AW$3</f>
        <v>-1</v>
      </c>
      <c r="BF6" s="56">
        <f>AW6*$AW$3</f>
        <v>-20</v>
      </c>
      <c r="BH6">
        <f t="shared" ref="BH6:BH69" si="11">IF(B6="",1,0.8)</f>
        <v>0.8</v>
      </c>
      <c r="BI6">
        <f>1-BH6</f>
        <v>0.19999999999999996</v>
      </c>
      <c r="BJ6" s="154">
        <v>62430.165333333338</v>
      </c>
      <c r="BK6" s="155">
        <f t="shared" ref="BK6:BK69" si="12">BJ6</f>
        <v>62430.165333333338</v>
      </c>
      <c r="BL6" s="156">
        <v>152317.21866666665</v>
      </c>
      <c r="BM6" s="155">
        <f t="shared" ref="BM6:BM69" si="13">BL6</f>
        <v>152317.21866666665</v>
      </c>
      <c r="BN6" s="158">
        <v>243924.70844444446</v>
      </c>
      <c r="BO6" s="155">
        <f t="shared" ref="BO6:BO69" si="14">BN6</f>
        <v>243924.70844444446</v>
      </c>
      <c r="BP6" s="158">
        <v>106928.96000000002</v>
      </c>
      <c r="BQ6" s="155">
        <f t="shared" ref="BQ6:BQ69" si="15">BP6</f>
        <v>106928.96000000002</v>
      </c>
      <c r="BR6" s="158">
        <v>86531.98044444446</v>
      </c>
      <c r="BS6" s="155">
        <f t="shared" ref="BS6:BS69" si="16">BR6</f>
        <v>86531.98044444446</v>
      </c>
      <c r="BT6" s="194">
        <v>114507.77955555555</v>
      </c>
      <c r="BU6" s="194"/>
      <c r="BV6" s="348">
        <f>BT6+BU6</f>
        <v>114507.77955555555</v>
      </c>
      <c r="BW6" s="195">
        <f t="shared" ref="BW6:BW69" si="17">IF(B6="",1,0.8)*(IF(SUMPRODUCT($CG$10:$CN$10,AE6:AL6)+SUMPRODUCT($CG$10:$CN$10,AX6:BE6)&gt;0,SUMPRODUCT($CG$10:$CN$10,AE6:AL6)+SUMPRODUCT($CG$10:$CN$10,AX6:BE6),0)+J6*350)</f>
        <v>19346.837333333337</v>
      </c>
      <c r="BX6" s="157">
        <f>IF($B6="","0",(25%*BW6))</f>
        <v>4836.7093333333341</v>
      </c>
      <c r="BY6" s="157">
        <f>IF(E6*$CJ$10*'Year 7 Payments'!$L$20*IF(B6="",1,0.8)&lt;=(BW6-(J6*350)),E6*$CJ$10*'Year 7 Payments'!$L$20*IF(B6="",1,0.8),BW6-(IF(B6="",1,0.8)*J6*350))</f>
        <v>17946.837333333337</v>
      </c>
      <c r="BZ6" s="157">
        <f>IF($B6="","0",(25%*BY6))</f>
        <v>4486.7093333333341</v>
      </c>
      <c r="CA6" s="157">
        <f>BW6-BY6</f>
        <v>1400</v>
      </c>
      <c r="CB6" s="157">
        <f>BX6-BZ6</f>
        <v>350</v>
      </c>
      <c r="CC6" s="157">
        <f>CA6*4</f>
        <v>5600</v>
      </c>
      <c r="CD6" s="201">
        <f>CB6*4</f>
        <v>1400</v>
      </c>
      <c r="CE6" s="155">
        <f>CA6</f>
        <v>1400</v>
      </c>
    </row>
    <row r="7" spans="1:93" x14ac:dyDescent="0.2">
      <c r="A7" s="147" t="s">
        <v>444</v>
      </c>
      <c r="B7" s="57" t="s">
        <v>445</v>
      </c>
      <c r="C7" s="57" t="s">
        <v>446</v>
      </c>
      <c r="D7" s="148" t="s">
        <v>36</v>
      </c>
      <c r="E7" s="197">
        <v>37324.999999999993</v>
      </c>
      <c r="F7" s="147">
        <f t="shared" ref="F7:F70" si="18">T7</f>
        <v>46611</v>
      </c>
      <c r="G7" s="342">
        <v>802</v>
      </c>
      <c r="H7" s="149">
        <f t="shared" si="2"/>
        <v>294</v>
      </c>
      <c r="I7" s="346">
        <v>124.47777777777779</v>
      </c>
      <c r="J7" s="150">
        <v>94</v>
      </c>
      <c r="K7"/>
      <c r="L7" s="151">
        <v>22095</v>
      </c>
      <c r="M7" s="151">
        <v>7652</v>
      </c>
      <c r="N7" s="151">
        <v>7137</v>
      </c>
      <c r="O7" s="151">
        <v>5264</v>
      </c>
      <c r="P7" s="151">
        <v>2893</v>
      </c>
      <c r="Q7" s="151">
        <v>1076</v>
      </c>
      <c r="R7" s="151">
        <v>465</v>
      </c>
      <c r="S7" s="151">
        <v>29</v>
      </c>
      <c r="T7" s="151">
        <v>46611</v>
      </c>
      <c r="U7" s="147"/>
      <c r="V7" s="152">
        <f t="shared" ref="V7:V70" si="19">L7/T7</f>
        <v>0.47402973547016797</v>
      </c>
      <c r="W7" s="152">
        <f t="shared" si="3"/>
        <v>0.16416725665615411</v>
      </c>
      <c r="X7" s="152">
        <f t="shared" si="4"/>
        <v>0.15311836261826609</v>
      </c>
      <c r="Y7" s="152">
        <f t="shared" si="5"/>
        <v>0.11293471498144216</v>
      </c>
      <c r="Z7" s="152">
        <f t="shared" si="6"/>
        <v>6.2066894080796381E-2</v>
      </c>
      <c r="AA7" s="152">
        <f t="shared" si="7"/>
        <v>2.3084679582072901E-2</v>
      </c>
      <c r="AB7" s="152">
        <f t="shared" si="8"/>
        <v>9.9761858788697949E-3</v>
      </c>
      <c r="AC7" s="153">
        <f t="shared" si="9"/>
        <v>6.2217073223058933E-4</v>
      </c>
      <c r="AD7" s="153"/>
      <c r="AE7" s="221">
        <v>32</v>
      </c>
      <c r="AF7" s="221">
        <v>96</v>
      </c>
      <c r="AG7" s="221">
        <v>76</v>
      </c>
      <c r="AH7" s="221">
        <v>59</v>
      </c>
      <c r="AI7" s="221">
        <v>28</v>
      </c>
      <c r="AJ7" s="221">
        <v>24</v>
      </c>
      <c r="AK7" s="221">
        <v>-4</v>
      </c>
      <c r="AL7" s="221">
        <v>0</v>
      </c>
      <c r="AM7" s="221">
        <v>311</v>
      </c>
      <c r="AN7" s="147"/>
      <c r="AO7" s="221">
        <v>-9</v>
      </c>
      <c r="AP7" s="221">
        <v>25</v>
      </c>
      <c r="AQ7" s="221">
        <v>12</v>
      </c>
      <c r="AR7" s="221">
        <v>-8</v>
      </c>
      <c r="AS7" s="221">
        <v>0</v>
      </c>
      <c r="AT7" s="221">
        <v>-1</v>
      </c>
      <c r="AU7" s="221">
        <v>-1</v>
      </c>
      <c r="AV7" s="221">
        <v>-1</v>
      </c>
      <c r="AW7" s="221">
        <v>17</v>
      </c>
      <c r="AX7" s="56">
        <f>AO7*$AW$3</f>
        <v>9</v>
      </c>
      <c r="AY7" s="56">
        <f t="shared" si="10"/>
        <v>-25</v>
      </c>
      <c r="AZ7" s="56">
        <f t="shared" si="10"/>
        <v>-12</v>
      </c>
      <c r="BA7" s="56">
        <f t="shared" si="10"/>
        <v>8</v>
      </c>
      <c r="BB7" s="56">
        <f t="shared" si="10"/>
        <v>0</v>
      </c>
      <c r="BC7" s="56">
        <f t="shared" si="10"/>
        <v>1</v>
      </c>
      <c r="BD7" s="56">
        <f t="shared" si="10"/>
        <v>1</v>
      </c>
      <c r="BE7" s="56">
        <f t="shared" si="10"/>
        <v>1</v>
      </c>
      <c r="BF7" s="56">
        <f t="shared" si="10"/>
        <v>-17</v>
      </c>
      <c r="BH7">
        <f t="shared" si="11"/>
        <v>0.8</v>
      </c>
      <c r="BI7">
        <f t="shared" ref="BI7:BI70" si="20">1-BH7</f>
        <v>0.19999999999999996</v>
      </c>
      <c r="BJ7" s="154">
        <v>84178.378666666686</v>
      </c>
      <c r="BK7" s="155">
        <f t="shared" si="12"/>
        <v>84178.378666666686</v>
      </c>
      <c r="BL7" s="156">
        <v>15960</v>
      </c>
      <c r="BM7" s="155">
        <f t="shared" si="13"/>
        <v>15960</v>
      </c>
      <c r="BN7" s="158">
        <v>221783.75288888894</v>
      </c>
      <c r="BO7" s="155">
        <f t="shared" si="14"/>
        <v>221783.75288888894</v>
      </c>
      <c r="BP7" s="158">
        <v>469533.01333333331</v>
      </c>
      <c r="BQ7" s="155">
        <f t="shared" si="15"/>
        <v>469533.01333333331</v>
      </c>
      <c r="BR7" s="158">
        <v>276915.19644444453</v>
      </c>
      <c r="BS7" s="155">
        <f t="shared" si="16"/>
        <v>276915.19644444453</v>
      </c>
      <c r="BT7" s="194">
        <v>457129.81688888883</v>
      </c>
      <c r="BU7" s="194"/>
      <c r="BV7" s="348">
        <f t="shared" ref="BV7:BV70" si="21">BT7+BU7</f>
        <v>457129.81688888883</v>
      </c>
      <c r="BW7" s="195">
        <f t="shared" si="17"/>
        <v>361327.63022222224</v>
      </c>
      <c r="BX7" s="157">
        <f t="shared" ref="BX7:BX70" si="22">IF($B7="","0",(25%*BW7))</f>
        <v>90331.907555555561</v>
      </c>
      <c r="BY7" s="157">
        <f>IF(E7*$CJ$10*'Year 7 Payments'!$L$20*IF(B7="",1,0.8)&lt;=(BW7-(J7*350)),E7*$CJ$10*'Year 7 Payments'!$L$20*IF(B7="",1,0.8),BW7-(IF(B7="",1,0.8)*J7*350))</f>
        <v>182690.64639999997</v>
      </c>
      <c r="BZ7" s="157">
        <f t="shared" ref="BZ7:BZ70" si="23">IF($B7="","0",(25%*BY7))</f>
        <v>45672.661599999992</v>
      </c>
      <c r="CA7" s="157">
        <f t="shared" ref="CA7:CA70" si="24">BW7-BY7</f>
        <v>178636.98382222228</v>
      </c>
      <c r="CB7" s="157">
        <f t="shared" ref="CB7:CB70" si="25">BX7-BZ7</f>
        <v>44659.245955555569</v>
      </c>
      <c r="CC7" s="157">
        <f t="shared" ref="CC7:CC70" si="26">CA7*4</f>
        <v>714547.9352888891</v>
      </c>
      <c r="CD7" s="201">
        <f t="shared" ref="CD7:CD70" si="27">CB7*4</f>
        <v>178636.98382222228</v>
      </c>
      <c r="CE7" s="155">
        <f t="shared" ref="CE7:CE70" si="28">CA7</f>
        <v>178636.98382222228</v>
      </c>
      <c r="CG7" s="57"/>
      <c r="CH7" s="57"/>
      <c r="CI7" s="57"/>
      <c r="CJ7" s="57"/>
      <c r="CK7" s="57"/>
      <c r="CL7" s="57"/>
      <c r="CM7" s="57"/>
      <c r="CN7" s="57"/>
    </row>
    <row r="8" spans="1:93" x14ac:dyDescent="0.2">
      <c r="A8" s="147" t="s">
        <v>447</v>
      </c>
      <c r="B8" s="57" t="s">
        <v>448</v>
      </c>
      <c r="C8" s="57" t="s">
        <v>449</v>
      </c>
      <c r="D8" s="148" t="s">
        <v>37</v>
      </c>
      <c r="E8" s="197">
        <v>46681.777777777774</v>
      </c>
      <c r="F8" s="147">
        <f t="shared" si="18"/>
        <v>56387</v>
      </c>
      <c r="G8" s="342">
        <v>684</v>
      </c>
      <c r="H8" s="149">
        <f t="shared" si="2"/>
        <v>480</v>
      </c>
      <c r="I8" s="346">
        <v>266.38400000000001</v>
      </c>
      <c r="J8" s="150">
        <v>65</v>
      </c>
      <c r="K8"/>
      <c r="L8" s="151">
        <v>22098</v>
      </c>
      <c r="M8" s="151">
        <v>11823</v>
      </c>
      <c r="N8" s="151">
        <v>10220</v>
      </c>
      <c r="O8" s="151">
        <v>6124</v>
      </c>
      <c r="P8" s="151">
        <v>3022</v>
      </c>
      <c r="Q8" s="151">
        <v>1618</v>
      </c>
      <c r="R8" s="151">
        <v>1350</v>
      </c>
      <c r="S8" s="151">
        <v>132</v>
      </c>
      <c r="T8" s="151">
        <v>56387</v>
      </c>
      <c r="U8" s="147"/>
      <c r="V8" s="152">
        <f t="shared" si="19"/>
        <v>0.39189884193165092</v>
      </c>
      <c r="W8" s="152">
        <f t="shared" si="3"/>
        <v>0.20967598914643445</v>
      </c>
      <c r="X8" s="152">
        <f t="shared" si="4"/>
        <v>0.18124745065351944</v>
      </c>
      <c r="Y8" s="152">
        <f t="shared" si="5"/>
        <v>0.10860659371841028</v>
      </c>
      <c r="Z8" s="152">
        <f t="shared" si="6"/>
        <v>5.3593913490698211E-2</v>
      </c>
      <c r="AA8" s="152">
        <f t="shared" si="7"/>
        <v>2.8694557256105129E-2</v>
      </c>
      <c r="AB8" s="152">
        <f t="shared" si="8"/>
        <v>2.394168868710873E-2</v>
      </c>
      <c r="AC8" s="152">
        <f t="shared" si="9"/>
        <v>2.3409651160728536E-3</v>
      </c>
      <c r="AD8" s="152"/>
      <c r="AE8" s="221">
        <v>115</v>
      </c>
      <c r="AF8" s="221">
        <v>95</v>
      </c>
      <c r="AG8" s="221">
        <v>81</v>
      </c>
      <c r="AH8" s="221">
        <v>91</v>
      </c>
      <c r="AI8" s="221">
        <v>53</v>
      </c>
      <c r="AJ8" s="221">
        <v>38</v>
      </c>
      <c r="AK8" s="221">
        <v>7</v>
      </c>
      <c r="AL8" s="221">
        <v>8</v>
      </c>
      <c r="AM8" s="221">
        <v>488</v>
      </c>
      <c r="AN8" s="147"/>
      <c r="AO8" s="221">
        <v>-8</v>
      </c>
      <c r="AP8" s="221">
        <v>5</v>
      </c>
      <c r="AQ8" s="221">
        <v>-3</v>
      </c>
      <c r="AR8" s="221">
        <v>20</v>
      </c>
      <c r="AS8" s="221">
        <v>-7</v>
      </c>
      <c r="AT8" s="221">
        <v>4</v>
      </c>
      <c r="AU8" s="221">
        <v>-2</v>
      </c>
      <c r="AV8" s="221">
        <v>-1</v>
      </c>
      <c r="AW8" s="221">
        <v>8</v>
      </c>
      <c r="AX8" s="56">
        <f t="shared" ref="AX8:BB69" si="29">AO8*$AW$3</f>
        <v>8</v>
      </c>
      <c r="AY8" s="56">
        <f t="shared" si="10"/>
        <v>-5</v>
      </c>
      <c r="AZ8" s="56">
        <f t="shared" si="10"/>
        <v>3</v>
      </c>
      <c r="BA8" s="56">
        <f t="shared" si="10"/>
        <v>-20</v>
      </c>
      <c r="BB8" s="56">
        <f t="shared" si="10"/>
        <v>7</v>
      </c>
      <c r="BC8" s="56">
        <f t="shared" si="10"/>
        <v>-4</v>
      </c>
      <c r="BD8" s="56">
        <f t="shared" si="10"/>
        <v>2</v>
      </c>
      <c r="BE8" s="56">
        <f t="shared" si="10"/>
        <v>1</v>
      </c>
      <c r="BF8" s="56">
        <f t="shared" si="10"/>
        <v>-8</v>
      </c>
      <c r="BH8">
        <f t="shared" si="11"/>
        <v>0.8</v>
      </c>
      <c r="BI8">
        <f t="shared" si="20"/>
        <v>0.19999999999999996</v>
      </c>
      <c r="BJ8" s="154">
        <v>204689.06666666665</v>
      </c>
      <c r="BK8" s="155">
        <f t="shared" si="12"/>
        <v>204689.06666666665</v>
      </c>
      <c r="BL8" s="156">
        <v>324324.75911111111</v>
      </c>
      <c r="BM8" s="155">
        <f t="shared" si="13"/>
        <v>324324.75911111111</v>
      </c>
      <c r="BN8" s="158">
        <v>354509.79288888897</v>
      </c>
      <c r="BO8" s="155">
        <f t="shared" si="14"/>
        <v>354509.79288888897</v>
      </c>
      <c r="BP8" s="158">
        <v>243529.91999999998</v>
      </c>
      <c r="BQ8" s="155">
        <f t="shared" si="15"/>
        <v>243529.91999999998</v>
      </c>
      <c r="BR8" s="158">
        <v>304274.0515555556</v>
      </c>
      <c r="BS8" s="155">
        <f t="shared" si="16"/>
        <v>304274.0515555556</v>
      </c>
      <c r="BT8" s="194">
        <v>381566.5777777778</v>
      </c>
      <c r="BU8" s="194"/>
      <c r="BV8" s="348">
        <f t="shared" si="21"/>
        <v>381566.5777777778</v>
      </c>
      <c r="BW8" s="195">
        <f t="shared" si="17"/>
        <v>572648.5048888888</v>
      </c>
      <c r="BX8" s="157">
        <f t="shared" si="22"/>
        <v>143162.1262222222</v>
      </c>
      <c r="BY8" s="157">
        <f>IF(E8*$CJ$10*'Year 7 Payments'!$L$20*IF(B8="",1,0.8)&lt;=(BW8-(J8*350)),E8*$CJ$10*'Year 7 Payments'!$L$20*IF(B8="",1,0.8),BW8-(IF(B8="",1,0.8)*J8*350))</f>
        <v>228488.25605688887</v>
      </c>
      <c r="BZ8" s="157">
        <f t="shared" si="23"/>
        <v>57122.064014222218</v>
      </c>
      <c r="CA8" s="157">
        <f t="shared" si="24"/>
        <v>344160.24883199995</v>
      </c>
      <c r="CB8" s="157">
        <f t="shared" si="25"/>
        <v>86040.062207999988</v>
      </c>
      <c r="CC8" s="157">
        <f t="shared" si="26"/>
        <v>1376640.9953279998</v>
      </c>
      <c r="CD8" s="201">
        <f t="shared" si="27"/>
        <v>344160.24883199995</v>
      </c>
      <c r="CE8" s="155">
        <f t="shared" si="28"/>
        <v>344160.24883199995</v>
      </c>
      <c r="CG8" s="160" t="s">
        <v>393</v>
      </c>
      <c r="CH8" s="160" t="s">
        <v>394</v>
      </c>
      <c r="CI8" s="160" t="s">
        <v>395</v>
      </c>
      <c r="CJ8" s="160" t="s">
        <v>396</v>
      </c>
      <c r="CK8" s="160" t="s">
        <v>397</v>
      </c>
      <c r="CL8" s="160" t="s">
        <v>398</v>
      </c>
      <c r="CM8" s="160" t="s">
        <v>399</v>
      </c>
      <c r="CN8" s="160" t="s">
        <v>400</v>
      </c>
      <c r="CO8" s="161"/>
    </row>
    <row r="9" spans="1:93" x14ac:dyDescent="0.2">
      <c r="A9" s="147" t="s">
        <v>450</v>
      </c>
      <c r="B9" s="57" t="s">
        <v>442</v>
      </c>
      <c r="C9" s="57" t="s">
        <v>443</v>
      </c>
      <c r="D9" s="148" t="s">
        <v>38</v>
      </c>
      <c r="E9" s="197">
        <v>71596.777777777781</v>
      </c>
      <c r="F9" s="147">
        <f t="shared" si="18"/>
        <v>73614</v>
      </c>
      <c r="G9" s="342">
        <v>375</v>
      </c>
      <c r="H9" s="149">
        <f t="shared" si="2"/>
        <v>916</v>
      </c>
      <c r="I9" s="346">
        <v>583.61288888888896</v>
      </c>
      <c r="J9" s="150">
        <v>48</v>
      </c>
      <c r="K9"/>
      <c r="L9" s="151">
        <v>7946</v>
      </c>
      <c r="M9" s="151">
        <v>12449</v>
      </c>
      <c r="N9" s="151">
        <v>19542</v>
      </c>
      <c r="O9" s="151">
        <v>15038</v>
      </c>
      <c r="P9" s="151">
        <v>10051</v>
      </c>
      <c r="Q9" s="151">
        <v>5653</v>
      </c>
      <c r="R9" s="151">
        <v>2657</v>
      </c>
      <c r="S9" s="151">
        <v>278</v>
      </c>
      <c r="T9" s="151">
        <v>73614</v>
      </c>
      <c r="U9" s="147"/>
      <c r="V9" s="152">
        <f t="shared" si="19"/>
        <v>0.10794142418561686</v>
      </c>
      <c r="W9" s="152">
        <f t="shared" si="3"/>
        <v>0.16911185372347651</v>
      </c>
      <c r="X9" s="152">
        <f t="shared" si="4"/>
        <v>0.2654658081343223</v>
      </c>
      <c r="Y9" s="152">
        <f t="shared" si="5"/>
        <v>0.20428179422392478</v>
      </c>
      <c r="Z9" s="152">
        <f t="shared" si="6"/>
        <v>0.13653652837775423</v>
      </c>
      <c r="AA9" s="152">
        <f t="shared" si="7"/>
        <v>7.6792457956366994E-2</v>
      </c>
      <c r="AB9" s="152">
        <f t="shared" si="8"/>
        <v>3.6093677833020893E-2</v>
      </c>
      <c r="AC9" s="152">
        <f t="shared" si="9"/>
        <v>3.7764555655174286E-3</v>
      </c>
      <c r="AD9" s="152"/>
      <c r="AE9" s="221">
        <v>85</v>
      </c>
      <c r="AF9" s="221">
        <v>63</v>
      </c>
      <c r="AG9" s="221">
        <v>292</v>
      </c>
      <c r="AH9" s="221">
        <v>227</v>
      </c>
      <c r="AI9" s="221">
        <v>86</v>
      </c>
      <c r="AJ9" s="221">
        <v>83</v>
      </c>
      <c r="AK9" s="221">
        <v>4</v>
      </c>
      <c r="AL9" s="221">
        <v>2</v>
      </c>
      <c r="AM9" s="221">
        <v>842</v>
      </c>
      <c r="AN9" s="147"/>
      <c r="AO9" s="221">
        <v>-40</v>
      </c>
      <c r="AP9" s="221">
        <v>-18</v>
      </c>
      <c r="AQ9" s="221">
        <v>-18</v>
      </c>
      <c r="AR9" s="221">
        <v>-6</v>
      </c>
      <c r="AS9" s="221">
        <v>-12</v>
      </c>
      <c r="AT9" s="221">
        <v>2</v>
      </c>
      <c r="AU9" s="221">
        <v>11</v>
      </c>
      <c r="AV9" s="221">
        <v>7</v>
      </c>
      <c r="AW9" s="221">
        <v>-74</v>
      </c>
      <c r="AX9" s="56">
        <f t="shared" si="29"/>
        <v>40</v>
      </c>
      <c r="AY9" s="56">
        <f t="shared" si="10"/>
        <v>18</v>
      </c>
      <c r="AZ9" s="56">
        <f>AQ9*$AW$3</f>
        <v>18</v>
      </c>
      <c r="BA9" s="56">
        <f t="shared" si="10"/>
        <v>6</v>
      </c>
      <c r="BB9" s="56">
        <f t="shared" si="10"/>
        <v>12</v>
      </c>
      <c r="BC9" s="56">
        <f t="shared" si="10"/>
        <v>-2</v>
      </c>
      <c r="BD9" s="56">
        <f t="shared" si="10"/>
        <v>-11</v>
      </c>
      <c r="BE9" s="56">
        <f t="shared" si="10"/>
        <v>-7</v>
      </c>
      <c r="BF9" s="56">
        <f t="shared" si="10"/>
        <v>74</v>
      </c>
      <c r="BH9">
        <f t="shared" si="11"/>
        <v>0.8</v>
      </c>
      <c r="BI9">
        <f t="shared" si="20"/>
        <v>0.19999999999999996</v>
      </c>
      <c r="BJ9" s="154">
        <v>508908.1920000001</v>
      </c>
      <c r="BK9" s="155">
        <f t="shared" si="12"/>
        <v>508908.1920000001</v>
      </c>
      <c r="BL9" s="156">
        <v>555750.06577777781</v>
      </c>
      <c r="BM9" s="155">
        <f t="shared" si="13"/>
        <v>555750.06577777781</v>
      </c>
      <c r="BN9" s="158">
        <v>1000317.3111111112</v>
      </c>
      <c r="BO9" s="155">
        <f t="shared" si="14"/>
        <v>1000317.3111111112</v>
      </c>
      <c r="BP9" s="158">
        <v>484411.41333333339</v>
      </c>
      <c r="BQ9" s="155">
        <f t="shared" si="15"/>
        <v>484411.41333333339</v>
      </c>
      <c r="BR9" s="158">
        <v>538655.83644444449</v>
      </c>
      <c r="BS9" s="155">
        <f t="shared" si="16"/>
        <v>538655.83644444449</v>
      </c>
      <c r="BT9" s="194">
        <v>926418.52800000017</v>
      </c>
      <c r="BU9" s="194"/>
      <c r="BV9" s="348">
        <f t="shared" si="21"/>
        <v>926418.52800000017</v>
      </c>
      <c r="BW9" s="195">
        <f t="shared" si="17"/>
        <v>1078013.76</v>
      </c>
      <c r="BX9" s="157">
        <f t="shared" si="22"/>
        <v>269503.44</v>
      </c>
      <c r="BY9" s="157">
        <f>IF(E9*$CJ$10*'Year 7 Payments'!$L$20*IF(B9="",1,0.8)&lt;=(BW9-(J9*350)),E9*$CJ$10*'Year 7 Payments'!$L$20*IF(B9="",1,0.8),BW9-(IF(B9="",1,0.8)*J9*350))</f>
        <v>350437.01573688892</v>
      </c>
      <c r="BZ9" s="157">
        <f t="shared" si="23"/>
        <v>87609.25393422223</v>
      </c>
      <c r="CA9" s="157">
        <f t="shared" si="24"/>
        <v>727576.74426311115</v>
      </c>
      <c r="CB9" s="157">
        <f t="shared" si="25"/>
        <v>181894.18606577779</v>
      </c>
      <c r="CC9" s="157">
        <f t="shared" si="26"/>
        <v>2910306.9770524446</v>
      </c>
      <c r="CD9" s="201">
        <f t="shared" si="27"/>
        <v>727576.74426311115</v>
      </c>
      <c r="CE9" s="155">
        <f t="shared" si="28"/>
        <v>727576.74426311115</v>
      </c>
      <c r="CG9" s="162">
        <v>6</v>
      </c>
      <c r="CH9" s="162">
        <v>7</v>
      </c>
      <c r="CI9" s="162">
        <v>8</v>
      </c>
      <c r="CJ9" s="162">
        <v>9</v>
      </c>
      <c r="CK9" s="162">
        <v>11</v>
      </c>
      <c r="CL9" s="162">
        <v>13</v>
      </c>
      <c r="CM9" s="162">
        <v>15</v>
      </c>
      <c r="CN9" s="162">
        <v>18</v>
      </c>
    </row>
    <row r="10" spans="1:93" x14ac:dyDescent="0.2">
      <c r="A10" s="147" t="s">
        <v>451</v>
      </c>
      <c r="B10" s="57" t="s">
        <v>452</v>
      </c>
      <c r="C10" s="57" t="s">
        <v>449</v>
      </c>
      <c r="D10" s="148" t="s">
        <v>3</v>
      </c>
      <c r="E10" s="197">
        <v>41474.666666666672</v>
      </c>
      <c r="F10" s="147">
        <f t="shared" si="18"/>
        <v>55060</v>
      </c>
      <c r="G10" s="342">
        <v>586</v>
      </c>
      <c r="H10" s="149">
        <f t="shared" si="2"/>
        <v>572</v>
      </c>
      <c r="I10" s="346">
        <v>321.32355555555557</v>
      </c>
      <c r="J10" s="150">
        <v>0</v>
      </c>
      <c r="K10"/>
      <c r="L10" s="151">
        <v>29529</v>
      </c>
      <c r="M10" s="151">
        <v>11119</v>
      </c>
      <c r="N10" s="151">
        <v>8629</v>
      </c>
      <c r="O10" s="151">
        <v>3839</v>
      </c>
      <c r="P10" s="151">
        <v>1331</v>
      </c>
      <c r="Q10" s="151">
        <v>465</v>
      </c>
      <c r="R10" s="151">
        <v>124</v>
      </c>
      <c r="S10" s="151">
        <v>24</v>
      </c>
      <c r="T10" s="151">
        <v>55060</v>
      </c>
      <c r="U10" s="147"/>
      <c r="V10" s="152">
        <f t="shared" si="19"/>
        <v>0.53630584816563753</v>
      </c>
      <c r="W10" s="152">
        <f t="shared" si="3"/>
        <v>0.20194333454413368</v>
      </c>
      <c r="X10" s="152">
        <f t="shared" si="4"/>
        <v>0.15671994188158372</v>
      </c>
      <c r="Y10" s="152">
        <f t="shared" si="5"/>
        <v>6.9723937522702506E-2</v>
      </c>
      <c r="Z10" s="152">
        <f t="shared" si="6"/>
        <v>2.4173628768616055E-2</v>
      </c>
      <c r="AA10" s="152">
        <f t="shared" si="7"/>
        <v>8.445332364693062E-3</v>
      </c>
      <c r="AB10" s="152">
        <f t="shared" si="8"/>
        <v>2.2520886305848167E-3</v>
      </c>
      <c r="AC10" s="152">
        <f t="shared" si="9"/>
        <v>4.3588812204867417E-4</v>
      </c>
      <c r="AD10" s="152"/>
      <c r="AE10" s="221">
        <v>174</v>
      </c>
      <c r="AF10" s="221">
        <v>139</v>
      </c>
      <c r="AG10" s="221">
        <v>129</v>
      </c>
      <c r="AH10" s="221">
        <v>76</v>
      </c>
      <c r="AI10" s="221">
        <v>55</v>
      </c>
      <c r="AJ10" s="221">
        <v>19</v>
      </c>
      <c r="AK10" s="221">
        <v>-2</v>
      </c>
      <c r="AL10" s="221">
        <v>0</v>
      </c>
      <c r="AM10" s="221">
        <v>590</v>
      </c>
      <c r="AN10" s="147"/>
      <c r="AO10" s="221">
        <v>-3</v>
      </c>
      <c r="AP10" s="221">
        <v>4</v>
      </c>
      <c r="AQ10" s="221">
        <v>7</v>
      </c>
      <c r="AR10" s="221">
        <v>6</v>
      </c>
      <c r="AS10" s="221">
        <v>0</v>
      </c>
      <c r="AT10" s="221">
        <v>5</v>
      </c>
      <c r="AU10" s="221">
        <v>-1</v>
      </c>
      <c r="AV10" s="221">
        <v>0</v>
      </c>
      <c r="AW10" s="221">
        <v>18</v>
      </c>
      <c r="AX10" s="56">
        <f t="shared" si="29"/>
        <v>3</v>
      </c>
      <c r="AY10" s="56">
        <f t="shared" si="10"/>
        <v>-4</v>
      </c>
      <c r="AZ10" s="56">
        <f t="shared" si="10"/>
        <v>-7</v>
      </c>
      <c r="BA10" s="56">
        <f t="shared" si="10"/>
        <v>-6</v>
      </c>
      <c r="BB10" s="56">
        <f t="shared" si="10"/>
        <v>0</v>
      </c>
      <c r="BC10" s="56">
        <f t="shared" si="10"/>
        <v>-5</v>
      </c>
      <c r="BD10" s="56">
        <f t="shared" si="10"/>
        <v>1</v>
      </c>
      <c r="BE10" s="56">
        <f t="shared" si="10"/>
        <v>0</v>
      </c>
      <c r="BF10" s="56">
        <f t="shared" si="10"/>
        <v>-18</v>
      </c>
      <c r="BH10">
        <f t="shared" si="11"/>
        <v>0.8</v>
      </c>
      <c r="BI10">
        <f t="shared" si="20"/>
        <v>0.19999999999999996</v>
      </c>
      <c r="BJ10" s="154">
        <v>437394.94933333335</v>
      </c>
      <c r="BK10" s="155">
        <f t="shared" si="12"/>
        <v>437394.94933333335</v>
      </c>
      <c r="BL10" s="156">
        <v>466876.61777777778</v>
      </c>
      <c r="BM10" s="155">
        <f t="shared" si="13"/>
        <v>466876.61777777778</v>
      </c>
      <c r="BN10" s="158">
        <v>465723.86400000006</v>
      </c>
      <c r="BO10" s="155">
        <f t="shared" si="14"/>
        <v>465723.86400000006</v>
      </c>
      <c r="BP10" s="158">
        <v>492898.45333333337</v>
      </c>
      <c r="BQ10" s="155">
        <f t="shared" si="15"/>
        <v>492898.45333333337</v>
      </c>
      <c r="BR10" s="158">
        <v>655529.02222222229</v>
      </c>
      <c r="BS10" s="155">
        <f t="shared" si="16"/>
        <v>655529.02222222229</v>
      </c>
      <c r="BT10" s="194">
        <v>570024.89600000007</v>
      </c>
      <c r="BU10" s="194"/>
      <c r="BV10" s="348">
        <f t="shared" si="21"/>
        <v>570024.89600000007</v>
      </c>
      <c r="BW10" s="195">
        <f t="shared" si="17"/>
        <v>596188.49777777772</v>
      </c>
      <c r="BX10" s="157">
        <f t="shared" si="22"/>
        <v>149047.12444444443</v>
      </c>
      <c r="BY10" s="157">
        <f>IF(E10*$CJ$10*'Year 7 Payments'!$L$20*IF(B10="",1,0.8)&lt;=(BW10-(J10*350)),E10*$CJ$10*'Year 7 Payments'!$L$20*IF(B10="",1,0.8),BW10-(IF(B10="",1,0.8)*J10*350))</f>
        <v>203001.57166933335</v>
      </c>
      <c r="BZ10" s="157">
        <f t="shared" si="23"/>
        <v>50750.392917333338</v>
      </c>
      <c r="CA10" s="157">
        <f t="shared" si="24"/>
        <v>393186.92610844434</v>
      </c>
      <c r="CB10" s="157">
        <f t="shared" si="25"/>
        <v>98296.731527111086</v>
      </c>
      <c r="CC10" s="157">
        <f t="shared" si="26"/>
        <v>1572747.7044337774</v>
      </c>
      <c r="CD10" s="201">
        <f t="shared" si="27"/>
        <v>393186.92610844434</v>
      </c>
      <c r="CE10" s="155">
        <f t="shared" si="28"/>
        <v>393186.92610844434</v>
      </c>
      <c r="CG10" s="199">
        <f>$CJ$10*(CG9/$CJ$9)</f>
        <v>1019.7066666666666</v>
      </c>
      <c r="CH10" s="163">
        <f>$CJ$10*(CH9/$CJ$9)</f>
        <v>1189.6577777777777</v>
      </c>
      <c r="CI10" s="163">
        <f>$CJ$10*(CI9/$CJ$9)</f>
        <v>1359.6088888888887</v>
      </c>
      <c r="CJ10" s="164">
        <v>1529.56</v>
      </c>
      <c r="CK10" s="163">
        <f>$CJ$10*(CK9/$CJ$9)</f>
        <v>1869.4622222222224</v>
      </c>
      <c r="CL10" s="163">
        <f>$CJ$10*(CL9/$CJ$9)</f>
        <v>2209.3644444444444</v>
      </c>
      <c r="CM10" s="163">
        <f>$CJ$10*(CM9/$CJ$9)</f>
        <v>2549.2666666666669</v>
      </c>
      <c r="CN10" s="163">
        <f>$CJ$10*(CN9/$CJ$9)</f>
        <v>3059.12</v>
      </c>
    </row>
    <row r="11" spans="1:93" x14ac:dyDescent="0.2">
      <c r="A11" s="147" t="s">
        <v>453</v>
      </c>
      <c r="B11" s="57" t="s">
        <v>454</v>
      </c>
      <c r="C11" s="57" t="s">
        <v>443</v>
      </c>
      <c r="D11" s="148" t="s">
        <v>39</v>
      </c>
      <c r="E11" s="197">
        <v>52144</v>
      </c>
      <c r="F11" s="147">
        <f t="shared" si="18"/>
        <v>52973</v>
      </c>
      <c r="G11" s="342">
        <v>240</v>
      </c>
      <c r="H11" s="149">
        <f t="shared" si="2"/>
        <v>1064</v>
      </c>
      <c r="I11" s="346">
        <v>845.53511111111106</v>
      </c>
      <c r="J11" s="150">
        <v>54</v>
      </c>
      <c r="K11"/>
      <c r="L11" s="151">
        <v>4105</v>
      </c>
      <c r="M11" s="151">
        <v>12490</v>
      </c>
      <c r="N11" s="151">
        <v>12598</v>
      </c>
      <c r="O11" s="151">
        <v>8831</v>
      </c>
      <c r="P11" s="151">
        <v>6401</v>
      </c>
      <c r="Q11" s="151">
        <v>5253</v>
      </c>
      <c r="R11" s="151">
        <v>3107</v>
      </c>
      <c r="S11" s="151">
        <v>188</v>
      </c>
      <c r="T11" s="151">
        <v>52973</v>
      </c>
      <c r="U11" s="147"/>
      <c r="V11" s="152">
        <f t="shared" si="19"/>
        <v>7.7492307401883981E-2</v>
      </c>
      <c r="W11" s="152">
        <f t="shared" si="3"/>
        <v>0.2357804919487286</v>
      </c>
      <c r="X11" s="152">
        <f t="shared" si="4"/>
        <v>0.23781926641874163</v>
      </c>
      <c r="Y11" s="152">
        <f t="shared" si="5"/>
        <v>0.16670756800634284</v>
      </c>
      <c r="Z11" s="152">
        <f t="shared" si="6"/>
        <v>0.12083514243104979</v>
      </c>
      <c r="AA11" s="152">
        <f t="shared" si="7"/>
        <v>9.9163724916466883E-2</v>
      </c>
      <c r="AB11" s="152">
        <f t="shared" si="8"/>
        <v>5.8652521095652499E-2</v>
      </c>
      <c r="AC11" s="152">
        <f t="shared" si="9"/>
        <v>3.5489777811337853E-3</v>
      </c>
      <c r="AD11" s="152"/>
      <c r="AE11" s="221">
        <v>53</v>
      </c>
      <c r="AF11" s="221">
        <v>299</v>
      </c>
      <c r="AG11" s="221">
        <v>245</v>
      </c>
      <c r="AH11" s="221">
        <v>229</v>
      </c>
      <c r="AI11" s="221">
        <v>85</v>
      </c>
      <c r="AJ11" s="221">
        <v>83</v>
      </c>
      <c r="AK11" s="221">
        <v>60</v>
      </c>
      <c r="AL11" s="221">
        <v>3</v>
      </c>
      <c r="AM11" s="221">
        <v>1057</v>
      </c>
      <c r="AN11" s="147"/>
      <c r="AO11" s="221">
        <v>-7</v>
      </c>
      <c r="AP11" s="221">
        <v>-7</v>
      </c>
      <c r="AQ11" s="221">
        <v>19</v>
      </c>
      <c r="AR11" s="221">
        <v>2</v>
      </c>
      <c r="AS11" s="221">
        <v>-9</v>
      </c>
      <c r="AT11" s="221">
        <v>-7</v>
      </c>
      <c r="AU11" s="221">
        <v>4</v>
      </c>
      <c r="AV11" s="221">
        <v>-2</v>
      </c>
      <c r="AW11" s="221">
        <v>-7</v>
      </c>
      <c r="AX11" s="56">
        <f t="shared" si="29"/>
        <v>7</v>
      </c>
      <c r="AY11" s="56">
        <f t="shared" si="10"/>
        <v>7</v>
      </c>
      <c r="AZ11" s="56">
        <f t="shared" si="10"/>
        <v>-19</v>
      </c>
      <c r="BA11" s="56">
        <f t="shared" si="10"/>
        <v>-2</v>
      </c>
      <c r="BB11" s="56">
        <f t="shared" si="10"/>
        <v>9</v>
      </c>
      <c r="BC11" s="56">
        <f t="shared" si="10"/>
        <v>7</v>
      </c>
      <c r="BD11" s="56">
        <f t="shared" si="10"/>
        <v>-4</v>
      </c>
      <c r="BE11" s="56">
        <f t="shared" si="10"/>
        <v>2</v>
      </c>
      <c r="BF11" s="56">
        <f t="shared" si="10"/>
        <v>7</v>
      </c>
      <c r="BH11">
        <f t="shared" si="11"/>
        <v>0.8</v>
      </c>
      <c r="BI11">
        <f t="shared" si="20"/>
        <v>0.19999999999999996</v>
      </c>
      <c r="BJ11" s="154">
        <v>621103.38666666672</v>
      </c>
      <c r="BK11" s="155">
        <f t="shared" si="12"/>
        <v>621103.38666666672</v>
      </c>
      <c r="BL11" s="156">
        <v>816580.63288888894</v>
      </c>
      <c r="BM11" s="155">
        <f t="shared" si="13"/>
        <v>816580.63288888894</v>
      </c>
      <c r="BN11" s="158">
        <v>992708.34755555587</v>
      </c>
      <c r="BO11" s="155">
        <f t="shared" si="14"/>
        <v>992708.34755555587</v>
      </c>
      <c r="BP11" s="158">
        <v>436250.34666666668</v>
      </c>
      <c r="BQ11" s="155">
        <f t="shared" si="15"/>
        <v>436250.34666666668</v>
      </c>
      <c r="BR11" s="158">
        <v>283744.1368888889</v>
      </c>
      <c r="BS11" s="155">
        <f t="shared" si="16"/>
        <v>283744.1368888889</v>
      </c>
      <c r="BT11" s="194">
        <v>632430.53688888892</v>
      </c>
      <c r="BU11" s="194"/>
      <c r="BV11" s="348">
        <f t="shared" si="21"/>
        <v>632430.53688888892</v>
      </c>
      <c r="BW11" s="195">
        <f t="shared" si="17"/>
        <v>1304980.952888889</v>
      </c>
      <c r="BX11" s="157">
        <f t="shared" si="22"/>
        <v>326245.23822222225</v>
      </c>
      <c r="BY11" s="157">
        <f>IF(E11*$CJ$10*'Year 7 Payments'!$L$20*IF(B11="",1,0.8)&lt;=(BW11-(J11*350)),E11*$CJ$10*'Year 7 Payments'!$L$20*IF(B11="",1,0.8),BW11-(IF(B11="",1,0.8)*J11*350))</f>
        <v>255223.60524800001</v>
      </c>
      <c r="BZ11" s="157">
        <f t="shared" si="23"/>
        <v>63805.901312000002</v>
      </c>
      <c r="CA11" s="157">
        <f t="shared" si="24"/>
        <v>1049757.347640889</v>
      </c>
      <c r="CB11" s="157">
        <f t="shared" si="25"/>
        <v>262439.33691022225</v>
      </c>
      <c r="CC11" s="157">
        <f t="shared" si="26"/>
        <v>4199029.390563556</v>
      </c>
      <c r="CD11" s="201">
        <f t="shared" si="27"/>
        <v>1049757.347640889</v>
      </c>
      <c r="CE11" s="155">
        <f t="shared" si="28"/>
        <v>1049757.347640889</v>
      </c>
      <c r="CG11" s="57"/>
      <c r="CH11" s="57"/>
      <c r="CI11" s="57"/>
      <c r="CJ11" s="57"/>
      <c r="CK11" s="57"/>
      <c r="CL11" s="57"/>
      <c r="CM11" s="57"/>
      <c r="CN11" s="57"/>
    </row>
    <row r="12" spans="1:93" x14ac:dyDescent="0.2">
      <c r="A12" s="147" t="s">
        <v>455</v>
      </c>
      <c r="B12" s="57" t="s">
        <v>456</v>
      </c>
      <c r="C12" s="57" t="s">
        <v>443</v>
      </c>
      <c r="D12" s="148" t="s">
        <v>40</v>
      </c>
      <c r="E12" s="197">
        <v>80736.555555555547</v>
      </c>
      <c r="F12" s="147">
        <f t="shared" si="18"/>
        <v>78198</v>
      </c>
      <c r="G12" s="342">
        <v>168</v>
      </c>
      <c r="H12" s="149">
        <f t="shared" si="2"/>
        <v>1311</v>
      </c>
      <c r="I12" s="346">
        <v>1121.7204444444442</v>
      </c>
      <c r="J12" s="150">
        <v>150</v>
      </c>
      <c r="K12"/>
      <c r="L12" s="151">
        <v>3304</v>
      </c>
      <c r="M12" s="151">
        <v>12647</v>
      </c>
      <c r="N12" s="151">
        <v>22542</v>
      </c>
      <c r="O12" s="151">
        <v>13885</v>
      </c>
      <c r="P12" s="151">
        <v>11236</v>
      </c>
      <c r="Q12" s="151">
        <v>7963</v>
      </c>
      <c r="R12" s="151">
        <v>6209</v>
      </c>
      <c r="S12" s="151">
        <v>412</v>
      </c>
      <c r="T12" s="151">
        <v>78198</v>
      </c>
      <c r="U12" s="147"/>
      <c r="V12" s="152">
        <f t="shared" si="19"/>
        <v>4.2251719992838693E-2</v>
      </c>
      <c r="W12" s="152">
        <f t="shared" si="3"/>
        <v>0.16173047904038468</v>
      </c>
      <c r="X12" s="152">
        <f t="shared" si="4"/>
        <v>0.28826824215453078</v>
      </c>
      <c r="Y12" s="152">
        <f t="shared" si="5"/>
        <v>0.17756208598685388</v>
      </c>
      <c r="Z12" s="152">
        <f t="shared" si="6"/>
        <v>0.14368653929768024</v>
      </c>
      <c r="AA12" s="152">
        <f t="shared" si="7"/>
        <v>0.10183124888104556</v>
      </c>
      <c r="AB12" s="152">
        <f t="shared" si="8"/>
        <v>7.9401007698406606E-2</v>
      </c>
      <c r="AC12" s="152">
        <f t="shared" si="9"/>
        <v>5.2686769482595463E-3</v>
      </c>
      <c r="AD12" s="152"/>
      <c r="AE12" s="221">
        <v>39</v>
      </c>
      <c r="AF12" s="221">
        <v>118</v>
      </c>
      <c r="AG12" s="221">
        <v>305</v>
      </c>
      <c r="AH12" s="221">
        <v>258</v>
      </c>
      <c r="AI12" s="221">
        <v>204</v>
      </c>
      <c r="AJ12" s="221">
        <v>184</v>
      </c>
      <c r="AK12" s="221">
        <v>125</v>
      </c>
      <c r="AL12" s="221">
        <v>6</v>
      </c>
      <c r="AM12" s="221">
        <v>1239</v>
      </c>
      <c r="AN12" s="147"/>
      <c r="AO12" s="221">
        <v>-9</v>
      </c>
      <c r="AP12" s="221">
        <v>-13</v>
      </c>
      <c r="AQ12" s="221">
        <v>-35</v>
      </c>
      <c r="AR12" s="221">
        <v>-13</v>
      </c>
      <c r="AS12" s="221">
        <v>-4</v>
      </c>
      <c r="AT12" s="221">
        <v>1</v>
      </c>
      <c r="AU12" s="221">
        <v>2</v>
      </c>
      <c r="AV12" s="221">
        <v>-1</v>
      </c>
      <c r="AW12" s="221">
        <v>-72</v>
      </c>
      <c r="AX12" s="56">
        <f t="shared" si="29"/>
        <v>9</v>
      </c>
      <c r="AY12" s="56">
        <f t="shared" si="10"/>
        <v>13</v>
      </c>
      <c r="AZ12" s="56">
        <f t="shared" si="10"/>
        <v>35</v>
      </c>
      <c r="BA12" s="56">
        <f t="shared" si="10"/>
        <v>13</v>
      </c>
      <c r="BB12" s="56">
        <f t="shared" si="10"/>
        <v>4</v>
      </c>
      <c r="BC12" s="56">
        <f t="shared" si="10"/>
        <v>-1</v>
      </c>
      <c r="BD12" s="56">
        <f t="shared" si="10"/>
        <v>-2</v>
      </c>
      <c r="BE12" s="56">
        <f t="shared" si="10"/>
        <v>1</v>
      </c>
      <c r="BF12" s="56">
        <f t="shared" si="10"/>
        <v>72</v>
      </c>
      <c r="BH12">
        <f t="shared" si="11"/>
        <v>0.8</v>
      </c>
      <c r="BI12">
        <f t="shared" si="20"/>
        <v>0.19999999999999996</v>
      </c>
      <c r="BJ12" s="154">
        <v>810440.77333333332</v>
      </c>
      <c r="BK12" s="155">
        <f t="shared" si="12"/>
        <v>810440.77333333332</v>
      </c>
      <c r="BL12" s="156">
        <v>940347.37955555553</v>
      </c>
      <c r="BM12" s="155">
        <f t="shared" si="13"/>
        <v>940347.37955555553</v>
      </c>
      <c r="BN12" s="158">
        <v>1553232.7617777779</v>
      </c>
      <c r="BO12" s="155">
        <f t="shared" si="14"/>
        <v>1553232.7617777779</v>
      </c>
      <c r="BP12" s="158">
        <v>1318162.7733333334</v>
      </c>
      <c r="BQ12" s="155">
        <f t="shared" si="15"/>
        <v>1318162.7733333334</v>
      </c>
      <c r="BR12" s="158">
        <v>1618213.0684444448</v>
      </c>
      <c r="BS12" s="155">
        <f t="shared" si="16"/>
        <v>1618213.0684444448</v>
      </c>
      <c r="BT12" s="194">
        <v>2032013.4862222217</v>
      </c>
      <c r="BU12" s="194"/>
      <c r="BV12" s="348">
        <f t="shared" si="21"/>
        <v>2032013.4862222217</v>
      </c>
      <c r="BW12" s="195">
        <f t="shared" si="17"/>
        <v>1809763.4773333333</v>
      </c>
      <c r="BX12" s="157">
        <f t="shared" si="22"/>
        <v>452440.86933333334</v>
      </c>
      <c r="BY12" s="157">
        <f>IF(E12*$CJ$10*'Year 7 Payments'!$L$20*IF(B12="",1,0.8)&lt;=(BW12-(J12*350)),E12*$CJ$10*'Year 7 Payments'!$L$20*IF(B12="",1,0.8),BW12-(IF(B12="",1,0.8)*J12*350))</f>
        <v>395172.49892977776</v>
      </c>
      <c r="BZ12" s="157">
        <f t="shared" si="23"/>
        <v>98793.124732444441</v>
      </c>
      <c r="CA12" s="157">
        <f t="shared" si="24"/>
        <v>1414590.9784035557</v>
      </c>
      <c r="CB12" s="157">
        <f t="shared" si="25"/>
        <v>353647.74460088892</v>
      </c>
      <c r="CC12" s="157">
        <f t="shared" si="26"/>
        <v>5658363.9136142228</v>
      </c>
      <c r="CD12" s="201">
        <f t="shared" si="27"/>
        <v>1414590.9784035557</v>
      </c>
      <c r="CE12" s="155">
        <f t="shared" si="28"/>
        <v>1414590.9784035557</v>
      </c>
    </row>
    <row r="13" spans="1:93" x14ac:dyDescent="0.2">
      <c r="A13" s="147" t="s">
        <v>457</v>
      </c>
      <c r="B13" s="57" t="s">
        <v>458</v>
      </c>
      <c r="C13" s="57" t="s">
        <v>459</v>
      </c>
      <c r="D13" s="148" t="s">
        <v>41</v>
      </c>
      <c r="E13" s="197">
        <v>37626.555555555555</v>
      </c>
      <c r="F13" s="147">
        <f t="shared" si="18"/>
        <v>39984</v>
      </c>
      <c r="G13" s="342">
        <v>294</v>
      </c>
      <c r="H13" s="149">
        <f t="shared" si="2"/>
        <v>195</v>
      </c>
      <c r="I13" s="346">
        <v>45.160444444444437</v>
      </c>
      <c r="J13" s="150">
        <v>27</v>
      </c>
      <c r="K13"/>
      <c r="L13" s="151">
        <v>4749</v>
      </c>
      <c r="M13" s="151">
        <v>11710</v>
      </c>
      <c r="N13" s="151">
        <v>8086</v>
      </c>
      <c r="O13" s="151">
        <v>7174</v>
      </c>
      <c r="P13" s="151">
        <v>4198</v>
      </c>
      <c r="Q13" s="151">
        <v>2258</v>
      </c>
      <c r="R13" s="151">
        <v>1623</v>
      </c>
      <c r="S13" s="151">
        <v>186</v>
      </c>
      <c r="T13" s="151">
        <v>39984</v>
      </c>
      <c r="U13" s="147"/>
      <c r="V13" s="152">
        <f t="shared" si="19"/>
        <v>0.11877250900360144</v>
      </c>
      <c r="W13" s="152">
        <f t="shared" si="3"/>
        <v>0.29286714685874349</v>
      </c>
      <c r="X13" s="152">
        <f t="shared" si="4"/>
        <v>0.20223089235694278</v>
      </c>
      <c r="Y13" s="152">
        <f t="shared" si="5"/>
        <v>0.179421768707483</v>
      </c>
      <c r="Z13" s="152">
        <f t="shared" si="6"/>
        <v>0.10499199679871948</v>
      </c>
      <c r="AA13" s="152">
        <f t="shared" si="7"/>
        <v>5.6472589035614244E-2</v>
      </c>
      <c r="AB13" s="152">
        <f t="shared" si="8"/>
        <v>4.0591236494597838E-2</v>
      </c>
      <c r="AC13" s="152">
        <f t="shared" si="9"/>
        <v>4.6518607442977188E-3</v>
      </c>
      <c r="AD13" s="152"/>
      <c r="AE13" s="221">
        <v>45</v>
      </c>
      <c r="AF13" s="221">
        <v>-1</v>
      </c>
      <c r="AG13" s="221">
        <v>30</v>
      </c>
      <c r="AH13" s="221">
        <v>29</v>
      </c>
      <c r="AI13" s="221">
        <v>31</v>
      </c>
      <c r="AJ13" s="221">
        <v>27</v>
      </c>
      <c r="AK13" s="221">
        <v>11</v>
      </c>
      <c r="AL13" s="221">
        <v>1</v>
      </c>
      <c r="AM13" s="221">
        <v>173</v>
      </c>
      <c r="AN13" s="147"/>
      <c r="AO13" s="221">
        <v>-15</v>
      </c>
      <c r="AP13" s="221">
        <v>0</v>
      </c>
      <c r="AQ13" s="221">
        <v>-12</v>
      </c>
      <c r="AR13" s="221">
        <v>-1</v>
      </c>
      <c r="AS13" s="221">
        <v>1</v>
      </c>
      <c r="AT13" s="221">
        <v>5</v>
      </c>
      <c r="AU13" s="221">
        <v>1</v>
      </c>
      <c r="AV13" s="221">
        <v>-1</v>
      </c>
      <c r="AW13" s="221">
        <v>-22</v>
      </c>
      <c r="AX13" s="56">
        <f t="shared" si="29"/>
        <v>15</v>
      </c>
      <c r="AY13" s="56">
        <f t="shared" si="10"/>
        <v>0</v>
      </c>
      <c r="AZ13" s="56">
        <f t="shared" si="10"/>
        <v>12</v>
      </c>
      <c r="BA13" s="56">
        <f t="shared" si="10"/>
        <v>1</v>
      </c>
      <c r="BB13" s="56">
        <f t="shared" si="10"/>
        <v>-1</v>
      </c>
      <c r="BC13" s="56">
        <f t="shared" si="10"/>
        <v>-5</v>
      </c>
      <c r="BD13" s="56">
        <f t="shared" si="10"/>
        <v>-1</v>
      </c>
      <c r="BE13" s="56">
        <f t="shared" si="10"/>
        <v>1</v>
      </c>
      <c r="BF13" s="56">
        <f t="shared" si="10"/>
        <v>22</v>
      </c>
      <c r="BH13">
        <f t="shared" si="11"/>
        <v>0.8</v>
      </c>
      <c r="BI13">
        <f t="shared" si="20"/>
        <v>0.19999999999999996</v>
      </c>
      <c r="BJ13" s="154">
        <v>295391.90933333337</v>
      </c>
      <c r="BK13" s="155">
        <f t="shared" si="12"/>
        <v>295391.90933333337</v>
      </c>
      <c r="BL13" s="156">
        <v>334249.52355555556</v>
      </c>
      <c r="BM13" s="155">
        <f t="shared" si="13"/>
        <v>334249.52355555556</v>
      </c>
      <c r="BN13" s="158">
        <v>226091.28622222226</v>
      </c>
      <c r="BO13" s="155">
        <f t="shared" si="14"/>
        <v>226091.28622222226</v>
      </c>
      <c r="BP13" s="158">
        <v>359558.39999999997</v>
      </c>
      <c r="BQ13" s="155">
        <f t="shared" si="15"/>
        <v>359558.39999999997</v>
      </c>
      <c r="BR13" s="158">
        <v>387157.60711111105</v>
      </c>
      <c r="BS13" s="155">
        <f t="shared" si="16"/>
        <v>387157.60711111105</v>
      </c>
      <c r="BT13" s="194">
        <v>176600.36800000002</v>
      </c>
      <c r="BU13" s="194"/>
      <c r="BV13" s="348">
        <f t="shared" si="21"/>
        <v>176600.36800000002</v>
      </c>
      <c r="BW13" s="195">
        <f t="shared" si="17"/>
        <v>246987.1253333333</v>
      </c>
      <c r="BX13" s="157">
        <f t="shared" si="22"/>
        <v>61746.781333333325</v>
      </c>
      <c r="BY13" s="157">
        <f>IF(E13*$CJ$10*'Year 7 Payments'!$L$20*IF(B13="",1,0.8)&lt;=(BW13-(J13*350)),E13*$CJ$10*'Year 7 Payments'!$L$20*IF(B13="",1,0.8),BW13-(IF(B13="",1,0.8)*J13*350))</f>
        <v>184166.63780977778</v>
      </c>
      <c r="BZ13" s="157">
        <f t="shared" si="23"/>
        <v>46041.659452444444</v>
      </c>
      <c r="CA13" s="157">
        <f t="shared" si="24"/>
        <v>62820.487523555523</v>
      </c>
      <c r="CB13" s="157">
        <f t="shared" si="25"/>
        <v>15705.121880888881</v>
      </c>
      <c r="CC13" s="157">
        <f t="shared" si="26"/>
        <v>251281.95009422209</v>
      </c>
      <c r="CD13" s="201">
        <f t="shared" si="27"/>
        <v>62820.487523555523</v>
      </c>
      <c r="CE13" s="155">
        <f t="shared" si="28"/>
        <v>62820.487523555523</v>
      </c>
      <c r="CG13" s="165" t="s">
        <v>25</v>
      </c>
      <c r="CH13" s="166">
        <f>BK1</f>
        <v>60</v>
      </c>
    </row>
    <row r="14" spans="1:93" x14ac:dyDescent="0.2">
      <c r="A14" s="147" t="s">
        <v>460</v>
      </c>
      <c r="B14" s="57"/>
      <c r="C14" s="57" t="s">
        <v>461</v>
      </c>
      <c r="D14" s="148" t="s">
        <v>42</v>
      </c>
      <c r="E14" s="197">
        <v>64656.777777777774</v>
      </c>
      <c r="F14" s="147">
        <f t="shared" si="18"/>
        <v>74327</v>
      </c>
      <c r="G14" s="342">
        <v>110</v>
      </c>
      <c r="H14" s="149">
        <f t="shared" si="2"/>
        <v>431</v>
      </c>
      <c r="I14" s="346">
        <v>186.59511111111112</v>
      </c>
      <c r="J14" s="150">
        <v>318</v>
      </c>
      <c r="K14"/>
      <c r="L14" s="151">
        <v>6501</v>
      </c>
      <c r="M14" s="151">
        <v>11437</v>
      </c>
      <c r="N14" s="151">
        <v>44866</v>
      </c>
      <c r="O14" s="151">
        <v>9408</v>
      </c>
      <c r="P14" s="151">
        <v>1718</v>
      </c>
      <c r="Q14" s="151">
        <v>337</v>
      </c>
      <c r="R14" s="151">
        <v>44</v>
      </c>
      <c r="S14" s="151">
        <v>16</v>
      </c>
      <c r="T14" s="151">
        <v>74327</v>
      </c>
      <c r="U14" s="147"/>
      <c r="V14" s="152">
        <f t="shared" si="19"/>
        <v>8.7464851265354443E-2</v>
      </c>
      <c r="W14" s="152">
        <f t="shared" si="3"/>
        <v>0.15387409689614812</v>
      </c>
      <c r="X14" s="152">
        <f t="shared" si="4"/>
        <v>0.60362990568703168</v>
      </c>
      <c r="Y14" s="152">
        <f t="shared" si="5"/>
        <v>0.12657580690731499</v>
      </c>
      <c r="Z14" s="152">
        <f t="shared" si="6"/>
        <v>2.3114076984137661E-2</v>
      </c>
      <c r="AA14" s="152">
        <f t="shared" si="7"/>
        <v>4.5340185935124518E-3</v>
      </c>
      <c r="AB14" s="152">
        <f t="shared" si="8"/>
        <v>5.9197868876720435E-4</v>
      </c>
      <c r="AC14" s="152">
        <f t="shared" si="9"/>
        <v>2.1526497773352886E-4</v>
      </c>
      <c r="AD14" s="152"/>
      <c r="AE14" s="221">
        <v>-237</v>
      </c>
      <c r="AF14" s="221">
        <v>20</v>
      </c>
      <c r="AG14" s="221">
        <v>345</v>
      </c>
      <c r="AH14" s="221">
        <v>174</v>
      </c>
      <c r="AI14" s="221">
        <v>31</v>
      </c>
      <c r="AJ14" s="221">
        <v>8</v>
      </c>
      <c r="AK14" s="221">
        <v>0</v>
      </c>
      <c r="AL14" s="221">
        <v>-2</v>
      </c>
      <c r="AM14" s="221">
        <v>339</v>
      </c>
      <c r="AN14" s="147"/>
      <c r="AO14" s="221">
        <v>-41</v>
      </c>
      <c r="AP14" s="221">
        <v>-24</v>
      </c>
      <c r="AQ14" s="221">
        <v>-55</v>
      </c>
      <c r="AR14" s="221">
        <v>10</v>
      </c>
      <c r="AS14" s="221">
        <v>12</v>
      </c>
      <c r="AT14" s="221">
        <v>6</v>
      </c>
      <c r="AU14" s="221">
        <v>0</v>
      </c>
      <c r="AV14" s="221">
        <v>0</v>
      </c>
      <c r="AW14" s="221">
        <v>-92</v>
      </c>
      <c r="AX14" s="56">
        <f t="shared" si="29"/>
        <v>41</v>
      </c>
      <c r="AY14" s="56">
        <f t="shared" si="10"/>
        <v>24</v>
      </c>
      <c r="AZ14" s="56">
        <f t="shared" si="10"/>
        <v>55</v>
      </c>
      <c r="BA14" s="56">
        <f t="shared" si="10"/>
        <v>-10</v>
      </c>
      <c r="BB14" s="56">
        <f t="shared" si="10"/>
        <v>-12</v>
      </c>
      <c r="BC14" s="56">
        <f t="shared" si="10"/>
        <v>-6</v>
      </c>
      <c r="BD14" s="56">
        <f t="shared" si="10"/>
        <v>0</v>
      </c>
      <c r="BE14" s="56">
        <f t="shared" si="10"/>
        <v>0</v>
      </c>
      <c r="BF14" s="56">
        <f t="shared" si="10"/>
        <v>92</v>
      </c>
      <c r="BH14">
        <f t="shared" si="11"/>
        <v>1</v>
      </c>
      <c r="BI14">
        <f t="shared" si="20"/>
        <v>0</v>
      </c>
      <c r="BJ14" s="154">
        <v>719290.17333333346</v>
      </c>
      <c r="BK14" s="155">
        <f t="shared" si="12"/>
        <v>719290.17333333346</v>
      </c>
      <c r="BL14" s="156">
        <v>749594.4055555556</v>
      </c>
      <c r="BM14" s="155">
        <f t="shared" si="13"/>
        <v>749594.4055555556</v>
      </c>
      <c r="BN14" s="158">
        <v>996051.21222222224</v>
      </c>
      <c r="BO14" s="155">
        <f t="shared" si="14"/>
        <v>996051.21222222224</v>
      </c>
      <c r="BP14" s="158">
        <v>596540.66666666663</v>
      </c>
      <c r="BQ14" s="155">
        <f t="shared" si="15"/>
        <v>596540.66666666663</v>
      </c>
      <c r="BR14" s="158">
        <v>703054.82</v>
      </c>
      <c r="BS14" s="155">
        <f t="shared" si="16"/>
        <v>703054.82</v>
      </c>
      <c r="BT14" s="194">
        <v>2172769.6666666665</v>
      </c>
      <c r="BU14" s="194"/>
      <c r="BV14" s="348">
        <f t="shared" si="21"/>
        <v>2172769.6666666665</v>
      </c>
      <c r="BW14" s="195">
        <f t="shared" si="17"/>
        <v>792294.10222222214</v>
      </c>
      <c r="BX14" s="157" t="str">
        <f t="shared" si="22"/>
        <v>0</v>
      </c>
      <c r="BY14" s="157">
        <f>IF(E14*$CJ$10*'Year 7 Payments'!$L$20*IF(B14="",1,0.8)&lt;=(BW14-(J14*350)),E14*$CJ$10*'Year 7 Payments'!$L$20*IF(B14="",1,0.8),BW14-(IF(B14="",1,0.8)*J14*350))</f>
        <v>395585.68407111109</v>
      </c>
      <c r="BZ14" s="157" t="str">
        <f t="shared" si="23"/>
        <v>0</v>
      </c>
      <c r="CA14" s="157">
        <f t="shared" si="24"/>
        <v>396708.41815111105</v>
      </c>
      <c r="CB14" s="157">
        <f t="shared" si="25"/>
        <v>0</v>
      </c>
      <c r="CC14" s="157">
        <f t="shared" si="26"/>
        <v>1586833.6726044442</v>
      </c>
      <c r="CD14" s="201">
        <f t="shared" si="27"/>
        <v>0</v>
      </c>
      <c r="CE14" s="155">
        <f t="shared" si="28"/>
        <v>396708.41815111105</v>
      </c>
      <c r="CG14" s="167" t="s">
        <v>26</v>
      </c>
      <c r="CH14" s="168">
        <f>BM1</f>
        <v>62</v>
      </c>
    </row>
    <row r="15" spans="1:93" x14ac:dyDescent="0.2">
      <c r="A15" s="147" t="s">
        <v>462</v>
      </c>
      <c r="B15" s="57"/>
      <c r="C15" s="57" t="s">
        <v>461</v>
      </c>
      <c r="D15" s="148" t="s">
        <v>43</v>
      </c>
      <c r="E15" s="197">
        <v>166736</v>
      </c>
      <c r="F15" s="147">
        <f t="shared" si="18"/>
        <v>146381</v>
      </c>
      <c r="G15" s="342">
        <v>1100</v>
      </c>
      <c r="H15" s="149">
        <f t="shared" si="2"/>
        <v>1646</v>
      </c>
      <c r="I15" s="346">
        <v>1011.944888888889</v>
      </c>
      <c r="J15" s="150">
        <v>128</v>
      </c>
      <c r="K15"/>
      <c r="L15" s="151">
        <v>3953</v>
      </c>
      <c r="M15" s="151">
        <v>9944</v>
      </c>
      <c r="N15" s="151">
        <v>28737</v>
      </c>
      <c r="O15" s="151">
        <v>33976</v>
      </c>
      <c r="P15" s="151">
        <v>30436</v>
      </c>
      <c r="Q15" s="151">
        <v>19352</v>
      </c>
      <c r="R15" s="151">
        <v>15882</v>
      </c>
      <c r="S15" s="151">
        <v>4101</v>
      </c>
      <c r="T15" s="151">
        <v>146381</v>
      </c>
      <c r="U15" s="147"/>
      <c r="V15" s="152">
        <f t="shared" si="19"/>
        <v>2.7004870850725161E-2</v>
      </c>
      <c r="W15" s="152">
        <f t="shared" si="3"/>
        <v>6.7932313619937013E-2</v>
      </c>
      <c r="X15" s="152">
        <f t="shared" si="4"/>
        <v>0.19631646183589399</v>
      </c>
      <c r="Y15" s="152">
        <f t="shared" si="5"/>
        <v>0.23210662585991351</v>
      </c>
      <c r="Z15" s="152">
        <f t="shared" si="6"/>
        <v>0.20792315942642831</v>
      </c>
      <c r="AA15" s="152">
        <f t="shared" si="7"/>
        <v>0.13220294983638586</v>
      </c>
      <c r="AB15" s="152">
        <f t="shared" si="8"/>
        <v>0.10849768754141589</v>
      </c>
      <c r="AC15" s="152">
        <f t="shared" si="9"/>
        <v>2.8015931029300251E-2</v>
      </c>
      <c r="AD15" s="152"/>
      <c r="AE15" s="221">
        <v>409</v>
      </c>
      <c r="AF15" s="221">
        <v>-53</v>
      </c>
      <c r="AG15" s="221">
        <v>376</v>
      </c>
      <c r="AH15" s="221">
        <v>368</v>
      </c>
      <c r="AI15" s="221">
        <v>170</v>
      </c>
      <c r="AJ15" s="221">
        <v>94</v>
      </c>
      <c r="AK15" s="221">
        <v>107</v>
      </c>
      <c r="AL15" s="221">
        <v>26</v>
      </c>
      <c r="AM15" s="221">
        <v>1497</v>
      </c>
      <c r="AN15" s="147"/>
      <c r="AO15" s="221">
        <v>-7</v>
      </c>
      <c r="AP15" s="221">
        <v>-17</v>
      </c>
      <c r="AQ15" s="221">
        <v>-40</v>
      </c>
      <c r="AR15" s="221">
        <v>-34</v>
      </c>
      <c r="AS15" s="221">
        <v>-3</v>
      </c>
      <c r="AT15" s="221">
        <v>-29</v>
      </c>
      <c r="AU15" s="221">
        <v>1</v>
      </c>
      <c r="AV15" s="221">
        <v>-20</v>
      </c>
      <c r="AW15" s="221">
        <v>-149</v>
      </c>
      <c r="AX15" s="56">
        <f t="shared" si="29"/>
        <v>7</v>
      </c>
      <c r="AY15" s="56">
        <f t="shared" si="10"/>
        <v>17</v>
      </c>
      <c r="AZ15" s="56">
        <f t="shared" si="10"/>
        <v>40</v>
      </c>
      <c r="BA15" s="56">
        <f t="shared" si="10"/>
        <v>34</v>
      </c>
      <c r="BB15" s="56">
        <f t="shared" si="10"/>
        <v>3</v>
      </c>
      <c r="BC15" s="56">
        <f t="shared" si="10"/>
        <v>29</v>
      </c>
      <c r="BD15" s="56">
        <f t="shared" si="10"/>
        <v>-1</v>
      </c>
      <c r="BE15" s="56">
        <f t="shared" si="10"/>
        <v>20</v>
      </c>
      <c r="BF15" s="56">
        <f t="shared" si="10"/>
        <v>149</v>
      </c>
      <c r="BH15">
        <f t="shared" si="11"/>
        <v>1</v>
      </c>
      <c r="BI15">
        <f t="shared" si="20"/>
        <v>0</v>
      </c>
      <c r="BJ15" s="154">
        <v>1517737.4466666665</v>
      </c>
      <c r="BK15" s="155">
        <f t="shared" si="12"/>
        <v>1517737.4466666665</v>
      </c>
      <c r="BL15" s="156">
        <v>1612781.9844444445</v>
      </c>
      <c r="BM15" s="155">
        <f t="shared" si="13"/>
        <v>1612781.9844444445</v>
      </c>
      <c r="BN15" s="158">
        <v>3050933.595555556</v>
      </c>
      <c r="BO15" s="155">
        <f t="shared" si="14"/>
        <v>3050933.595555556</v>
      </c>
      <c r="BP15" s="158">
        <v>2054860.7999999998</v>
      </c>
      <c r="BQ15" s="155">
        <f t="shared" si="15"/>
        <v>2054860.7999999998</v>
      </c>
      <c r="BR15" s="158">
        <v>1855596.3422222224</v>
      </c>
      <c r="BS15" s="155">
        <f t="shared" si="16"/>
        <v>1855596.3422222224</v>
      </c>
      <c r="BT15" s="194">
        <v>2215591.14</v>
      </c>
      <c r="BU15" s="194"/>
      <c r="BV15" s="348">
        <f t="shared" si="21"/>
        <v>2215591.14</v>
      </c>
      <c r="BW15" s="195">
        <f t="shared" si="17"/>
        <v>2612761.2888888889</v>
      </c>
      <c r="BX15" s="157" t="str">
        <f t="shared" si="22"/>
        <v>0</v>
      </c>
      <c r="BY15" s="157">
        <f>IF(E15*$CJ$10*'Year 7 Payments'!$L$20*IF(B15="",1,0.8)&lt;=(BW15-(J15*350)),E15*$CJ$10*'Year 7 Payments'!$L$20*IF(B15="",1,0.8),BW15-(IF(B15="",1,0.8)*J15*350))</f>
        <v>1020130.86464</v>
      </c>
      <c r="BZ15" s="157" t="str">
        <f t="shared" si="23"/>
        <v>0</v>
      </c>
      <c r="CA15" s="157">
        <f t="shared" si="24"/>
        <v>1592630.4242488889</v>
      </c>
      <c r="CB15" s="157">
        <f t="shared" si="25"/>
        <v>0</v>
      </c>
      <c r="CC15" s="157">
        <f t="shared" si="26"/>
        <v>6370521.6969955554</v>
      </c>
      <c r="CD15" s="201">
        <f t="shared" si="27"/>
        <v>0</v>
      </c>
      <c r="CE15" s="155">
        <f t="shared" si="28"/>
        <v>1592630.4242488889</v>
      </c>
      <c r="CG15" s="167" t="s">
        <v>27</v>
      </c>
      <c r="CH15" s="168">
        <f>BO1</f>
        <v>64</v>
      </c>
    </row>
    <row r="16" spans="1:93" x14ac:dyDescent="0.2">
      <c r="A16" s="147" t="s">
        <v>463</v>
      </c>
      <c r="B16" s="57"/>
      <c r="C16" s="57" t="s">
        <v>464</v>
      </c>
      <c r="D16" s="148" t="s">
        <v>44</v>
      </c>
      <c r="E16" s="197">
        <v>82416.222222222219</v>
      </c>
      <c r="F16" s="147">
        <f t="shared" si="18"/>
        <v>109109</v>
      </c>
      <c r="G16" s="342">
        <v>1288</v>
      </c>
      <c r="H16" s="149">
        <f t="shared" si="2"/>
        <v>892</v>
      </c>
      <c r="I16" s="346">
        <v>451.4462222222221</v>
      </c>
      <c r="J16" s="150">
        <v>169</v>
      </c>
      <c r="K16"/>
      <c r="L16" s="151">
        <v>64429</v>
      </c>
      <c r="M16" s="151">
        <v>17667</v>
      </c>
      <c r="N16" s="151">
        <v>12874</v>
      </c>
      <c r="O16" s="151">
        <v>8446</v>
      </c>
      <c r="P16" s="151">
        <v>3610</v>
      </c>
      <c r="Q16" s="151">
        <v>1411</v>
      </c>
      <c r="R16" s="151">
        <v>626</v>
      </c>
      <c r="S16" s="151">
        <v>46</v>
      </c>
      <c r="T16" s="151">
        <v>109109</v>
      </c>
      <c r="U16" s="147"/>
      <c r="V16" s="152">
        <f t="shared" si="19"/>
        <v>0.59050124187738862</v>
      </c>
      <c r="W16" s="152">
        <f t="shared" si="3"/>
        <v>0.16192064815918028</v>
      </c>
      <c r="X16" s="152">
        <f t="shared" si="4"/>
        <v>0.11799209964347579</v>
      </c>
      <c r="Y16" s="152">
        <f t="shared" si="5"/>
        <v>7.7408829702407686E-2</v>
      </c>
      <c r="Z16" s="152">
        <f t="shared" si="6"/>
        <v>3.30861798751707E-2</v>
      </c>
      <c r="AA16" s="152">
        <f t="shared" si="7"/>
        <v>1.2932022106334033E-2</v>
      </c>
      <c r="AB16" s="152">
        <f t="shared" si="8"/>
        <v>5.7373818841708751E-3</v>
      </c>
      <c r="AC16" s="152">
        <f t="shared" si="9"/>
        <v>4.2159675187198123E-4</v>
      </c>
      <c r="AD16" s="152"/>
      <c r="AE16" s="221">
        <v>260</v>
      </c>
      <c r="AF16" s="221">
        <v>212</v>
      </c>
      <c r="AG16" s="221">
        <v>152</v>
      </c>
      <c r="AH16" s="221">
        <v>137</v>
      </c>
      <c r="AI16" s="221">
        <v>54</v>
      </c>
      <c r="AJ16" s="221">
        <v>35</v>
      </c>
      <c r="AK16" s="221">
        <v>16</v>
      </c>
      <c r="AL16" s="221">
        <v>2</v>
      </c>
      <c r="AM16" s="221">
        <v>868</v>
      </c>
      <c r="AN16" s="147"/>
      <c r="AO16" s="221">
        <v>-40</v>
      </c>
      <c r="AP16" s="221">
        <v>17</v>
      </c>
      <c r="AQ16" s="221">
        <v>25</v>
      </c>
      <c r="AR16" s="221">
        <v>-13</v>
      </c>
      <c r="AS16" s="221">
        <v>-3</v>
      </c>
      <c r="AT16" s="221">
        <v>-6</v>
      </c>
      <c r="AU16" s="221">
        <v>-3</v>
      </c>
      <c r="AV16" s="221">
        <v>-1</v>
      </c>
      <c r="AW16" s="221">
        <v>-24</v>
      </c>
      <c r="AX16" s="56">
        <f t="shared" si="29"/>
        <v>40</v>
      </c>
      <c r="AY16" s="56">
        <f t="shared" si="10"/>
        <v>-17</v>
      </c>
      <c r="AZ16" s="56">
        <f t="shared" si="10"/>
        <v>-25</v>
      </c>
      <c r="BA16" s="56">
        <f t="shared" si="10"/>
        <v>13</v>
      </c>
      <c r="BB16" s="56">
        <f t="shared" si="10"/>
        <v>3</v>
      </c>
      <c r="BC16" s="56">
        <f t="shared" si="10"/>
        <v>6</v>
      </c>
      <c r="BD16" s="56">
        <f t="shared" si="10"/>
        <v>3</v>
      </c>
      <c r="BE16" s="56">
        <f t="shared" si="10"/>
        <v>1</v>
      </c>
      <c r="BF16" s="56">
        <f t="shared" si="10"/>
        <v>24</v>
      </c>
      <c r="BH16">
        <f t="shared" si="11"/>
        <v>1</v>
      </c>
      <c r="BI16">
        <f t="shared" si="20"/>
        <v>0</v>
      </c>
      <c r="BJ16" s="154">
        <v>698661.35333333351</v>
      </c>
      <c r="BK16" s="155">
        <f t="shared" si="12"/>
        <v>698661.35333333351</v>
      </c>
      <c r="BL16" s="156">
        <v>1371838.3166666667</v>
      </c>
      <c r="BM16" s="155">
        <f t="shared" si="13"/>
        <v>1371838.3166666667</v>
      </c>
      <c r="BN16" s="158">
        <v>1382771.1688888893</v>
      </c>
      <c r="BO16" s="155">
        <f t="shared" si="14"/>
        <v>1382771.1688888893</v>
      </c>
      <c r="BP16" s="158">
        <v>1079530.6666666665</v>
      </c>
      <c r="BQ16" s="155">
        <f t="shared" si="15"/>
        <v>1079530.6666666665</v>
      </c>
      <c r="BR16" s="158">
        <v>1076901.6866666668</v>
      </c>
      <c r="BS16" s="155">
        <f t="shared" si="16"/>
        <v>1076901.6866666668</v>
      </c>
      <c r="BT16" s="194">
        <v>977083.79999999993</v>
      </c>
      <c r="BU16" s="194">
        <v>3150</v>
      </c>
      <c r="BV16" s="349">
        <f t="shared" si="21"/>
        <v>980233.79999999993</v>
      </c>
      <c r="BW16" s="195">
        <f t="shared" si="17"/>
        <v>1253906.311111111</v>
      </c>
      <c r="BX16" s="157" t="str">
        <f t="shared" si="22"/>
        <v>0</v>
      </c>
      <c r="BY16" s="157">
        <f>IF(E16*$CJ$10*'Year 7 Payments'!$L$20*IF(B16="",1,0.8)&lt;=(BW16-(J16*350)),E16*$CJ$10*'Year 7 Payments'!$L$20*IF(B16="",1,0.8),BW16-(IF(B16="",1,0.8)*J16*350))</f>
        <v>504242.22744888882</v>
      </c>
      <c r="BZ16" s="157" t="str">
        <f t="shared" si="23"/>
        <v>0</v>
      </c>
      <c r="CA16" s="157">
        <f t="shared" si="24"/>
        <v>749664.08366222214</v>
      </c>
      <c r="CB16" s="157">
        <f t="shared" si="25"/>
        <v>0</v>
      </c>
      <c r="CC16" s="157">
        <f t="shared" si="26"/>
        <v>2998656.3346488886</v>
      </c>
      <c r="CD16" s="201">
        <f t="shared" si="27"/>
        <v>0</v>
      </c>
      <c r="CE16" s="155">
        <f t="shared" si="28"/>
        <v>749664.08366222214</v>
      </c>
      <c r="CG16" s="167" t="s">
        <v>28</v>
      </c>
      <c r="CH16" s="168">
        <f>BQ1</f>
        <v>66</v>
      </c>
    </row>
    <row r="17" spans="1:93" x14ac:dyDescent="0.2">
      <c r="A17" s="147" t="s">
        <v>465</v>
      </c>
      <c r="B17" s="57" t="s">
        <v>445</v>
      </c>
      <c r="C17" s="57" t="s">
        <v>446</v>
      </c>
      <c r="D17" s="148" t="s">
        <v>45</v>
      </c>
      <c r="E17" s="197">
        <v>24901.777777777777</v>
      </c>
      <c r="F17" s="147">
        <f t="shared" si="18"/>
        <v>33548</v>
      </c>
      <c r="G17" s="342">
        <v>907</v>
      </c>
      <c r="H17" s="149">
        <f t="shared" si="2"/>
        <v>62</v>
      </c>
      <c r="I17" s="346">
        <v>0</v>
      </c>
      <c r="J17" s="150">
        <v>2</v>
      </c>
      <c r="K17"/>
      <c r="L17" s="151">
        <v>19799</v>
      </c>
      <c r="M17" s="151">
        <v>5470</v>
      </c>
      <c r="N17" s="151">
        <v>4674</v>
      </c>
      <c r="O17" s="151">
        <v>2305</v>
      </c>
      <c r="P17" s="151">
        <v>987</v>
      </c>
      <c r="Q17" s="151">
        <v>234</v>
      </c>
      <c r="R17" s="151">
        <v>70</v>
      </c>
      <c r="S17" s="151">
        <v>9</v>
      </c>
      <c r="T17" s="151">
        <v>33548</v>
      </c>
      <c r="U17" s="147"/>
      <c r="V17" s="152">
        <f t="shared" si="19"/>
        <v>0.59016930964588055</v>
      </c>
      <c r="W17" s="152">
        <f t="shared" si="3"/>
        <v>0.16304995826874927</v>
      </c>
      <c r="X17" s="152">
        <f t="shared" si="4"/>
        <v>0.13932276141647787</v>
      </c>
      <c r="Y17" s="152">
        <f t="shared" si="5"/>
        <v>6.8707523548348637E-2</v>
      </c>
      <c r="Z17" s="152">
        <f t="shared" si="6"/>
        <v>2.9420531775366639E-2</v>
      </c>
      <c r="AA17" s="152">
        <f t="shared" si="7"/>
        <v>6.9750804816978654E-3</v>
      </c>
      <c r="AB17" s="152">
        <f t="shared" si="8"/>
        <v>2.0865625372600452E-3</v>
      </c>
      <c r="AC17" s="152">
        <f t="shared" si="9"/>
        <v>2.6827232621914871E-4</v>
      </c>
      <c r="AD17" s="152"/>
      <c r="AE17" s="221">
        <v>17</v>
      </c>
      <c r="AF17" s="221">
        <v>19</v>
      </c>
      <c r="AG17" s="221">
        <v>25</v>
      </c>
      <c r="AH17" s="221">
        <v>10</v>
      </c>
      <c r="AI17" s="221">
        <v>7</v>
      </c>
      <c r="AJ17" s="221">
        <v>0</v>
      </c>
      <c r="AK17" s="221">
        <v>0</v>
      </c>
      <c r="AL17" s="221">
        <v>0</v>
      </c>
      <c r="AM17" s="221">
        <v>78</v>
      </c>
      <c r="AN17" s="147"/>
      <c r="AO17" s="221">
        <v>19</v>
      </c>
      <c r="AP17" s="221">
        <v>0</v>
      </c>
      <c r="AQ17" s="221">
        <v>1</v>
      </c>
      <c r="AR17" s="221">
        <v>0</v>
      </c>
      <c r="AS17" s="221">
        <v>-4</v>
      </c>
      <c r="AT17" s="221">
        <v>1</v>
      </c>
      <c r="AU17" s="221">
        <v>-1</v>
      </c>
      <c r="AV17" s="221">
        <v>0</v>
      </c>
      <c r="AW17" s="221">
        <v>16</v>
      </c>
      <c r="AX17" s="56">
        <f t="shared" si="29"/>
        <v>-19</v>
      </c>
      <c r="AY17" s="56">
        <f t="shared" si="10"/>
        <v>0</v>
      </c>
      <c r="AZ17" s="56">
        <f t="shared" si="10"/>
        <v>-1</v>
      </c>
      <c r="BA17" s="56">
        <f t="shared" si="10"/>
        <v>0</v>
      </c>
      <c r="BB17" s="56">
        <f t="shared" si="10"/>
        <v>4</v>
      </c>
      <c r="BC17" s="56">
        <f t="shared" si="10"/>
        <v>-1</v>
      </c>
      <c r="BD17" s="56">
        <f t="shared" si="10"/>
        <v>1</v>
      </c>
      <c r="BE17" s="56">
        <f t="shared" si="10"/>
        <v>0</v>
      </c>
      <c r="BF17" s="56">
        <f t="shared" si="10"/>
        <v>-16</v>
      </c>
      <c r="BH17">
        <f t="shared" si="11"/>
        <v>0.8</v>
      </c>
      <c r="BI17">
        <f t="shared" si="20"/>
        <v>0.19999999999999996</v>
      </c>
      <c r="BJ17" s="154">
        <v>157866.4426666667</v>
      </c>
      <c r="BK17" s="155">
        <f t="shared" si="12"/>
        <v>157866.4426666667</v>
      </c>
      <c r="BL17" s="156">
        <v>17360</v>
      </c>
      <c r="BM17" s="155">
        <f t="shared" si="13"/>
        <v>17360</v>
      </c>
      <c r="BN17" s="158">
        <v>14574.470222222226</v>
      </c>
      <c r="BO17" s="155">
        <f t="shared" si="14"/>
        <v>14574.470222222226</v>
      </c>
      <c r="BP17" s="158">
        <v>183056.85333333333</v>
      </c>
      <c r="BQ17" s="155">
        <f t="shared" si="15"/>
        <v>183056.85333333333</v>
      </c>
      <c r="BR17" s="158">
        <v>94072.954666666672</v>
      </c>
      <c r="BS17" s="155">
        <f t="shared" si="16"/>
        <v>94072.954666666672</v>
      </c>
      <c r="BT17" s="194">
        <v>0</v>
      </c>
      <c r="BU17" s="194"/>
      <c r="BV17" s="348">
        <f t="shared" si="21"/>
        <v>0</v>
      </c>
      <c r="BW17" s="195">
        <f t="shared" si="17"/>
        <v>72075.42755555555</v>
      </c>
      <c r="BX17" s="157">
        <f t="shared" si="22"/>
        <v>18018.856888888888</v>
      </c>
      <c r="BY17" s="157">
        <f>IF(E17*$CJ$10*'Year 7 Payments'!$L$20*IF(B17="",1,0.8)&lt;=(BW17-(J17*350)),E17*$CJ$10*'Year 7 Payments'!$L$20*IF(B17="",1,0.8),BW17-(IF(B17="",1,0.8)*J17*350))</f>
        <v>71515.42755555555</v>
      </c>
      <c r="BZ17" s="157">
        <f t="shared" si="23"/>
        <v>17878.856888888888</v>
      </c>
      <c r="CA17" s="157">
        <f t="shared" si="24"/>
        <v>560</v>
      </c>
      <c r="CB17" s="157">
        <f t="shared" si="25"/>
        <v>140</v>
      </c>
      <c r="CC17" s="157">
        <f t="shared" si="26"/>
        <v>2240</v>
      </c>
      <c r="CD17" s="201">
        <f t="shared" si="27"/>
        <v>560</v>
      </c>
      <c r="CE17" s="155">
        <f t="shared" si="28"/>
        <v>560</v>
      </c>
      <c r="CG17" s="167" t="s">
        <v>29</v>
      </c>
      <c r="CH17" s="168">
        <f>BS1</f>
        <v>68</v>
      </c>
    </row>
    <row r="18" spans="1:93" x14ac:dyDescent="0.2">
      <c r="A18" s="147" t="s">
        <v>466</v>
      </c>
      <c r="B18" s="57" t="s">
        <v>467</v>
      </c>
      <c r="C18" s="57" t="s">
        <v>459</v>
      </c>
      <c r="D18" s="148" t="s">
        <v>46</v>
      </c>
      <c r="E18" s="197">
        <v>72699.777777777781</v>
      </c>
      <c r="F18" s="147">
        <f t="shared" si="18"/>
        <v>77685</v>
      </c>
      <c r="G18" s="342">
        <v>374</v>
      </c>
      <c r="H18" s="149">
        <f t="shared" si="2"/>
        <v>632</v>
      </c>
      <c r="I18" s="346">
        <v>289.64533333333333</v>
      </c>
      <c r="J18" s="150">
        <v>56</v>
      </c>
      <c r="K18"/>
      <c r="L18" s="151">
        <v>8836</v>
      </c>
      <c r="M18" s="151">
        <v>16006</v>
      </c>
      <c r="N18" s="151">
        <v>24357</v>
      </c>
      <c r="O18" s="151">
        <v>14406</v>
      </c>
      <c r="P18" s="151">
        <v>7380</v>
      </c>
      <c r="Q18" s="151">
        <v>4568</v>
      </c>
      <c r="R18" s="151">
        <v>1971</v>
      </c>
      <c r="S18" s="151">
        <v>161</v>
      </c>
      <c r="T18" s="151">
        <v>77685</v>
      </c>
      <c r="U18" s="147"/>
      <c r="V18" s="152">
        <f t="shared" si="19"/>
        <v>0.11374139151702388</v>
      </c>
      <c r="W18" s="152">
        <f t="shared" si="3"/>
        <v>0.20603720151895474</v>
      </c>
      <c r="X18" s="152">
        <f t="shared" si="4"/>
        <v>0.31353543155049235</v>
      </c>
      <c r="Y18" s="152">
        <f t="shared" si="5"/>
        <v>0.1854412048658042</v>
      </c>
      <c r="Z18" s="152">
        <f t="shared" si="6"/>
        <v>9.4999034562656889E-2</v>
      </c>
      <c r="AA18" s="152">
        <f t="shared" si="7"/>
        <v>5.8801570444744801E-2</v>
      </c>
      <c r="AB18" s="152">
        <f t="shared" si="8"/>
        <v>2.5371693377099828E-2</v>
      </c>
      <c r="AC18" s="152">
        <f t="shared" si="9"/>
        <v>2.0724721632232736E-3</v>
      </c>
      <c r="AD18" s="152"/>
      <c r="AE18" s="221">
        <v>41</v>
      </c>
      <c r="AF18" s="221">
        <v>214</v>
      </c>
      <c r="AG18" s="221">
        <v>295</v>
      </c>
      <c r="AH18" s="221">
        <v>41</v>
      </c>
      <c r="AI18" s="221">
        <v>42</v>
      </c>
      <c r="AJ18" s="221">
        <v>40</v>
      </c>
      <c r="AK18" s="221">
        <v>15</v>
      </c>
      <c r="AL18" s="221">
        <v>3</v>
      </c>
      <c r="AM18" s="221">
        <v>691</v>
      </c>
      <c r="AN18" s="147"/>
      <c r="AO18" s="221">
        <v>14</v>
      </c>
      <c r="AP18" s="221">
        <v>2</v>
      </c>
      <c r="AQ18" s="221">
        <v>20</v>
      </c>
      <c r="AR18" s="221">
        <v>18</v>
      </c>
      <c r="AS18" s="221">
        <v>-5</v>
      </c>
      <c r="AT18" s="221">
        <v>4</v>
      </c>
      <c r="AU18" s="221">
        <v>5</v>
      </c>
      <c r="AV18" s="221">
        <v>1</v>
      </c>
      <c r="AW18" s="221">
        <v>59</v>
      </c>
      <c r="AX18" s="56">
        <f t="shared" si="29"/>
        <v>-14</v>
      </c>
      <c r="AY18" s="56">
        <f t="shared" si="10"/>
        <v>-2</v>
      </c>
      <c r="AZ18" s="56">
        <f t="shared" si="10"/>
        <v>-20</v>
      </c>
      <c r="BA18" s="56">
        <f t="shared" si="10"/>
        <v>-18</v>
      </c>
      <c r="BB18" s="56">
        <f t="shared" si="10"/>
        <v>5</v>
      </c>
      <c r="BC18" s="56">
        <f t="shared" si="10"/>
        <v>-4</v>
      </c>
      <c r="BD18" s="56">
        <f t="shared" si="10"/>
        <v>-5</v>
      </c>
      <c r="BE18" s="56">
        <f t="shared" si="10"/>
        <v>-1</v>
      </c>
      <c r="BF18" s="56">
        <f t="shared" si="10"/>
        <v>-59</v>
      </c>
      <c r="BH18">
        <f t="shared" si="11"/>
        <v>0.8</v>
      </c>
      <c r="BI18">
        <f t="shared" si="20"/>
        <v>0.19999999999999996</v>
      </c>
      <c r="BJ18" s="154">
        <v>153516.79999999999</v>
      </c>
      <c r="BK18" s="155">
        <f t="shared" si="12"/>
        <v>153516.79999999999</v>
      </c>
      <c r="BL18" s="156">
        <v>565881.48</v>
      </c>
      <c r="BM18" s="155">
        <f t="shared" si="13"/>
        <v>565881.48</v>
      </c>
      <c r="BN18" s="158">
        <v>980779.81244444463</v>
      </c>
      <c r="BO18" s="155">
        <f t="shared" si="14"/>
        <v>980779.81244444463</v>
      </c>
      <c r="BP18" s="158">
        <v>695874.66666666651</v>
      </c>
      <c r="BQ18" s="155">
        <f t="shared" si="15"/>
        <v>695874.66666666651</v>
      </c>
      <c r="BR18" s="158">
        <v>436835.48977777775</v>
      </c>
      <c r="BS18" s="155">
        <f t="shared" si="16"/>
        <v>436835.48977777775</v>
      </c>
      <c r="BT18" s="194">
        <v>955641.4933333334</v>
      </c>
      <c r="BU18" s="194"/>
      <c r="BV18" s="348">
        <f t="shared" si="21"/>
        <v>955641.4933333334</v>
      </c>
      <c r="BW18" s="195">
        <f t="shared" si="17"/>
        <v>725939.68355555553</v>
      </c>
      <c r="BX18" s="157">
        <f t="shared" si="22"/>
        <v>181484.92088888888</v>
      </c>
      <c r="BY18" s="157">
        <f>IF(E18*$CJ$10*'Year 7 Payments'!$L$20*IF(B18="",1,0.8)&lt;=(BW18-(J18*350)),E18*$CJ$10*'Year 7 Payments'!$L$20*IF(B18="",1,0.8),BW18-(IF(B18="",1,0.8)*J18*350))</f>
        <v>355835.75071288896</v>
      </c>
      <c r="BZ18" s="157">
        <f t="shared" si="23"/>
        <v>88958.937678222239</v>
      </c>
      <c r="CA18" s="157">
        <f t="shared" si="24"/>
        <v>370103.93284266657</v>
      </c>
      <c r="CB18" s="157">
        <f t="shared" si="25"/>
        <v>92525.983210666644</v>
      </c>
      <c r="CC18" s="157">
        <f t="shared" si="26"/>
        <v>1480415.7313706663</v>
      </c>
      <c r="CD18" s="201">
        <f t="shared" si="27"/>
        <v>370103.93284266657</v>
      </c>
      <c r="CE18" s="155">
        <f t="shared" si="28"/>
        <v>370103.93284266657</v>
      </c>
      <c r="CG18" s="167" t="s">
        <v>30</v>
      </c>
      <c r="CH18" s="132">
        <v>71</v>
      </c>
      <c r="CI18" s="168">
        <f>BV1</f>
        <v>71</v>
      </c>
    </row>
    <row r="19" spans="1:93" x14ac:dyDescent="0.2">
      <c r="A19" s="147" t="s">
        <v>468</v>
      </c>
      <c r="B19" s="57" t="s">
        <v>469</v>
      </c>
      <c r="C19" s="57" t="s">
        <v>443</v>
      </c>
      <c r="D19" s="148" t="s">
        <v>47</v>
      </c>
      <c r="E19" s="197">
        <v>74163</v>
      </c>
      <c r="F19" s="147">
        <f t="shared" si="18"/>
        <v>73749</v>
      </c>
      <c r="G19" s="342">
        <v>506</v>
      </c>
      <c r="H19" s="149">
        <f t="shared" si="2"/>
        <v>449</v>
      </c>
      <c r="I19" s="346">
        <v>120.90355555555556</v>
      </c>
      <c r="J19" s="150">
        <v>47</v>
      </c>
      <c r="K19"/>
      <c r="L19" s="151">
        <v>2376</v>
      </c>
      <c r="M19" s="151">
        <v>11560</v>
      </c>
      <c r="N19" s="151">
        <v>25884</v>
      </c>
      <c r="O19" s="151">
        <v>13732</v>
      </c>
      <c r="P19" s="151">
        <v>10549</v>
      </c>
      <c r="Q19" s="151">
        <v>6034</v>
      </c>
      <c r="R19" s="151">
        <v>3199</v>
      </c>
      <c r="S19" s="151">
        <v>415</v>
      </c>
      <c r="T19" s="151">
        <v>73749</v>
      </c>
      <c r="U19" s="147"/>
      <c r="V19" s="152">
        <f t="shared" si="19"/>
        <v>3.2217385998454216E-2</v>
      </c>
      <c r="W19" s="152">
        <f t="shared" si="3"/>
        <v>0.15674788810695739</v>
      </c>
      <c r="X19" s="152">
        <f t="shared" si="4"/>
        <v>0.35097425049831182</v>
      </c>
      <c r="Y19" s="152">
        <f t="shared" si="5"/>
        <v>0.18619913490352411</v>
      </c>
      <c r="Z19" s="152">
        <f t="shared" si="6"/>
        <v>0.14303922765054441</v>
      </c>
      <c r="AA19" s="152">
        <f t="shared" si="7"/>
        <v>8.1818058549946435E-2</v>
      </c>
      <c r="AB19" s="152">
        <f t="shared" si="8"/>
        <v>4.3376859347245389E-2</v>
      </c>
      <c r="AC19" s="152">
        <f t="shared" si="9"/>
        <v>5.6271949450162036E-3</v>
      </c>
      <c r="AD19" s="152"/>
      <c r="AE19" s="221">
        <v>39</v>
      </c>
      <c r="AF19" s="221">
        <v>176</v>
      </c>
      <c r="AG19" s="221">
        <v>122</v>
      </c>
      <c r="AH19" s="221">
        <v>104</v>
      </c>
      <c r="AI19" s="221">
        <v>25</v>
      </c>
      <c r="AJ19" s="221">
        <v>31</v>
      </c>
      <c r="AK19" s="221">
        <v>28</v>
      </c>
      <c r="AL19" s="221">
        <v>-1</v>
      </c>
      <c r="AM19" s="221">
        <v>524</v>
      </c>
      <c r="AN19" s="147"/>
      <c r="AO19" s="221">
        <v>10</v>
      </c>
      <c r="AP19" s="221">
        <v>1</v>
      </c>
      <c r="AQ19" s="221">
        <v>15</v>
      </c>
      <c r="AR19" s="221">
        <v>21</v>
      </c>
      <c r="AS19" s="221">
        <v>14</v>
      </c>
      <c r="AT19" s="221">
        <v>14</v>
      </c>
      <c r="AU19" s="221">
        <v>4</v>
      </c>
      <c r="AV19" s="221">
        <v>-4</v>
      </c>
      <c r="AW19" s="221">
        <v>75</v>
      </c>
      <c r="AX19" s="56">
        <f t="shared" si="29"/>
        <v>-10</v>
      </c>
      <c r="AY19" s="56">
        <f t="shared" si="10"/>
        <v>-1</v>
      </c>
      <c r="AZ19" s="56">
        <f t="shared" si="10"/>
        <v>-15</v>
      </c>
      <c r="BA19" s="56">
        <f t="shared" si="10"/>
        <v>-21</v>
      </c>
      <c r="BB19" s="56">
        <f>AS19*$AW$3</f>
        <v>-14</v>
      </c>
      <c r="BC19" s="56">
        <f t="shared" si="10"/>
        <v>-14</v>
      </c>
      <c r="BD19" s="56">
        <f t="shared" si="10"/>
        <v>-4</v>
      </c>
      <c r="BE19" s="56">
        <f t="shared" si="10"/>
        <v>4</v>
      </c>
      <c r="BF19" s="56">
        <f t="shared" si="10"/>
        <v>-75</v>
      </c>
      <c r="BH19">
        <f t="shared" si="11"/>
        <v>0.8</v>
      </c>
      <c r="BI19">
        <f t="shared" si="20"/>
        <v>0.19999999999999996</v>
      </c>
      <c r="BJ19" s="154">
        <v>1324977.9146666669</v>
      </c>
      <c r="BK19" s="155">
        <f t="shared" si="12"/>
        <v>1324977.9146666669</v>
      </c>
      <c r="BL19" s="156">
        <v>1270001.568</v>
      </c>
      <c r="BM19" s="155">
        <f t="shared" si="13"/>
        <v>1270001.568</v>
      </c>
      <c r="BN19" s="158">
        <v>943717.02133333357</v>
      </c>
      <c r="BO19" s="155">
        <f t="shared" si="14"/>
        <v>943717.02133333357</v>
      </c>
      <c r="BP19" s="158">
        <v>530030.4</v>
      </c>
      <c r="BQ19" s="155">
        <f t="shared" si="15"/>
        <v>530030.4</v>
      </c>
      <c r="BR19" s="158">
        <v>622613.26044444449</v>
      </c>
      <c r="BS19" s="155">
        <f t="shared" si="16"/>
        <v>622613.26044444449</v>
      </c>
      <c r="BT19" s="194">
        <v>592558.62399999984</v>
      </c>
      <c r="BU19" s="194"/>
      <c r="BV19" s="348">
        <f t="shared" si="21"/>
        <v>592558.62399999984</v>
      </c>
      <c r="BW19" s="195">
        <f t="shared" si="17"/>
        <v>524101.02044444438</v>
      </c>
      <c r="BX19" s="157">
        <f t="shared" si="22"/>
        <v>131025.2551111111</v>
      </c>
      <c r="BY19" s="157">
        <f>IF(E19*$CJ$10*'Year 7 Payments'!$L$20*IF(B19="",1,0.8)&lt;=(BW19-(J19*350)),E19*$CJ$10*'Year 7 Payments'!$L$20*IF(B19="",1,0.8),BW19-(IF(B19="",1,0.8)*J19*350))</f>
        <v>362997.62649600004</v>
      </c>
      <c r="BZ19" s="157">
        <f t="shared" si="23"/>
        <v>90749.40662400001</v>
      </c>
      <c r="CA19" s="157">
        <f t="shared" si="24"/>
        <v>161103.39394844434</v>
      </c>
      <c r="CB19" s="157">
        <f t="shared" si="25"/>
        <v>40275.848487111085</v>
      </c>
      <c r="CC19" s="157">
        <f t="shared" si="26"/>
        <v>644413.57579377736</v>
      </c>
      <c r="CD19" s="201">
        <f t="shared" si="27"/>
        <v>161103.39394844434</v>
      </c>
      <c r="CE19" s="155">
        <f t="shared" si="28"/>
        <v>161103.39394844434</v>
      </c>
      <c r="CG19" s="169" t="s">
        <v>805</v>
      </c>
      <c r="CH19" s="170">
        <f>CE1</f>
        <v>80</v>
      </c>
    </row>
    <row r="20" spans="1:93" x14ac:dyDescent="0.2">
      <c r="A20" s="147" t="s">
        <v>470</v>
      </c>
      <c r="B20" s="57" t="s">
        <v>452</v>
      </c>
      <c r="C20" s="57" t="s">
        <v>449</v>
      </c>
      <c r="D20" s="148" t="s">
        <v>48</v>
      </c>
      <c r="E20" s="197">
        <v>41480.555555555555</v>
      </c>
      <c r="F20" s="147">
        <f t="shared" si="18"/>
        <v>51637</v>
      </c>
      <c r="G20" s="342">
        <v>528</v>
      </c>
      <c r="H20" s="149">
        <f t="shared" si="2"/>
        <v>346</v>
      </c>
      <c r="I20" s="346">
        <v>142.52222222222224</v>
      </c>
      <c r="J20" s="150">
        <v>54</v>
      </c>
      <c r="K20"/>
      <c r="L20" s="151">
        <v>26600</v>
      </c>
      <c r="M20" s="151">
        <v>7656</v>
      </c>
      <c r="N20" s="151">
        <v>6193</v>
      </c>
      <c r="O20" s="151">
        <v>5972</v>
      </c>
      <c r="P20" s="151">
        <v>3034</v>
      </c>
      <c r="Q20" s="151">
        <v>1453</v>
      </c>
      <c r="R20" s="151">
        <v>673</v>
      </c>
      <c r="S20" s="151">
        <v>56</v>
      </c>
      <c r="T20" s="151">
        <v>51637</v>
      </c>
      <c r="U20" s="147"/>
      <c r="V20" s="152">
        <f t="shared" si="19"/>
        <v>0.51513449658190835</v>
      </c>
      <c r="W20" s="152">
        <f t="shared" si="3"/>
        <v>0.14826577841470265</v>
      </c>
      <c r="X20" s="152">
        <f t="shared" si="4"/>
        <v>0.11993338110269768</v>
      </c>
      <c r="Y20" s="152">
        <f t="shared" si="5"/>
        <v>0.11565350427019386</v>
      </c>
      <c r="Z20" s="152">
        <f t="shared" si="6"/>
        <v>5.8756318143966535E-2</v>
      </c>
      <c r="AA20" s="152">
        <f t="shared" si="7"/>
        <v>2.8138737726823789E-2</v>
      </c>
      <c r="AB20" s="152">
        <f t="shared" si="8"/>
        <v>1.3033290082692642E-2</v>
      </c>
      <c r="AC20" s="152">
        <f t="shared" si="9"/>
        <v>1.0844936770145438E-3</v>
      </c>
      <c r="AD20" s="152"/>
      <c r="AE20" s="221">
        <v>131</v>
      </c>
      <c r="AF20" s="221">
        <v>57</v>
      </c>
      <c r="AG20" s="221">
        <v>48</v>
      </c>
      <c r="AH20" s="221">
        <v>48</v>
      </c>
      <c r="AI20" s="221">
        <v>24</v>
      </c>
      <c r="AJ20" s="221">
        <v>28</v>
      </c>
      <c r="AK20" s="221">
        <v>0</v>
      </c>
      <c r="AL20" s="221">
        <v>1</v>
      </c>
      <c r="AM20" s="221">
        <v>337</v>
      </c>
      <c r="AN20" s="147"/>
      <c r="AO20" s="221">
        <v>-1</v>
      </c>
      <c r="AP20" s="221">
        <v>4</v>
      </c>
      <c r="AQ20" s="221">
        <v>-10</v>
      </c>
      <c r="AR20" s="221">
        <v>7</v>
      </c>
      <c r="AS20" s="221">
        <v>2</v>
      </c>
      <c r="AT20" s="221">
        <v>-3</v>
      </c>
      <c r="AU20" s="221">
        <v>-9</v>
      </c>
      <c r="AV20" s="221">
        <v>1</v>
      </c>
      <c r="AW20" s="221">
        <v>-9</v>
      </c>
      <c r="AX20" s="56">
        <f t="shared" si="29"/>
        <v>1</v>
      </c>
      <c r="AY20" s="56">
        <f t="shared" si="10"/>
        <v>-4</v>
      </c>
      <c r="AZ20" s="56">
        <f t="shared" si="10"/>
        <v>10</v>
      </c>
      <c r="BA20" s="56">
        <f t="shared" si="10"/>
        <v>-7</v>
      </c>
      <c r="BB20" s="56">
        <f>AS20*$AW$3</f>
        <v>-2</v>
      </c>
      <c r="BC20" s="56">
        <f t="shared" si="10"/>
        <v>3</v>
      </c>
      <c r="BD20" s="56">
        <f t="shared" si="10"/>
        <v>9</v>
      </c>
      <c r="BE20" s="56">
        <f t="shared" si="10"/>
        <v>-1</v>
      </c>
      <c r="BF20" s="56">
        <f t="shared" si="10"/>
        <v>9</v>
      </c>
      <c r="BH20">
        <f t="shared" si="11"/>
        <v>0.8</v>
      </c>
      <c r="BI20">
        <f t="shared" si="20"/>
        <v>0.19999999999999996</v>
      </c>
      <c r="BJ20" s="154">
        <v>285669.17866666662</v>
      </c>
      <c r="BK20" s="155">
        <f t="shared" si="12"/>
        <v>285669.17866666662</v>
      </c>
      <c r="BL20" s="156">
        <v>261466.19911111114</v>
      </c>
      <c r="BM20" s="155">
        <f t="shared" si="13"/>
        <v>261466.19911111114</v>
      </c>
      <c r="BN20" s="158">
        <v>343788.76800000004</v>
      </c>
      <c r="BO20" s="155">
        <f t="shared" si="14"/>
        <v>343788.76800000004</v>
      </c>
      <c r="BP20" s="158">
        <v>355162.34666666668</v>
      </c>
      <c r="BQ20" s="155">
        <f t="shared" si="15"/>
        <v>355162.34666666668</v>
      </c>
      <c r="BR20" s="158">
        <v>344195.02755555563</v>
      </c>
      <c r="BS20" s="155">
        <f t="shared" si="16"/>
        <v>344195.02755555563</v>
      </c>
      <c r="BT20" s="194">
        <v>400086.93511111109</v>
      </c>
      <c r="BU20" s="194"/>
      <c r="BV20" s="348">
        <f t="shared" si="21"/>
        <v>400086.93511111109</v>
      </c>
      <c r="BW20" s="195">
        <f t="shared" si="17"/>
        <v>392547.42755555559</v>
      </c>
      <c r="BX20" s="157">
        <f t="shared" si="22"/>
        <v>98136.856888888899</v>
      </c>
      <c r="BY20" s="157">
        <f>IF(E20*$CJ$10*'Year 7 Payments'!$L$20*IF(B20="",1,0.8)&lt;=(BW20-(J20*350)),E20*$CJ$10*'Year 7 Payments'!$L$20*IF(B20="",1,0.8),BW20-(IF(B20="",1,0.8)*J20*350))</f>
        <v>203030.39537777778</v>
      </c>
      <c r="BZ20" s="157">
        <f t="shared" si="23"/>
        <v>50757.598844444445</v>
      </c>
      <c r="CA20" s="157">
        <f t="shared" si="24"/>
        <v>189517.03217777782</v>
      </c>
      <c r="CB20" s="157">
        <f t="shared" si="25"/>
        <v>47379.258044444454</v>
      </c>
      <c r="CC20" s="157">
        <f t="shared" si="26"/>
        <v>758068.12871111126</v>
      </c>
      <c r="CD20" s="201">
        <f t="shared" si="27"/>
        <v>189517.03217777782</v>
      </c>
      <c r="CE20" s="155">
        <f t="shared" si="28"/>
        <v>189517.03217777782</v>
      </c>
    </row>
    <row r="21" spans="1:93" x14ac:dyDescent="0.2">
      <c r="A21" s="147" t="s">
        <v>471</v>
      </c>
      <c r="B21" s="57"/>
      <c r="C21" s="57" t="s">
        <v>472</v>
      </c>
      <c r="D21" s="148" t="s">
        <v>49</v>
      </c>
      <c r="E21" s="197">
        <v>77450.777777777766</v>
      </c>
      <c r="F21" s="147">
        <f t="shared" si="18"/>
        <v>80124</v>
      </c>
      <c r="G21" s="342">
        <v>404</v>
      </c>
      <c r="H21" s="149">
        <f t="shared" si="2"/>
        <v>1185</v>
      </c>
      <c r="I21" s="346">
        <v>845.86355555555565</v>
      </c>
      <c r="J21" s="150">
        <v>143</v>
      </c>
      <c r="K21"/>
      <c r="L21" s="151">
        <v>8083</v>
      </c>
      <c r="M21" s="151">
        <v>18779</v>
      </c>
      <c r="N21" s="151">
        <v>20062</v>
      </c>
      <c r="O21" s="151">
        <v>13404</v>
      </c>
      <c r="P21" s="151">
        <v>9332</v>
      </c>
      <c r="Q21" s="151">
        <v>5355</v>
      </c>
      <c r="R21" s="151">
        <v>4700</v>
      </c>
      <c r="S21" s="151">
        <v>409</v>
      </c>
      <c r="T21" s="151">
        <v>80124</v>
      </c>
      <c r="U21" s="147"/>
      <c r="V21" s="152">
        <f t="shared" si="19"/>
        <v>0.10088113424192502</v>
      </c>
      <c r="W21" s="152">
        <f t="shared" si="3"/>
        <v>0.23437421995906346</v>
      </c>
      <c r="X21" s="152">
        <f t="shared" si="4"/>
        <v>0.25038690030452798</v>
      </c>
      <c r="Y21" s="152">
        <f t="shared" si="5"/>
        <v>0.16729069941590535</v>
      </c>
      <c r="Z21" s="152">
        <f t="shared" si="6"/>
        <v>0.11646947231790725</v>
      </c>
      <c r="AA21" s="152">
        <f t="shared" si="7"/>
        <v>6.683390744346264E-2</v>
      </c>
      <c r="AB21" s="152">
        <f t="shared" si="8"/>
        <v>5.8659078428435922E-2</v>
      </c>
      <c r="AC21" s="152">
        <f t="shared" si="9"/>
        <v>5.1045878887724027E-3</v>
      </c>
      <c r="AD21" s="152"/>
      <c r="AE21" s="221">
        <v>201</v>
      </c>
      <c r="AF21" s="221">
        <v>222</v>
      </c>
      <c r="AG21" s="221">
        <v>258</v>
      </c>
      <c r="AH21" s="221">
        <v>48</v>
      </c>
      <c r="AI21" s="221">
        <v>126</v>
      </c>
      <c r="AJ21" s="221">
        <v>108</v>
      </c>
      <c r="AK21" s="221">
        <v>65</v>
      </c>
      <c r="AL21" s="221">
        <v>4</v>
      </c>
      <c r="AM21" s="221">
        <v>1032</v>
      </c>
      <c r="AN21" s="147"/>
      <c r="AO21" s="221">
        <v>-16</v>
      </c>
      <c r="AP21" s="221">
        <v>-44</v>
      </c>
      <c r="AQ21" s="221">
        <v>-19</v>
      </c>
      <c r="AR21" s="221">
        <v>-46</v>
      </c>
      <c r="AS21" s="221">
        <v>-15</v>
      </c>
      <c r="AT21" s="221">
        <v>-11</v>
      </c>
      <c r="AU21" s="221">
        <v>-2</v>
      </c>
      <c r="AV21" s="221">
        <v>0</v>
      </c>
      <c r="AW21" s="221">
        <v>-153</v>
      </c>
      <c r="AX21" s="56">
        <f t="shared" si="29"/>
        <v>16</v>
      </c>
      <c r="AY21" s="56">
        <f t="shared" si="10"/>
        <v>44</v>
      </c>
      <c r="AZ21" s="56">
        <f t="shared" si="10"/>
        <v>19</v>
      </c>
      <c r="BA21" s="56">
        <f t="shared" si="10"/>
        <v>46</v>
      </c>
      <c r="BB21" s="56">
        <f t="shared" si="10"/>
        <v>15</v>
      </c>
      <c r="BC21" s="56">
        <f t="shared" si="10"/>
        <v>11</v>
      </c>
      <c r="BD21" s="56">
        <f t="shared" si="10"/>
        <v>2</v>
      </c>
      <c r="BE21" s="56">
        <f t="shared" si="10"/>
        <v>0</v>
      </c>
      <c r="BF21" s="56">
        <f t="shared" si="10"/>
        <v>153</v>
      </c>
      <c r="BH21">
        <f t="shared" si="11"/>
        <v>1</v>
      </c>
      <c r="BI21">
        <f t="shared" si="20"/>
        <v>0</v>
      </c>
      <c r="BJ21" s="154">
        <v>611348.67333333334</v>
      </c>
      <c r="BK21" s="155">
        <f t="shared" si="12"/>
        <v>611348.67333333334</v>
      </c>
      <c r="BL21" s="156">
        <v>606838.69999999995</v>
      </c>
      <c r="BM21" s="155">
        <f t="shared" si="13"/>
        <v>606838.69999999995</v>
      </c>
      <c r="BN21" s="158">
        <v>759047.50555555546</v>
      </c>
      <c r="BO21" s="155">
        <f t="shared" si="14"/>
        <v>759047.50555555546</v>
      </c>
      <c r="BP21" s="158">
        <v>688144.79999999981</v>
      </c>
      <c r="BQ21" s="155">
        <f t="shared" si="15"/>
        <v>688144.79999999981</v>
      </c>
      <c r="BR21" s="158">
        <v>1043858.9933333333</v>
      </c>
      <c r="BS21" s="155">
        <f t="shared" si="16"/>
        <v>1043858.9933333333</v>
      </c>
      <c r="BT21" s="194">
        <v>1490026.9844444443</v>
      </c>
      <c r="BU21" s="194"/>
      <c r="BV21" s="348">
        <f t="shared" si="21"/>
        <v>1490026.9844444443</v>
      </c>
      <c r="BW21" s="195">
        <f t="shared" si="17"/>
        <v>1817711.5066666666</v>
      </c>
      <c r="BX21" s="157" t="str">
        <f t="shared" si="22"/>
        <v>0</v>
      </c>
      <c r="BY21" s="157">
        <f>IF(E21*$CJ$10*'Year 7 Payments'!$L$20*IF(B21="",1,0.8)&lt;=(BW21-(J21*350)),E21*$CJ$10*'Year 7 Payments'!$L$20*IF(B21="",1,0.8),BW21-(IF(B21="",1,0.8)*J21*350))</f>
        <v>473862.44663111103</v>
      </c>
      <c r="BZ21" s="157" t="str">
        <f t="shared" si="23"/>
        <v>0</v>
      </c>
      <c r="CA21" s="157">
        <f t="shared" si="24"/>
        <v>1343849.0600355556</v>
      </c>
      <c r="CB21" s="157">
        <f t="shared" si="25"/>
        <v>0</v>
      </c>
      <c r="CC21" s="157">
        <f t="shared" si="26"/>
        <v>5375396.2401422225</v>
      </c>
      <c r="CD21" s="201">
        <f t="shared" si="27"/>
        <v>0</v>
      </c>
      <c r="CE21" s="155">
        <f t="shared" si="28"/>
        <v>1343849.0600355556</v>
      </c>
    </row>
    <row r="22" spans="1:93" x14ac:dyDescent="0.2">
      <c r="A22" s="147" t="s">
        <v>473</v>
      </c>
      <c r="B22" s="57"/>
      <c r="C22" s="57" t="s">
        <v>459</v>
      </c>
      <c r="D22" s="148" t="s">
        <v>50</v>
      </c>
      <c r="E22" s="197">
        <v>67526</v>
      </c>
      <c r="F22" s="147">
        <f t="shared" si="18"/>
        <v>71928</v>
      </c>
      <c r="G22" s="342">
        <v>337</v>
      </c>
      <c r="H22" s="149">
        <f t="shared" si="2"/>
        <v>1149</v>
      </c>
      <c r="I22" s="346">
        <v>843.89599999999996</v>
      </c>
      <c r="J22" s="150">
        <v>184</v>
      </c>
      <c r="K22"/>
      <c r="L22" s="151">
        <v>9722</v>
      </c>
      <c r="M22" s="151">
        <v>17580</v>
      </c>
      <c r="N22" s="151">
        <v>17765</v>
      </c>
      <c r="O22" s="151">
        <v>10877</v>
      </c>
      <c r="P22" s="151">
        <v>7846</v>
      </c>
      <c r="Q22" s="151">
        <v>4981</v>
      </c>
      <c r="R22" s="151">
        <v>2923</v>
      </c>
      <c r="S22" s="151">
        <v>234</v>
      </c>
      <c r="T22" s="151">
        <v>71928</v>
      </c>
      <c r="U22" s="147"/>
      <c r="V22" s="152">
        <f t="shared" si="19"/>
        <v>0.13516294071849627</v>
      </c>
      <c r="W22" s="152">
        <f t="shared" si="3"/>
        <v>0.24441107774441106</v>
      </c>
      <c r="X22" s="152">
        <f t="shared" si="4"/>
        <v>0.24698309420531642</v>
      </c>
      <c r="Y22" s="152">
        <f t="shared" si="5"/>
        <v>0.15122066510955401</v>
      </c>
      <c r="Z22" s="152">
        <f t="shared" si="6"/>
        <v>0.10908130352574796</v>
      </c>
      <c r="AA22" s="152">
        <f t="shared" si="7"/>
        <v>6.9249805360916475E-2</v>
      </c>
      <c r="AB22" s="152">
        <f t="shared" si="8"/>
        <v>4.0637860082304529E-2</v>
      </c>
      <c r="AC22" s="152">
        <f t="shared" si="9"/>
        <v>3.2532532532532532E-3</v>
      </c>
      <c r="AD22" s="152"/>
      <c r="AE22" s="221">
        <v>162</v>
      </c>
      <c r="AF22" s="221">
        <v>165</v>
      </c>
      <c r="AG22" s="221">
        <v>230</v>
      </c>
      <c r="AH22" s="221">
        <v>241</v>
      </c>
      <c r="AI22" s="221">
        <v>125</v>
      </c>
      <c r="AJ22" s="221">
        <v>72</v>
      </c>
      <c r="AK22" s="221">
        <v>47</v>
      </c>
      <c r="AL22" s="221">
        <v>2</v>
      </c>
      <c r="AM22" s="221">
        <v>1044</v>
      </c>
      <c r="AN22" s="147"/>
      <c r="AO22" s="221">
        <v>-51</v>
      </c>
      <c r="AP22" s="221">
        <v>-10</v>
      </c>
      <c r="AQ22" s="221">
        <v>-12</v>
      </c>
      <c r="AR22" s="221">
        <v>-11</v>
      </c>
      <c r="AS22" s="221">
        <v>-11</v>
      </c>
      <c r="AT22" s="221">
        <v>-8</v>
      </c>
      <c r="AU22" s="221">
        <v>2</v>
      </c>
      <c r="AV22" s="221">
        <v>-4</v>
      </c>
      <c r="AW22" s="221">
        <v>-105</v>
      </c>
      <c r="AX22" s="56">
        <f t="shared" si="29"/>
        <v>51</v>
      </c>
      <c r="AY22" s="56">
        <f t="shared" si="10"/>
        <v>10</v>
      </c>
      <c r="AZ22" s="56">
        <f t="shared" si="10"/>
        <v>12</v>
      </c>
      <c r="BA22" s="56">
        <f t="shared" si="10"/>
        <v>11</v>
      </c>
      <c r="BB22" s="56">
        <f t="shared" si="10"/>
        <v>11</v>
      </c>
      <c r="BC22" s="56">
        <f t="shared" si="10"/>
        <v>8</v>
      </c>
      <c r="BD22" s="56">
        <f t="shared" si="10"/>
        <v>-2</v>
      </c>
      <c r="BE22" s="56">
        <f t="shared" si="10"/>
        <v>4</v>
      </c>
      <c r="BF22" s="56">
        <f t="shared" si="10"/>
        <v>105</v>
      </c>
      <c r="BH22">
        <f t="shared" si="11"/>
        <v>1</v>
      </c>
      <c r="BI22">
        <f t="shared" si="20"/>
        <v>0</v>
      </c>
      <c r="BJ22" s="154">
        <v>1087250.7533333332</v>
      </c>
      <c r="BK22" s="155">
        <f t="shared" si="12"/>
        <v>1087250.7533333332</v>
      </c>
      <c r="BL22" s="156">
        <v>1552893.7722222221</v>
      </c>
      <c r="BM22" s="155">
        <f t="shared" si="13"/>
        <v>1552893.7722222221</v>
      </c>
      <c r="BN22" s="158">
        <v>1086907.118888889</v>
      </c>
      <c r="BO22" s="155">
        <f t="shared" si="14"/>
        <v>1086907.118888889</v>
      </c>
      <c r="BP22" s="158">
        <v>1524539.8666666662</v>
      </c>
      <c r="BQ22" s="155">
        <f t="shared" si="15"/>
        <v>1524539.8666666662</v>
      </c>
      <c r="BR22" s="158">
        <v>1513652.7777777778</v>
      </c>
      <c r="BS22" s="155">
        <f t="shared" si="16"/>
        <v>1513652.7777777778</v>
      </c>
      <c r="BT22" s="194">
        <v>1519220.8266666664</v>
      </c>
      <c r="BU22" s="194"/>
      <c r="BV22" s="348">
        <f t="shared" si="21"/>
        <v>1519220.8266666664</v>
      </c>
      <c r="BW22" s="195">
        <f t="shared" si="17"/>
        <v>1768329.84</v>
      </c>
      <c r="BX22" s="157" t="str">
        <f t="shared" si="22"/>
        <v>0</v>
      </c>
      <c r="BY22" s="157">
        <f>IF(E22*$CJ$10*'Year 7 Payments'!$L$20*IF(B22="",1,0.8)&lt;=(BW22-(J22*350)),E22*$CJ$10*'Year 7 Payments'!$L$20*IF(B22="",1,0.8),BW22-(IF(B22="",1,0.8)*J22*350))</f>
        <v>413140.27424</v>
      </c>
      <c r="BZ22" s="157" t="str">
        <f t="shared" si="23"/>
        <v>0</v>
      </c>
      <c r="CA22" s="157">
        <f t="shared" si="24"/>
        <v>1355189.5657600001</v>
      </c>
      <c r="CB22" s="157">
        <f t="shared" si="25"/>
        <v>0</v>
      </c>
      <c r="CC22" s="157">
        <f t="shared" si="26"/>
        <v>5420758.2630400006</v>
      </c>
      <c r="CD22" s="201">
        <f t="shared" si="27"/>
        <v>0</v>
      </c>
      <c r="CE22" s="155">
        <f t="shared" si="28"/>
        <v>1355189.5657600001</v>
      </c>
    </row>
    <row r="23" spans="1:93" x14ac:dyDescent="0.2">
      <c r="A23" s="147" t="s">
        <v>474</v>
      </c>
      <c r="B23" s="57"/>
      <c r="C23" s="57" t="s">
        <v>461</v>
      </c>
      <c r="D23" s="148" t="s">
        <v>51</v>
      </c>
      <c r="E23" s="197">
        <v>97080.222222222219</v>
      </c>
      <c r="F23" s="147">
        <f t="shared" si="18"/>
        <v>97543</v>
      </c>
      <c r="G23" s="342">
        <v>387</v>
      </c>
      <c r="H23" s="149">
        <f t="shared" si="2"/>
        <v>720</v>
      </c>
      <c r="I23" s="346">
        <v>246.12355555555547</v>
      </c>
      <c r="J23" s="150">
        <v>197</v>
      </c>
      <c r="K23"/>
      <c r="L23" s="151">
        <v>4480</v>
      </c>
      <c r="M23" s="151">
        <v>10531</v>
      </c>
      <c r="N23" s="151">
        <v>29297</v>
      </c>
      <c r="O23" s="151">
        <v>27299</v>
      </c>
      <c r="P23" s="151">
        <v>19340</v>
      </c>
      <c r="Q23" s="151">
        <v>4862</v>
      </c>
      <c r="R23" s="151">
        <v>1686</v>
      </c>
      <c r="S23" s="151">
        <v>48</v>
      </c>
      <c r="T23" s="151">
        <v>97543</v>
      </c>
      <c r="U23" s="147"/>
      <c r="V23" s="152">
        <f t="shared" si="19"/>
        <v>4.5928462319182309E-2</v>
      </c>
      <c r="W23" s="152">
        <f t="shared" si="3"/>
        <v>0.10796264211681002</v>
      </c>
      <c r="X23" s="152">
        <f t="shared" si="4"/>
        <v>0.30034958941184914</v>
      </c>
      <c r="Y23" s="152">
        <f t="shared" si="5"/>
        <v>0.27986631536860668</v>
      </c>
      <c r="Z23" s="152">
        <f t="shared" si="6"/>
        <v>0.19827153152968435</v>
      </c>
      <c r="AA23" s="152">
        <f t="shared" si="7"/>
        <v>4.984468388300544E-2</v>
      </c>
      <c r="AB23" s="152">
        <f t="shared" si="8"/>
        <v>1.7284684703156555E-2</v>
      </c>
      <c r="AC23" s="152">
        <f t="shared" si="9"/>
        <v>4.920906677055247E-4</v>
      </c>
      <c r="AD23" s="152"/>
      <c r="AE23" s="221">
        <v>248</v>
      </c>
      <c r="AF23" s="221">
        <v>59</v>
      </c>
      <c r="AG23" s="221">
        <v>125</v>
      </c>
      <c r="AH23" s="221">
        <v>165</v>
      </c>
      <c r="AI23" s="221">
        <v>47</v>
      </c>
      <c r="AJ23" s="221">
        <v>69</v>
      </c>
      <c r="AK23" s="221">
        <v>-1</v>
      </c>
      <c r="AL23" s="221">
        <v>0</v>
      </c>
      <c r="AM23" s="221">
        <v>712</v>
      </c>
      <c r="AN23" s="147"/>
      <c r="AO23" s="221">
        <v>-36</v>
      </c>
      <c r="AP23" s="221">
        <v>-3</v>
      </c>
      <c r="AQ23" s="221">
        <v>7</v>
      </c>
      <c r="AR23" s="221">
        <v>5</v>
      </c>
      <c r="AS23" s="221">
        <v>19</v>
      </c>
      <c r="AT23" s="221">
        <v>-1</v>
      </c>
      <c r="AU23" s="221">
        <v>1</v>
      </c>
      <c r="AV23" s="221">
        <v>0</v>
      </c>
      <c r="AW23" s="221">
        <v>-8</v>
      </c>
      <c r="AX23" s="56">
        <f t="shared" si="29"/>
        <v>36</v>
      </c>
      <c r="AY23" s="56">
        <f t="shared" si="10"/>
        <v>3</v>
      </c>
      <c r="AZ23" s="56">
        <f t="shared" si="10"/>
        <v>-7</v>
      </c>
      <c r="BA23" s="56">
        <f t="shared" si="10"/>
        <v>-5</v>
      </c>
      <c r="BB23" s="56">
        <f t="shared" si="10"/>
        <v>-19</v>
      </c>
      <c r="BC23" s="56">
        <f t="shared" si="10"/>
        <v>1</v>
      </c>
      <c r="BD23" s="56">
        <f t="shared" si="10"/>
        <v>-1</v>
      </c>
      <c r="BE23" s="56">
        <f t="shared" si="10"/>
        <v>0</v>
      </c>
      <c r="BF23" s="56">
        <f t="shared" si="10"/>
        <v>8</v>
      </c>
      <c r="BH23">
        <f t="shared" si="11"/>
        <v>1</v>
      </c>
      <c r="BI23">
        <f t="shared" si="20"/>
        <v>0</v>
      </c>
      <c r="BJ23" s="154">
        <v>359005.43333333335</v>
      </c>
      <c r="BK23" s="155">
        <f t="shared" si="12"/>
        <v>359005.43333333335</v>
      </c>
      <c r="BL23" s="156">
        <v>338373.32111111109</v>
      </c>
      <c r="BM23" s="155">
        <f t="shared" si="13"/>
        <v>338373.32111111109</v>
      </c>
      <c r="BN23" s="158">
        <v>1289094.2866666669</v>
      </c>
      <c r="BO23" s="155">
        <f t="shared" si="14"/>
        <v>1289094.2866666669</v>
      </c>
      <c r="BP23" s="158">
        <v>83895.199999999968</v>
      </c>
      <c r="BQ23" s="155">
        <f t="shared" si="15"/>
        <v>83895.199999999968</v>
      </c>
      <c r="BR23" s="158">
        <v>1036182.7755555555</v>
      </c>
      <c r="BS23" s="155">
        <f t="shared" si="16"/>
        <v>1036182.7755555555</v>
      </c>
      <c r="BT23" s="194">
        <v>1054052.44</v>
      </c>
      <c r="BU23" s="194"/>
      <c r="BV23" s="348">
        <f t="shared" si="21"/>
        <v>1054052.44</v>
      </c>
      <c r="BW23" s="195">
        <f t="shared" si="17"/>
        <v>1039370.8444444444</v>
      </c>
      <c r="BX23" s="157" t="str">
        <f t="shared" si="22"/>
        <v>0</v>
      </c>
      <c r="BY23" s="157">
        <f>IF(E23*$CJ$10*'Year 7 Payments'!$L$20*IF(B23="",1,0.8)&lt;=(BW23-(J23*350)),E23*$CJ$10*'Year 7 Payments'!$L$20*IF(B23="",1,0.8),BW23-(IF(B23="",1,0.8)*J23*350))</f>
        <v>593960.09880888881</v>
      </c>
      <c r="BZ23" s="157" t="str">
        <f t="shared" si="23"/>
        <v>0</v>
      </c>
      <c r="CA23" s="157">
        <f t="shared" si="24"/>
        <v>445410.74563555559</v>
      </c>
      <c r="CB23" s="157">
        <f t="shared" si="25"/>
        <v>0</v>
      </c>
      <c r="CC23" s="157">
        <f t="shared" si="26"/>
        <v>1781642.9825422224</v>
      </c>
      <c r="CD23" s="201">
        <f t="shared" si="27"/>
        <v>0</v>
      </c>
      <c r="CE23" s="155">
        <f t="shared" si="28"/>
        <v>445410.74563555559</v>
      </c>
    </row>
    <row r="24" spans="1:93" x14ac:dyDescent="0.2">
      <c r="A24" s="147" t="s">
        <v>475</v>
      </c>
      <c r="B24" s="57"/>
      <c r="C24" s="57" t="s">
        <v>476</v>
      </c>
      <c r="D24" s="148" t="s">
        <v>52</v>
      </c>
      <c r="E24" s="197">
        <v>355084.22222222225</v>
      </c>
      <c r="F24" s="147">
        <f t="shared" si="18"/>
        <v>436462</v>
      </c>
      <c r="G24" s="342">
        <v>4397</v>
      </c>
      <c r="H24" s="149">
        <f t="shared" si="2"/>
        <v>1866</v>
      </c>
      <c r="I24" s="346">
        <v>277.55199999999991</v>
      </c>
      <c r="J24" s="150">
        <v>345</v>
      </c>
      <c r="K24"/>
      <c r="L24" s="151">
        <v>157177</v>
      </c>
      <c r="M24" s="151">
        <v>127885</v>
      </c>
      <c r="N24" s="151">
        <v>76748</v>
      </c>
      <c r="O24" s="151">
        <v>38711</v>
      </c>
      <c r="P24" s="151">
        <v>20630</v>
      </c>
      <c r="Q24" s="151">
        <v>8672</v>
      </c>
      <c r="R24" s="151">
        <v>5769</v>
      </c>
      <c r="S24" s="151">
        <v>870</v>
      </c>
      <c r="T24" s="151">
        <v>436462</v>
      </c>
      <c r="U24" s="147"/>
      <c r="V24" s="152">
        <f t="shared" si="19"/>
        <v>0.36011611549229944</v>
      </c>
      <c r="W24" s="152">
        <f t="shared" si="3"/>
        <v>0.29300374373943205</v>
      </c>
      <c r="X24" s="152">
        <f t="shared" si="4"/>
        <v>0.17584119579711407</v>
      </c>
      <c r="Y24" s="152">
        <f t="shared" si="5"/>
        <v>8.8692715517043871E-2</v>
      </c>
      <c r="Z24" s="152">
        <f t="shared" si="6"/>
        <v>4.7266428692532225E-2</v>
      </c>
      <c r="AA24" s="152">
        <f t="shared" si="7"/>
        <v>1.9868854562367401E-2</v>
      </c>
      <c r="AB24" s="152">
        <f t="shared" si="8"/>
        <v>1.3217645522405157E-2</v>
      </c>
      <c r="AC24" s="152">
        <f t="shared" si="9"/>
        <v>1.9933006768057702E-3</v>
      </c>
      <c r="AD24" s="152"/>
      <c r="AE24" s="221">
        <v>467</v>
      </c>
      <c r="AF24" s="221">
        <v>466</v>
      </c>
      <c r="AG24" s="221">
        <v>679</v>
      </c>
      <c r="AH24" s="221">
        <v>575</v>
      </c>
      <c r="AI24" s="221">
        <v>89</v>
      </c>
      <c r="AJ24" s="221">
        <v>62</v>
      </c>
      <c r="AK24" s="221">
        <v>40</v>
      </c>
      <c r="AL24" s="221">
        <v>-1</v>
      </c>
      <c r="AM24" s="221">
        <v>2377</v>
      </c>
      <c r="AN24" s="147"/>
      <c r="AO24" s="221">
        <v>294</v>
      </c>
      <c r="AP24" s="221">
        <v>56</v>
      </c>
      <c r="AQ24" s="221">
        <v>60</v>
      </c>
      <c r="AR24" s="221">
        <v>53</v>
      </c>
      <c r="AS24" s="221">
        <v>10</v>
      </c>
      <c r="AT24" s="221">
        <v>21</v>
      </c>
      <c r="AU24" s="221">
        <v>15</v>
      </c>
      <c r="AV24" s="221">
        <v>2</v>
      </c>
      <c r="AW24" s="221">
        <v>511</v>
      </c>
      <c r="AX24" s="56">
        <f t="shared" si="29"/>
        <v>-294</v>
      </c>
      <c r="AY24" s="56">
        <f t="shared" si="10"/>
        <v>-56</v>
      </c>
      <c r="AZ24" s="56">
        <f t="shared" si="10"/>
        <v>-60</v>
      </c>
      <c r="BA24" s="56">
        <f t="shared" si="10"/>
        <v>-53</v>
      </c>
      <c r="BB24" s="56">
        <f t="shared" si="10"/>
        <v>-10</v>
      </c>
      <c r="BC24" s="56">
        <f t="shared" si="10"/>
        <v>-21</v>
      </c>
      <c r="BD24" s="56">
        <f t="shared" si="10"/>
        <v>-15</v>
      </c>
      <c r="BE24" s="56">
        <f t="shared" si="10"/>
        <v>-2</v>
      </c>
      <c r="BF24" s="56">
        <f t="shared" si="10"/>
        <v>-511</v>
      </c>
      <c r="BH24">
        <f t="shared" si="11"/>
        <v>1</v>
      </c>
      <c r="BI24">
        <f t="shared" si="20"/>
        <v>0</v>
      </c>
      <c r="BJ24" s="154">
        <v>3202264.5</v>
      </c>
      <c r="BK24" s="155">
        <f t="shared" si="12"/>
        <v>3202264.5</v>
      </c>
      <c r="BL24" s="156">
        <v>4213838.0233333334</v>
      </c>
      <c r="BM24" s="155">
        <f t="shared" si="13"/>
        <v>4213838.0233333334</v>
      </c>
      <c r="BN24" s="158">
        <v>2853796.9055555561</v>
      </c>
      <c r="BO24" s="155">
        <f t="shared" si="14"/>
        <v>2853796.9055555561</v>
      </c>
      <c r="BP24" s="158">
        <v>4812598.3999999994</v>
      </c>
      <c r="BQ24" s="155">
        <f t="shared" si="15"/>
        <v>4812598.3999999994</v>
      </c>
      <c r="BR24" s="158">
        <v>2693244.6533333338</v>
      </c>
      <c r="BS24" s="155">
        <f t="shared" si="16"/>
        <v>2693244.6533333338</v>
      </c>
      <c r="BT24" s="194">
        <v>3286340.7733333334</v>
      </c>
      <c r="BU24" s="194"/>
      <c r="BV24" s="348">
        <f t="shared" si="21"/>
        <v>3286340.7733333334</v>
      </c>
      <c r="BW24" s="195">
        <f t="shared" si="17"/>
        <v>2717772.9288888886</v>
      </c>
      <c r="BX24" s="157" t="str">
        <f t="shared" si="22"/>
        <v>0</v>
      </c>
      <c r="BY24" s="157">
        <f>IF(E24*$CJ$10*'Year 7 Payments'!$L$20*IF(B24="",1,0.8)&lt;=(BW24-(J24*350)),E24*$CJ$10*'Year 7 Payments'!$L$20*IF(B24="",1,0.8),BW24-(IF(B24="",1,0.8)*J24*350))</f>
        <v>2172490.4917688891</v>
      </c>
      <c r="BZ24" s="157" t="str">
        <f t="shared" si="23"/>
        <v>0</v>
      </c>
      <c r="CA24" s="157">
        <f t="shared" si="24"/>
        <v>545282.43711999943</v>
      </c>
      <c r="CB24" s="157">
        <f t="shared" si="25"/>
        <v>0</v>
      </c>
      <c r="CC24" s="157">
        <f t="shared" si="26"/>
        <v>2181129.7484799977</v>
      </c>
      <c r="CD24" s="201">
        <f t="shared" si="27"/>
        <v>0</v>
      </c>
      <c r="CE24" s="155">
        <f t="shared" si="28"/>
        <v>545282.43711999943</v>
      </c>
      <c r="CG24" s="198"/>
      <c r="CH24" s="198"/>
      <c r="CI24" s="198"/>
      <c r="CJ24" s="198"/>
      <c r="CK24" s="198"/>
      <c r="CL24" s="198"/>
      <c r="CM24" s="198"/>
      <c r="CN24" s="198"/>
      <c r="CO24" s="198"/>
    </row>
    <row r="25" spans="1:93" x14ac:dyDescent="0.2">
      <c r="A25" s="147" t="s">
        <v>477</v>
      </c>
      <c r="B25" s="57" t="s">
        <v>478</v>
      </c>
      <c r="C25" s="57" t="s">
        <v>449</v>
      </c>
      <c r="D25" s="148" t="s">
        <v>53</v>
      </c>
      <c r="E25" s="197">
        <v>36334</v>
      </c>
      <c r="F25" s="147">
        <f t="shared" si="18"/>
        <v>41421</v>
      </c>
      <c r="G25" s="342">
        <v>436</v>
      </c>
      <c r="H25" s="149">
        <f t="shared" si="2"/>
        <v>707</v>
      </c>
      <c r="I25" s="346">
        <v>542.77511111111107</v>
      </c>
      <c r="J25" s="150">
        <v>54</v>
      </c>
      <c r="K25"/>
      <c r="L25" s="151">
        <v>4724</v>
      </c>
      <c r="M25" s="151">
        <v>14776</v>
      </c>
      <c r="N25" s="151">
        <v>9501</v>
      </c>
      <c r="O25" s="151">
        <v>6422</v>
      </c>
      <c r="P25" s="151">
        <v>4039</v>
      </c>
      <c r="Q25" s="151">
        <v>1419</v>
      </c>
      <c r="R25" s="151">
        <v>505</v>
      </c>
      <c r="S25" s="151">
        <v>35</v>
      </c>
      <c r="T25" s="151">
        <v>41421</v>
      </c>
      <c r="U25" s="147"/>
      <c r="V25" s="152">
        <f t="shared" si="19"/>
        <v>0.11404842954057121</v>
      </c>
      <c r="W25" s="152">
        <f t="shared" si="3"/>
        <v>0.35672726394823884</v>
      </c>
      <c r="X25" s="152">
        <f t="shared" si="4"/>
        <v>0.22937640327370173</v>
      </c>
      <c r="Y25" s="152">
        <f t="shared" si="5"/>
        <v>0.15504212838898143</v>
      </c>
      <c r="Z25" s="152">
        <f t="shared" si="6"/>
        <v>9.751092441032326E-2</v>
      </c>
      <c r="AA25" s="152">
        <f t="shared" si="7"/>
        <v>3.4257985080031868E-2</v>
      </c>
      <c r="AB25" s="152">
        <f t="shared" si="8"/>
        <v>1.2191883344197388E-2</v>
      </c>
      <c r="AC25" s="152">
        <f t="shared" si="9"/>
        <v>8.4498201395427435E-4</v>
      </c>
      <c r="AD25" s="152"/>
      <c r="AE25" s="221">
        <v>64</v>
      </c>
      <c r="AF25" s="221">
        <v>256</v>
      </c>
      <c r="AG25" s="221">
        <v>113</v>
      </c>
      <c r="AH25" s="221">
        <v>97</v>
      </c>
      <c r="AI25" s="221">
        <v>155</v>
      </c>
      <c r="AJ25" s="221">
        <v>84</v>
      </c>
      <c r="AK25" s="221">
        <v>1</v>
      </c>
      <c r="AL25" s="221">
        <v>0</v>
      </c>
      <c r="AM25" s="221">
        <v>770</v>
      </c>
      <c r="AN25" s="147"/>
      <c r="AO25" s="221">
        <v>-4</v>
      </c>
      <c r="AP25" s="221">
        <v>16</v>
      </c>
      <c r="AQ25" s="221">
        <v>24</v>
      </c>
      <c r="AR25" s="221">
        <v>8</v>
      </c>
      <c r="AS25" s="221">
        <v>11</v>
      </c>
      <c r="AT25" s="221">
        <v>9</v>
      </c>
      <c r="AU25" s="221">
        <v>0</v>
      </c>
      <c r="AV25" s="221">
        <v>-1</v>
      </c>
      <c r="AW25" s="221">
        <v>63</v>
      </c>
      <c r="AX25" s="56">
        <f t="shared" si="29"/>
        <v>4</v>
      </c>
      <c r="AY25" s="56">
        <f t="shared" si="10"/>
        <v>-16</v>
      </c>
      <c r="AZ25" s="56">
        <f t="shared" si="10"/>
        <v>-24</v>
      </c>
      <c r="BA25" s="56">
        <f t="shared" si="10"/>
        <v>-8</v>
      </c>
      <c r="BB25" s="56">
        <f t="shared" si="10"/>
        <v>-11</v>
      </c>
      <c r="BC25" s="56">
        <f t="shared" si="10"/>
        <v>-9</v>
      </c>
      <c r="BD25" s="56">
        <f t="shared" si="10"/>
        <v>0</v>
      </c>
      <c r="BE25" s="56">
        <f t="shared" si="10"/>
        <v>1</v>
      </c>
      <c r="BF25" s="56">
        <f t="shared" si="10"/>
        <v>-63</v>
      </c>
      <c r="BH25">
        <f t="shared" si="11"/>
        <v>0.8</v>
      </c>
      <c r="BI25">
        <f t="shared" si="20"/>
        <v>0.19999999999999996</v>
      </c>
      <c r="BJ25" s="154">
        <v>154412.31466666667</v>
      </c>
      <c r="BK25" s="155">
        <f t="shared" si="12"/>
        <v>154412.31466666667</v>
      </c>
      <c r="BL25" s="156">
        <v>252429.57422222226</v>
      </c>
      <c r="BM25" s="155">
        <f t="shared" si="13"/>
        <v>252429.57422222226</v>
      </c>
      <c r="BN25" s="158">
        <v>373681.40266666672</v>
      </c>
      <c r="BO25" s="155">
        <f t="shared" si="14"/>
        <v>373681.40266666672</v>
      </c>
      <c r="BP25" s="158">
        <v>313133.86666666664</v>
      </c>
      <c r="BQ25" s="155">
        <f t="shared" si="15"/>
        <v>313133.86666666664</v>
      </c>
      <c r="BR25" s="158">
        <v>339282.64888888889</v>
      </c>
      <c r="BS25" s="155">
        <f t="shared" si="16"/>
        <v>339282.64888888889</v>
      </c>
      <c r="BT25" s="194">
        <v>624192.07822222204</v>
      </c>
      <c r="BU25" s="194"/>
      <c r="BV25" s="348">
        <f t="shared" si="21"/>
        <v>624192.07822222204</v>
      </c>
      <c r="BW25" s="195">
        <f t="shared" si="17"/>
        <v>857125.78488888894</v>
      </c>
      <c r="BX25" s="157">
        <f t="shared" si="22"/>
        <v>214281.44622222224</v>
      </c>
      <c r="BY25" s="157">
        <f>IF(E25*$CJ$10*'Year 7 Payments'!$L$20*IF(B25="",1,0.8)&lt;=(BW25-(J25*350)),E25*$CJ$10*'Year 7 Payments'!$L$20*IF(B25="",1,0.8),BW25-(IF(B25="",1,0.8)*J25*350))</f>
        <v>177840.10572800002</v>
      </c>
      <c r="BZ25" s="157">
        <f t="shared" si="23"/>
        <v>44460.026432000006</v>
      </c>
      <c r="CA25" s="157">
        <f t="shared" si="24"/>
        <v>679285.67916088889</v>
      </c>
      <c r="CB25" s="157">
        <f t="shared" si="25"/>
        <v>169821.41979022222</v>
      </c>
      <c r="CC25" s="157">
        <f t="shared" si="26"/>
        <v>2717142.7166435556</v>
      </c>
      <c r="CD25" s="201">
        <f t="shared" si="27"/>
        <v>679285.67916088889</v>
      </c>
      <c r="CE25" s="155">
        <f t="shared" si="28"/>
        <v>679285.67916088889</v>
      </c>
    </row>
    <row r="26" spans="1:93" x14ac:dyDescent="0.2">
      <c r="A26" s="147" t="s">
        <v>479</v>
      </c>
      <c r="B26" s="57"/>
      <c r="C26" s="57" t="s">
        <v>446</v>
      </c>
      <c r="D26" s="148" t="s">
        <v>54</v>
      </c>
      <c r="E26" s="197">
        <v>46153</v>
      </c>
      <c r="F26" s="147">
        <f t="shared" si="18"/>
        <v>60605</v>
      </c>
      <c r="G26" s="342">
        <v>1563</v>
      </c>
      <c r="H26" s="149">
        <f t="shared" si="2"/>
        <v>-347</v>
      </c>
      <c r="I26" s="346">
        <v>0</v>
      </c>
      <c r="J26" s="150">
        <v>0</v>
      </c>
      <c r="K26"/>
      <c r="L26" s="151">
        <v>35355</v>
      </c>
      <c r="M26" s="151">
        <v>9278</v>
      </c>
      <c r="N26" s="151">
        <v>8305</v>
      </c>
      <c r="O26" s="151">
        <v>4260</v>
      </c>
      <c r="P26" s="151">
        <v>2001</v>
      </c>
      <c r="Q26" s="151">
        <v>767</v>
      </c>
      <c r="R26" s="151">
        <v>567</v>
      </c>
      <c r="S26" s="151">
        <v>72</v>
      </c>
      <c r="T26" s="151">
        <v>60605</v>
      </c>
      <c r="U26" s="147"/>
      <c r="V26" s="152">
        <f t="shared" si="19"/>
        <v>0.58336770893490641</v>
      </c>
      <c r="W26" s="152">
        <f t="shared" si="3"/>
        <v>0.15308967906938373</v>
      </c>
      <c r="X26" s="152">
        <f t="shared" si="4"/>
        <v>0.13703489811071692</v>
      </c>
      <c r="Y26" s="152">
        <f t="shared" si="5"/>
        <v>7.0291230096526686E-2</v>
      </c>
      <c r="Z26" s="152">
        <f t="shared" si="6"/>
        <v>3.3017077798861483E-2</v>
      </c>
      <c r="AA26" s="152">
        <f t="shared" si="7"/>
        <v>1.2655721475125815E-2</v>
      </c>
      <c r="AB26" s="152">
        <f t="shared" si="8"/>
        <v>9.3556637241151725E-3</v>
      </c>
      <c r="AC26" s="152">
        <f t="shared" si="9"/>
        <v>1.1880207903638314E-3</v>
      </c>
      <c r="AD26" s="152"/>
      <c r="AE26" s="221">
        <v>-29</v>
      </c>
      <c r="AF26" s="221">
        <v>50</v>
      </c>
      <c r="AG26" s="221">
        <v>-2</v>
      </c>
      <c r="AH26" s="221">
        <v>16</v>
      </c>
      <c r="AI26" s="221">
        <v>-3</v>
      </c>
      <c r="AJ26" s="221">
        <v>0</v>
      </c>
      <c r="AK26" s="221">
        <v>4</v>
      </c>
      <c r="AL26" s="221">
        <v>1</v>
      </c>
      <c r="AM26" s="221">
        <v>37</v>
      </c>
      <c r="AN26" s="147"/>
      <c r="AO26" s="221">
        <v>315</v>
      </c>
      <c r="AP26" s="221">
        <v>38</v>
      </c>
      <c r="AQ26" s="221">
        <v>10</v>
      </c>
      <c r="AR26" s="221">
        <v>6</v>
      </c>
      <c r="AS26" s="221">
        <v>5</v>
      </c>
      <c r="AT26" s="221">
        <v>7</v>
      </c>
      <c r="AU26" s="221">
        <v>1</v>
      </c>
      <c r="AV26" s="221">
        <v>2</v>
      </c>
      <c r="AW26" s="221">
        <v>384</v>
      </c>
      <c r="AX26" s="56">
        <f t="shared" si="29"/>
        <v>-315</v>
      </c>
      <c r="AY26" s="56">
        <f t="shared" si="10"/>
        <v>-38</v>
      </c>
      <c r="AZ26" s="56">
        <f t="shared" si="10"/>
        <v>-10</v>
      </c>
      <c r="BA26" s="56">
        <f t="shared" si="10"/>
        <v>-6</v>
      </c>
      <c r="BB26" s="56">
        <f t="shared" si="10"/>
        <v>-5</v>
      </c>
      <c r="BC26" s="56">
        <f t="shared" si="10"/>
        <v>-7</v>
      </c>
      <c r="BD26" s="56">
        <f t="shared" si="10"/>
        <v>-1</v>
      </c>
      <c r="BE26" s="56">
        <f t="shared" si="10"/>
        <v>-2</v>
      </c>
      <c r="BF26" s="56">
        <f t="shared" si="10"/>
        <v>-384</v>
      </c>
      <c r="BH26">
        <f t="shared" si="11"/>
        <v>1</v>
      </c>
      <c r="BI26">
        <f t="shared" si="20"/>
        <v>0</v>
      </c>
      <c r="BJ26" s="154">
        <v>110500.11333333339</v>
      </c>
      <c r="BK26" s="155">
        <f t="shared" si="12"/>
        <v>110500.11333333339</v>
      </c>
      <c r="BL26" s="156">
        <v>213032.5033333333</v>
      </c>
      <c r="BM26" s="155">
        <f t="shared" si="13"/>
        <v>213032.5033333333</v>
      </c>
      <c r="BN26" s="158">
        <v>58271.60555555555</v>
      </c>
      <c r="BO26" s="155">
        <f t="shared" si="14"/>
        <v>58271.60555555555</v>
      </c>
      <c r="BP26" s="158">
        <v>515255.73333333322</v>
      </c>
      <c r="BQ26" s="155">
        <f t="shared" si="15"/>
        <v>515255.73333333322</v>
      </c>
      <c r="BR26" s="158">
        <v>472441.20666666667</v>
      </c>
      <c r="BS26" s="155">
        <f t="shared" si="16"/>
        <v>472441.20666666667</v>
      </c>
      <c r="BT26" s="194">
        <v>282739.86222222215</v>
      </c>
      <c r="BU26" s="194"/>
      <c r="BV26" s="348">
        <f t="shared" si="21"/>
        <v>282739.86222222215</v>
      </c>
      <c r="BW26" s="195">
        <f t="shared" si="17"/>
        <v>0</v>
      </c>
      <c r="BX26" s="157" t="str">
        <f t="shared" si="22"/>
        <v>0</v>
      </c>
      <c r="BY26" s="157">
        <f>IF(E26*$CJ$10*'Year 7 Payments'!$L$20*IF(B26="",1,0.8)&lt;=(BW26-(J26*350)),E26*$CJ$10*'Year 7 Payments'!$L$20*IF(B26="",1,0.8),BW26-(IF(B26="",1,0.8)*J26*350))</f>
        <v>0</v>
      </c>
      <c r="BZ26" s="157" t="str">
        <f t="shared" si="23"/>
        <v>0</v>
      </c>
      <c r="CA26" s="157">
        <f t="shared" si="24"/>
        <v>0</v>
      </c>
      <c r="CB26" s="157">
        <f t="shared" si="25"/>
        <v>0</v>
      </c>
      <c r="CC26" s="157">
        <f t="shared" si="26"/>
        <v>0</v>
      </c>
      <c r="CD26" s="201">
        <f t="shared" si="27"/>
        <v>0</v>
      </c>
      <c r="CE26" s="155">
        <f t="shared" si="28"/>
        <v>0</v>
      </c>
    </row>
    <row r="27" spans="1:93" x14ac:dyDescent="0.2">
      <c r="A27" s="147" t="s">
        <v>480</v>
      </c>
      <c r="B27" s="57"/>
      <c r="C27" s="57" t="s">
        <v>446</v>
      </c>
      <c r="D27" s="148" t="s">
        <v>55</v>
      </c>
      <c r="E27" s="197">
        <v>54342.555555555555</v>
      </c>
      <c r="F27" s="147">
        <f t="shared" si="18"/>
        <v>71172</v>
      </c>
      <c r="G27" s="342">
        <v>1174</v>
      </c>
      <c r="H27" s="149">
        <f t="shared" si="2"/>
        <v>433</v>
      </c>
      <c r="I27" s="346">
        <v>110.51866666666669</v>
      </c>
      <c r="J27" s="150">
        <v>26</v>
      </c>
      <c r="K27"/>
      <c r="L27" s="151">
        <v>31847</v>
      </c>
      <c r="M27" s="151">
        <v>20819</v>
      </c>
      <c r="N27" s="151">
        <v>11245</v>
      </c>
      <c r="O27" s="151">
        <v>4605</v>
      </c>
      <c r="P27" s="151">
        <v>1824</v>
      </c>
      <c r="Q27" s="151">
        <v>549</v>
      </c>
      <c r="R27" s="151">
        <v>253</v>
      </c>
      <c r="S27" s="151">
        <v>30</v>
      </c>
      <c r="T27" s="151">
        <v>71172</v>
      </c>
      <c r="U27" s="147"/>
      <c r="V27" s="152">
        <f t="shared" si="19"/>
        <v>0.44746529534086438</v>
      </c>
      <c r="W27" s="152">
        <f t="shared" si="3"/>
        <v>0.29251672005844997</v>
      </c>
      <c r="X27" s="152">
        <f t="shared" si="4"/>
        <v>0.15799752711740572</v>
      </c>
      <c r="Y27" s="152">
        <f t="shared" si="5"/>
        <v>6.4702411060529416E-2</v>
      </c>
      <c r="Z27" s="152">
        <f t="shared" si="6"/>
        <v>2.5628055977069634E-2</v>
      </c>
      <c r="AA27" s="152">
        <f t="shared" si="7"/>
        <v>7.7137076378351035E-3</v>
      </c>
      <c r="AB27" s="152">
        <f t="shared" si="8"/>
        <v>3.5547687292755577E-3</v>
      </c>
      <c r="AC27" s="152">
        <f t="shared" si="9"/>
        <v>4.2151407857022422E-4</v>
      </c>
      <c r="AD27" s="152"/>
      <c r="AE27" s="221">
        <v>-72</v>
      </c>
      <c r="AF27" s="221">
        <v>35</v>
      </c>
      <c r="AG27" s="221">
        <v>26</v>
      </c>
      <c r="AH27" s="221">
        <v>23</v>
      </c>
      <c r="AI27" s="221">
        <v>2</v>
      </c>
      <c r="AJ27" s="221">
        <v>2</v>
      </c>
      <c r="AK27" s="221">
        <v>0</v>
      </c>
      <c r="AL27" s="221">
        <v>-1</v>
      </c>
      <c r="AM27" s="221">
        <v>15</v>
      </c>
      <c r="AN27" s="147"/>
      <c r="AO27" s="221">
        <v>-316</v>
      </c>
      <c r="AP27" s="221">
        <v>-60</v>
      </c>
      <c r="AQ27" s="221">
        <v>-29</v>
      </c>
      <c r="AR27" s="221">
        <v>-12</v>
      </c>
      <c r="AS27" s="221">
        <v>7</v>
      </c>
      <c r="AT27" s="221">
        <v>-6</v>
      </c>
      <c r="AU27" s="221">
        <v>0</v>
      </c>
      <c r="AV27" s="221">
        <v>-2</v>
      </c>
      <c r="AW27" s="221">
        <v>-418</v>
      </c>
      <c r="AX27" s="56">
        <f t="shared" si="29"/>
        <v>316</v>
      </c>
      <c r="AY27" s="56">
        <f t="shared" si="10"/>
        <v>60</v>
      </c>
      <c r="AZ27" s="56">
        <f t="shared" si="10"/>
        <v>29</v>
      </c>
      <c r="BA27" s="56">
        <f t="shared" si="10"/>
        <v>12</v>
      </c>
      <c r="BB27" s="56">
        <f t="shared" si="10"/>
        <v>-7</v>
      </c>
      <c r="BC27" s="56">
        <f t="shared" si="10"/>
        <v>6</v>
      </c>
      <c r="BD27" s="56">
        <f t="shared" si="10"/>
        <v>0</v>
      </c>
      <c r="BE27" s="56">
        <f t="shared" si="10"/>
        <v>2</v>
      </c>
      <c r="BF27" s="56">
        <f t="shared" si="10"/>
        <v>418</v>
      </c>
      <c r="BH27">
        <f t="shared" si="11"/>
        <v>1</v>
      </c>
      <c r="BI27">
        <f t="shared" si="20"/>
        <v>0</v>
      </c>
      <c r="BJ27" s="154">
        <v>466147.3666666667</v>
      </c>
      <c r="BK27" s="155">
        <f t="shared" si="12"/>
        <v>466147.3666666667</v>
      </c>
      <c r="BL27" s="156">
        <v>565324.8055555555</v>
      </c>
      <c r="BM27" s="155">
        <f t="shared" si="13"/>
        <v>565324.8055555555</v>
      </c>
      <c r="BN27" s="158">
        <v>364048.08333333337</v>
      </c>
      <c r="BO27" s="155">
        <f t="shared" si="14"/>
        <v>364048.08333333337</v>
      </c>
      <c r="BP27" s="158">
        <v>25200</v>
      </c>
      <c r="BQ27" s="155">
        <f t="shared" si="15"/>
        <v>25200</v>
      </c>
      <c r="BR27" s="158">
        <v>18900</v>
      </c>
      <c r="BS27" s="155">
        <f t="shared" si="16"/>
        <v>18900</v>
      </c>
      <c r="BT27" s="194">
        <v>252455.93333333335</v>
      </c>
      <c r="BU27" s="194"/>
      <c r="BV27" s="348">
        <f t="shared" si="21"/>
        <v>252455.93333333335</v>
      </c>
      <c r="BW27" s="195">
        <f t="shared" si="17"/>
        <v>510625.72888888879</v>
      </c>
      <c r="BX27" s="157" t="str">
        <f t="shared" si="22"/>
        <v>0</v>
      </c>
      <c r="BY27" s="157">
        <f>IF(E27*$CJ$10*'Year 7 Payments'!$L$20*IF(B27="",1,0.8)&lt;=(BW27-(J27*350)),E27*$CJ$10*'Year 7 Payments'!$L$20*IF(B27="",1,0.8),BW27-(IF(B27="",1,0.8)*J27*350))</f>
        <v>332480.79710222222</v>
      </c>
      <c r="BZ27" s="157" t="str">
        <f t="shared" si="23"/>
        <v>0</v>
      </c>
      <c r="CA27" s="157">
        <f t="shared" si="24"/>
        <v>178144.93178666657</v>
      </c>
      <c r="CB27" s="157">
        <f t="shared" si="25"/>
        <v>0</v>
      </c>
      <c r="CC27" s="157">
        <f t="shared" si="26"/>
        <v>712579.72714666626</v>
      </c>
      <c r="CD27" s="201">
        <f t="shared" si="27"/>
        <v>0</v>
      </c>
      <c r="CE27" s="155">
        <f t="shared" si="28"/>
        <v>178144.93178666657</v>
      </c>
      <c r="CG27" s="198"/>
      <c r="CH27" s="198"/>
      <c r="CI27" s="198"/>
      <c r="CJ27" s="198"/>
      <c r="CK27" s="198"/>
      <c r="CL27" s="198"/>
      <c r="CM27" s="198"/>
    </row>
    <row r="28" spans="1:93" x14ac:dyDescent="0.2">
      <c r="A28" s="147" t="s">
        <v>481</v>
      </c>
      <c r="B28" s="57" t="s">
        <v>448</v>
      </c>
      <c r="C28" s="57" t="s">
        <v>449</v>
      </c>
      <c r="D28" s="148" t="s">
        <v>56</v>
      </c>
      <c r="E28" s="197">
        <v>26186</v>
      </c>
      <c r="F28" s="147">
        <f t="shared" si="18"/>
        <v>35403</v>
      </c>
      <c r="G28" s="342">
        <v>633</v>
      </c>
      <c r="H28" s="149">
        <f t="shared" si="2"/>
        <v>297</v>
      </c>
      <c r="I28" s="346">
        <v>156.256</v>
      </c>
      <c r="J28" s="150">
        <v>0</v>
      </c>
      <c r="K28"/>
      <c r="L28" s="151">
        <v>21718</v>
      </c>
      <c r="M28" s="151">
        <v>5718</v>
      </c>
      <c r="N28" s="151">
        <v>4072</v>
      </c>
      <c r="O28" s="151">
        <v>2375</v>
      </c>
      <c r="P28" s="151">
        <v>1072</v>
      </c>
      <c r="Q28" s="151">
        <v>311</v>
      </c>
      <c r="R28" s="151">
        <v>118</v>
      </c>
      <c r="S28" s="151">
        <v>19</v>
      </c>
      <c r="T28" s="151">
        <v>35403</v>
      </c>
      <c r="U28" s="147"/>
      <c r="V28" s="152">
        <f t="shared" si="19"/>
        <v>0.61345083749964691</v>
      </c>
      <c r="W28" s="152">
        <f t="shared" si="3"/>
        <v>0.16151173629353444</v>
      </c>
      <c r="X28" s="152">
        <f t="shared" si="4"/>
        <v>0.11501850125695562</v>
      </c>
      <c r="Y28" s="152">
        <f t="shared" si="5"/>
        <v>6.7084710335282322E-2</v>
      </c>
      <c r="Z28" s="152">
        <f t="shared" si="6"/>
        <v>3.0279919780809537E-2</v>
      </c>
      <c r="AA28" s="152">
        <f t="shared" si="7"/>
        <v>8.7845662796938121E-3</v>
      </c>
      <c r="AB28" s="152">
        <f t="shared" si="8"/>
        <v>3.3330508713950795E-3</v>
      </c>
      <c r="AC28" s="152">
        <f t="shared" si="9"/>
        <v>5.3667768268225854E-4</v>
      </c>
      <c r="AD28" s="152"/>
      <c r="AE28" s="221">
        <v>61</v>
      </c>
      <c r="AF28" s="221">
        <v>58</v>
      </c>
      <c r="AG28" s="221">
        <v>51</v>
      </c>
      <c r="AH28" s="221">
        <v>89</v>
      </c>
      <c r="AI28" s="221">
        <v>24</v>
      </c>
      <c r="AJ28" s="221">
        <v>1</v>
      </c>
      <c r="AK28" s="221">
        <v>1</v>
      </c>
      <c r="AL28" s="221">
        <v>1</v>
      </c>
      <c r="AM28" s="221">
        <v>286</v>
      </c>
      <c r="AN28" s="147"/>
      <c r="AO28" s="221">
        <v>-11</v>
      </c>
      <c r="AP28" s="221">
        <v>-6</v>
      </c>
      <c r="AQ28" s="221">
        <v>6</v>
      </c>
      <c r="AR28" s="221">
        <v>-1</v>
      </c>
      <c r="AS28" s="221">
        <v>2</v>
      </c>
      <c r="AT28" s="221">
        <v>-2</v>
      </c>
      <c r="AU28" s="221">
        <v>1</v>
      </c>
      <c r="AV28" s="221">
        <v>0</v>
      </c>
      <c r="AW28" s="221">
        <v>-11</v>
      </c>
      <c r="AX28" s="56">
        <f t="shared" si="29"/>
        <v>11</v>
      </c>
      <c r="AY28" s="56">
        <f t="shared" si="10"/>
        <v>6</v>
      </c>
      <c r="AZ28" s="56">
        <f t="shared" si="10"/>
        <v>-6</v>
      </c>
      <c r="BA28" s="56">
        <f t="shared" si="10"/>
        <v>1</v>
      </c>
      <c r="BB28" s="56">
        <f t="shared" si="10"/>
        <v>-2</v>
      </c>
      <c r="BC28" s="56">
        <f t="shared" si="10"/>
        <v>2</v>
      </c>
      <c r="BD28" s="56">
        <f t="shared" si="10"/>
        <v>-1</v>
      </c>
      <c r="BE28" s="56">
        <f t="shared" si="10"/>
        <v>0</v>
      </c>
      <c r="BF28" s="56">
        <f t="shared" si="10"/>
        <v>11</v>
      </c>
      <c r="BH28">
        <f t="shared" si="11"/>
        <v>0.8</v>
      </c>
      <c r="BI28">
        <f t="shared" si="20"/>
        <v>0.19999999999999996</v>
      </c>
      <c r="BJ28" s="154">
        <v>117312.42133333335</v>
      </c>
      <c r="BK28" s="155">
        <f t="shared" si="12"/>
        <v>117312.42133333335</v>
      </c>
      <c r="BL28" s="156">
        <v>193346.29955555554</v>
      </c>
      <c r="BM28" s="155">
        <f t="shared" si="13"/>
        <v>193346.29955555554</v>
      </c>
      <c r="BN28" s="158">
        <v>169638.69777777779</v>
      </c>
      <c r="BO28" s="155">
        <f t="shared" si="14"/>
        <v>169638.69777777779</v>
      </c>
      <c r="BP28" s="158">
        <v>292058.02666666667</v>
      </c>
      <c r="BQ28" s="155">
        <f t="shared" si="15"/>
        <v>292058.02666666667</v>
      </c>
      <c r="BR28" s="158">
        <v>277154.45155555563</v>
      </c>
      <c r="BS28" s="155">
        <f t="shared" si="16"/>
        <v>277154.45155555563</v>
      </c>
      <c r="BT28" s="194">
        <v>265992.68266666669</v>
      </c>
      <c r="BU28" s="194">
        <v>1960</v>
      </c>
      <c r="BV28" s="349">
        <f t="shared" si="21"/>
        <v>267952.68266666669</v>
      </c>
      <c r="BW28" s="195">
        <f t="shared" si="17"/>
        <v>319372.12799999997</v>
      </c>
      <c r="BX28" s="157">
        <f t="shared" si="22"/>
        <v>79843.031999999992</v>
      </c>
      <c r="BY28" s="157">
        <f>IF(E28*$CJ$10*'Year 7 Payments'!$L$20*IF(B28="",1,0.8)&lt;=(BW28-(J28*350)),E28*$CJ$10*'Year 7 Payments'!$L$20*IF(B28="",1,0.8),BW28-(IF(B28="",1,0.8)*J28*350))</f>
        <v>128169.786112</v>
      </c>
      <c r="BZ28" s="157">
        <f t="shared" si="23"/>
        <v>32042.446528</v>
      </c>
      <c r="CA28" s="157">
        <f t="shared" si="24"/>
        <v>191202.34188799997</v>
      </c>
      <c r="CB28" s="157">
        <f t="shared" si="25"/>
        <v>47800.585471999992</v>
      </c>
      <c r="CC28" s="157">
        <f t="shared" si="26"/>
        <v>764809.36755199987</v>
      </c>
      <c r="CD28" s="201">
        <f t="shared" si="27"/>
        <v>191202.34188799997</v>
      </c>
      <c r="CE28" s="155">
        <f t="shared" si="28"/>
        <v>191202.34188799997</v>
      </c>
    </row>
    <row r="29" spans="1:93" x14ac:dyDescent="0.2">
      <c r="A29" s="147" t="s">
        <v>482</v>
      </c>
      <c r="B29" s="57"/>
      <c r="C29" s="57" t="s">
        <v>446</v>
      </c>
      <c r="D29" s="148" t="s">
        <v>57</v>
      </c>
      <c r="E29" s="197">
        <v>97722.999999999985</v>
      </c>
      <c r="F29" s="147">
        <f t="shared" si="18"/>
        <v>123838</v>
      </c>
      <c r="G29" s="342">
        <v>1525</v>
      </c>
      <c r="H29" s="149">
        <f t="shared" si="2"/>
        <v>525</v>
      </c>
      <c r="I29" s="346">
        <v>34.219111111111204</v>
      </c>
      <c r="J29" s="150">
        <v>53</v>
      </c>
      <c r="K29"/>
      <c r="L29" s="151">
        <v>64004</v>
      </c>
      <c r="M29" s="151">
        <v>21426</v>
      </c>
      <c r="N29" s="151">
        <v>18331</v>
      </c>
      <c r="O29" s="151">
        <v>10378</v>
      </c>
      <c r="P29" s="151">
        <v>5426</v>
      </c>
      <c r="Q29" s="151">
        <v>2221</v>
      </c>
      <c r="R29" s="151">
        <v>1814</v>
      </c>
      <c r="S29" s="151">
        <v>238</v>
      </c>
      <c r="T29" s="151">
        <v>123838</v>
      </c>
      <c r="U29" s="147"/>
      <c r="V29" s="152">
        <f t="shared" si="19"/>
        <v>0.51683651221757454</v>
      </c>
      <c r="W29" s="152">
        <f t="shared" si="3"/>
        <v>0.17301636008333468</v>
      </c>
      <c r="X29" s="152">
        <f t="shared" si="4"/>
        <v>0.14802403139585588</v>
      </c>
      <c r="Y29" s="152">
        <f t="shared" si="5"/>
        <v>8.3803032994718904E-2</v>
      </c>
      <c r="Z29" s="152">
        <f t="shared" si="6"/>
        <v>4.3815307094752821E-2</v>
      </c>
      <c r="AA29" s="152">
        <f t="shared" si="7"/>
        <v>1.7934721167977518E-2</v>
      </c>
      <c r="AB29" s="152">
        <f t="shared" si="8"/>
        <v>1.4648169382580468E-2</v>
      </c>
      <c r="AC29" s="152">
        <f t="shared" si="9"/>
        <v>1.9218656632051551E-3</v>
      </c>
      <c r="AD29" s="152"/>
      <c r="AE29" s="221">
        <v>93</v>
      </c>
      <c r="AF29" s="221">
        <v>92</v>
      </c>
      <c r="AG29" s="221">
        <v>116</v>
      </c>
      <c r="AH29" s="221">
        <v>23</v>
      </c>
      <c r="AI29" s="221">
        <v>58</v>
      </c>
      <c r="AJ29" s="221">
        <v>11</v>
      </c>
      <c r="AK29" s="221">
        <v>16</v>
      </c>
      <c r="AL29" s="221">
        <v>4</v>
      </c>
      <c r="AM29" s="221">
        <v>413</v>
      </c>
      <c r="AN29" s="147"/>
      <c r="AO29" s="221">
        <v>-132</v>
      </c>
      <c r="AP29" s="221">
        <v>-32</v>
      </c>
      <c r="AQ29" s="221">
        <v>-1</v>
      </c>
      <c r="AR29" s="221">
        <v>23</v>
      </c>
      <c r="AS29" s="221">
        <v>6</v>
      </c>
      <c r="AT29" s="221">
        <v>10</v>
      </c>
      <c r="AU29" s="221">
        <v>9</v>
      </c>
      <c r="AV29" s="221">
        <v>5</v>
      </c>
      <c r="AW29" s="221">
        <v>-112</v>
      </c>
      <c r="AX29" s="56">
        <f t="shared" si="29"/>
        <v>132</v>
      </c>
      <c r="AY29" s="56">
        <f t="shared" si="10"/>
        <v>32</v>
      </c>
      <c r="AZ29" s="56">
        <f t="shared" si="10"/>
        <v>1</v>
      </c>
      <c r="BA29" s="56">
        <f t="shared" si="10"/>
        <v>-23</v>
      </c>
      <c r="BB29" s="56">
        <f t="shared" si="10"/>
        <v>-6</v>
      </c>
      <c r="BC29" s="56">
        <f t="shared" si="10"/>
        <v>-10</v>
      </c>
      <c r="BD29" s="56">
        <f t="shared" si="10"/>
        <v>-9</v>
      </c>
      <c r="BE29" s="56">
        <f t="shared" si="10"/>
        <v>-5</v>
      </c>
      <c r="BF29" s="56">
        <f t="shared" si="10"/>
        <v>112</v>
      </c>
      <c r="BH29">
        <f t="shared" si="11"/>
        <v>1</v>
      </c>
      <c r="BI29">
        <f t="shared" si="20"/>
        <v>0</v>
      </c>
      <c r="BJ29" s="154">
        <v>759268.50666666683</v>
      </c>
      <c r="BK29" s="155">
        <f t="shared" si="12"/>
        <v>759268.50666666683</v>
      </c>
      <c r="BL29" s="156">
        <v>928624.55111111095</v>
      </c>
      <c r="BM29" s="155">
        <f t="shared" si="13"/>
        <v>928624.55111111095</v>
      </c>
      <c r="BN29" s="158">
        <v>716886.03333333333</v>
      </c>
      <c r="BO29" s="155">
        <f t="shared" si="14"/>
        <v>716886.03333333333</v>
      </c>
      <c r="BP29" s="158">
        <v>965966.1333333333</v>
      </c>
      <c r="BQ29" s="155">
        <f t="shared" si="15"/>
        <v>965966.1333333333</v>
      </c>
      <c r="BR29" s="158">
        <v>665557.9022222223</v>
      </c>
      <c r="BS29" s="155">
        <f t="shared" si="16"/>
        <v>665557.9022222223</v>
      </c>
      <c r="BT29" s="194">
        <v>485353.04222222214</v>
      </c>
      <c r="BU29" s="194"/>
      <c r="BV29" s="348">
        <f t="shared" si="21"/>
        <v>485353.04222222214</v>
      </c>
      <c r="BW29" s="195">
        <f t="shared" si="17"/>
        <v>668782.95111111121</v>
      </c>
      <c r="BX29" s="157" t="str">
        <f t="shared" si="22"/>
        <v>0</v>
      </c>
      <c r="BY29" s="157">
        <f>IF(E29*$CJ$10*'Year 7 Payments'!$L$20*IF(B29="",1,0.8)&lt;=(BW29-(J29*350)),E29*$CJ$10*'Year 7 Payments'!$L$20*IF(B29="",1,0.8),BW29-(IF(B29="",1,0.8)*J29*350))</f>
        <v>597892.76751999988</v>
      </c>
      <c r="BZ29" s="157" t="str">
        <f t="shared" si="23"/>
        <v>0</v>
      </c>
      <c r="CA29" s="157">
        <f t="shared" si="24"/>
        <v>70890.18359111133</v>
      </c>
      <c r="CB29" s="157">
        <f t="shared" si="25"/>
        <v>0</v>
      </c>
      <c r="CC29" s="157">
        <f t="shared" si="26"/>
        <v>283560.73436444532</v>
      </c>
      <c r="CD29" s="201">
        <f t="shared" si="27"/>
        <v>0</v>
      </c>
      <c r="CE29" s="155">
        <f t="shared" si="28"/>
        <v>70890.18359111133</v>
      </c>
    </row>
    <row r="30" spans="1:93" x14ac:dyDescent="0.2">
      <c r="A30" s="147" t="s">
        <v>483</v>
      </c>
      <c r="B30" s="57" t="s">
        <v>484</v>
      </c>
      <c r="C30" s="57" t="s">
        <v>449</v>
      </c>
      <c r="D30" s="148" t="s">
        <v>58</v>
      </c>
      <c r="E30" s="197">
        <v>22470.777777777774</v>
      </c>
      <c r="F30" s="147">
        <f t="shared" si="18"/>
        <v>29189</v>
      </c>
      <c r="G30" s="342">
        <v>224</v>
      </c>
      <c r="H30" s="149">
        <f t="shared" si="2"/>
        <v>208</v>
      </c>
      <c r="I30" s="346">
        <v>67.228000000000023</v>
      </c>
      <c r="J30" s="150">
        <v>28</v>
      </c>
      <c r="K30"/>
      <c r="L30" s="151">
        <v>14327</v>
      </c>
      <c r="M30" s="151">
        <v>5833</v>
      </c>
      <c r="N30" s="151">
        <v>5907</v>
      </c>
      <c r="O30" s="151">
        <v>2021</v>
      </c>
      <c r="P30" s="151">
        <v>800</v>
      </c>
      <c r="Q30" s="151">
        <v>208</v>
      </c>
      <c r="R30" s="151">
        <v>81</v>
      </c>
      <c r="S30" s="151">
        <v>12</v>
      </c>
      <c r="T30" s="151">
        <v>29189</v>
      </c>
      <c r="U30" s="147"/>
      <c r="V30" s="152">
        <f t="shared" si="19"/>
        <v>0.49083558874918631</v>
      </c>
      <c r="W30" s="152">
        <f t="shared" si="3"/>
        <v>0.19983555448970503</v>
      </c>
      <c r="X30" s="152">
        <f t="shared" si="4"/>
        <v>0.20237075610675254</v>
      </c>
      <c r="Y30" s="152">
        <f t="shared" si="5"/>
        <v>6.9238411730446398E-2</v>
      </c>
      <c r="Z30" s="152">
        <f t="shared" si="6"/>
        <v>2.7407585049162356E-2</v>
      </c>
      <c r="AA30" s="152">
        <f t="shared" si="7"/>
        <v>7.1259721127822128E-3</v>
      </c>
      <c r="AB30" s="152">
        <f t="shared" si="8"/>
        <v>2.7750179862276883E-3</v>
      </c>
      <c r="AC30" s="152">
        <f t="shared" si="9"/>
        <v>4.1111377573743534E-4</v>
      </c>
      <c r="AD30" s="152"/>
      <c r="AE30" s="221">
        <v>149</v>
      </c>
      <c r="AF30" s="221">
        <v>24</v>
      </c>
      <c r="AG30" s="221">
        <v>26</v>
      </c>
      <c r="AH30" s="221">
        <v>31</v>
      </c>
      <c r="AI30" s="221">
        <v>6</v>
      </c>
      <c r="AJ30" s="221">
        <v>0</v>
      </c>
      <c r="AK30" s="221">
        <v>1</v>
      </c>
      <c r="AL30" s="221">
        <v>0</v>
      </c>
      <c r="AM30" s="221">
        <v>237</v>
      </c>
      <c r="AN30" s="147"/>
      <c r="AO30" s="221">
        <v>-6</v>
      </c>
      <c r="AP30" s="221">
        <v>20</v>
      </c>
      <c r="AQ30" s="221">
        <v>15</v>
      </c>
      <c r="AR30" s="221">
        <v>3</v>
      </c>
      <c r="AS30" s="221">
        <v>-2</v>
      </c>
      <c r="AT30" s="221">
        <v>-1</v>
      </c>
      <c r="AU30" s="221">
        <v>0</v>
      </c>
      <c r="AV30" s="221">
        <v>0</v>
      </c>
      <c r="AW30" s="221">
        <v>29</v>
      </c>
      <c r="AX30" s="56">
        <f t="shared" si="29"/>
        <v>6</v>
      </c>
      <c r="AY30" s="56">
        <f t="shared" si="10"/>
        <v>-20</v>
      </c>
      <c r="AZ30" s="56">
        <f t="shared" si="10"/>
        <v>-15</v>
      </c>
      <c r="BA30" s="56">
        <f t="shared" si="10"/>
        <v>-3</v>
      </c>
      <c r="BB30" s="56">
        <f t="shared" si="10"/>
        <v>2</v>
      </c>
      <c r="BC30" s="56">
        <f t="shared" si="10"/>
        <v>1</v>
      </c>
      <c r="BD30" s="56">
        <f t="shared" si="10"/>
        <v>0</v>
      </c>
      <c r="BE30" s="56">
        <f t="shared" si="10"/>
        <v>0</v>
      </c>
      <c r="BF30" s="56">
        <f t="shared" si="10"/>
        <v>-29</v>
      </c>
      <c r="BH30">
        <f t="shared" si="11"/>
        <v>0.8</v>
      </c>
      <c r="BI30">
        <f t="shared" si="20"/>
        <v>0.19999999999999996</v>
      </c>
      <c r="BJ30" s="154">
        <v>152109.56266666669</v>
      </c>
      <c r="BK30" s="155">
        <f t="shared" si="12"/>
        <v>152109.56266666669</v>
      </c>
      <c r="BL30" s="156">
        <v>267830.66577777773</v>
      </c>
      <c r="BM30" s="155">
        <f t="shared" si="13"/>
        <v>267830.66577777773</v>
      </c>
      <c r="BN30" s="158">
        <v>211810.47555555557</v>
      </c>
      <c r="BO30" s="155">
        <f t="shared" si="14"/>
        <v>211810.47555555557</v>
      </c>
      <c r="BP30" s="158">
        <v>222471.25333333333</v>
      </c>
      <c r="BQ30" s="155">
        <f t="shared" si="15"/>
        <v>222471.25333333333</v>
      </c>
      <c r="BR30" s="158">
        <v>181208.37333333332</v>
      </c>
      <c r="BS30" s="155">
        <f t="shared" si="16"/>
        <v>181208.37333333332</v>
      </c>
      <c r="BT30" s="194">
        <v>148697.44711111111</v>
      </c>
      <c r="BU30" s="194"/>
      <c r="BV30" s="348">
        <f t="shared" si="21"/>
        <v>148697.44711111111</v>
      </c>
      <c r="BW30" s="195">
        <f t="shared" si="17"/>
        <v>200088.69688888887</v>
      </c>
      <c r="BX30" s="157">
        <f t="shared" si="22"/>
        <v>50022.174222222216</v>
      </c>
      <c r="BY30" s="157">
        <f>IF(E30*$CJ$10*'Year 7 Payments'!$L$20*IF(B30="",1,0.8)&lt;=(BW30-(J30*350)),E30*$CJ$10*'Year 7 Payments'!$L$20*IF(B30="",1,0.8),BW30-(IF(B30="",1,0.8)*J30*350))</f>
        <v>109985.28914488885</v>
      </c>
      <c r="BZ30" s="157">
        <f t="shared" si="23"/>
        <v>27496.322286222214</v>
      </c>
      <c r="CA30" s="157">
        <f t="shared" si="24"/>
        <v>90103.407744000011</v>
      </c>
      <c r="CB30" s="157">
        <f t="shared" si="25"/>
        <v>22525.851936000003</v>
      </c>
      <c r="CC30" s="157">
        <f t="shared" si="26"/>
        <v>360413.63097600004</v>
      </c>
      <c r="CD30" s="201">
        <f t="shared" si="27"/>
        <v>90103.407744000011</v>
      </c>
      <c r="CE30" s="155">
        <f t="shared" si="28"/>
        <v>90103.407744000011</v>
      </c>
    </row>
    <row r="31" spans="1:93" x14ac:dyDescent="0.2">
      <c r="A31" s="147" t="s">
        <v>485</v>
      </c>
      <c r="B31" s="57"/>
      <c r="C31" s="57" t="s">
        <v>472</v>
      </c>
      <c r="D31" s="148" t="s">
        <v>59</v>
      </c>
      <c r="E31" s="197">
        <v>80099.555555555547</v>
      </c>
      <c r="F31" s="147">
        <f t="shared" si="18"/>
        <v>89506</v>
      </c>
      <c r="G31" s="342">
        <v>673</v>
      </c>
      <c r="H31" s="149">
        <f t="shared" si="2"/>
        <v>598</v>
      </c>
      <c r="I31" s="346">
        <v>130.04622222222224</v>
      </c>
      <c r="J31" s="150">
        <v>23</v>
      </c>
      <c r="K31"/>
      <c r="L31" s="151">
        <v>17933</v>
      </c>
      <c r="M31" s="151">
        <v>18682</v>
      </c>
      <c r="N31" s="151">
        <v>23860</v>
      </c>
      <c r="O31" s="151">
        <v>16069</v>
      </c>
      <c r="P31" s="151">
        <v>7909</v>
      </c>
      <c r="Q31" s="151">
        <v>3429</v>
      </c>
      <c r="R31" s="151">
        <v>1500</v>
      </c>
      <c r="S31" s="151">
        <v>124</v>
      </c>
      <c r="T31" s="151">
        <v>89506</v>
      </c>
      <c r="U31" s="147"/>
      <c r="V31" s="152">
        <f t="shared" si="19"/>
        <v>0.20035528344468528</v>
      </c>
      <c r="W31" s="152">
        <f t="shared" si="3"/>
        <v>0.20872343753491385</v>
      </c>
      <c r="X31" s="152">
        <f t="shared" si="4"/>
        <v>0.26657430786762898</v>
      </c>
      <c r="Y31" s="152">
        <f t="shared" si="5"/>
        <v>0.17952986391973721</v>
      </c>
      <c r="Z31" s="152">
        <f t="shared" si="6"/>
        <v>8.8362791321252201E-2</v>
      </c>
      <c r="AA31" s="152">
        <f t="shared" si="7"/>
        <v>3.8310280875025138E-2</v>
      </c>
      <c r="AB31" s="152">
        <f t="shared" si="8"/>
        <v>1.6758653051192098E-2</v>
      </c>
      <c r="AC31" s="152">
        <f t="shared" si="9"/>
        <v>1.3853819855652134E-3</v>
      </c>
      <c r="AD31" s="152"/>
      <c r="AE31" s="221">
        <v>374</v>
      </c>
      <c r="AF31" s="221">
        <v>92</v>
      </c>
      <c r="AG31" s="221">
        <v>102</v>
      </c>
      <c r="AH31" s="221">
        <v>0</v>
      </c>
      <c r="AI31" s="221">
        <v>2</v>
      </c>
      <c r="AJ31" s="221">
        <v>-3</v>
      </c>
      <c r="AK31" s="221">
        <v>7</v>
      </c>
      <c r="AL31" s="221">
        <v>-1</v>
      </c>
      <c r="AM31" s="221">
        <v>573</v>
      </c>
      <c r="AN31" s="147"/>
      <c r="AO31" s="221">
        <v>7</v>
      </c>
      <c r="AP31" s="221">
        <v>15</v>
      </c>
      <c r="AQ31" s="221">
        <v>-18</v>
      </c>
      <c r="AR31" s="221">
        <v>-31</v>
      </c>
      <c r="AS31" s="221">
        <v>5</v>
      </c>
      <c r="AT31" s="221">
        <v>1</v>
      </c>
      <c r="AU31" s="221">
        <v>0</v>
      </c>
      <c r="AV31" s="221">
        <v>-4</v>
      </c>
      <c r="AW31" s="221">
        <v>-25</v>
      </c>
      <c r="AX31" s="56">
        <f t="shared" si="29"/>
        <v>-7</v>
      </c>
      <c r="AY31" s="56">
        <f t="shared" si="10"/>
        <v>-15</v>
      </c>
      <c r="AZ31" s="56">
        <f t="shared" si="10"/>
        <v>18</v>
      </c>
      <c r="BA31" s="56">
        <f t="shared" si="10"/>
        <v>31</v>
      </c>
      <c r="BB31" s="56">
        <f t="shared" si="10"/>
        <v>-5</v>
      </c>
      <c r="BC31" s="56">
        <f t="shared" si="10"/>
        <v>-1</v>
      </c>
      <c r="BD31" s="56">
        <f t="shared" si="10"/>
        <v>0</v>
      </c>
      <c r="BE31" s="56">
        <f t="shared" si="10"/>
        <v>4</v>
      </c>
      <c r="BF31" s="56">
        <f t="shared" si="10"/>
        <v>25</v>
      </c>
      <c r="BH31">
        <f t="shared" si="11"/>
        <v>1</v>
      </c>
      <c r="BI31">
        <f t="shared" si="20"/>
        <v>0</v>
      </c>
      <c r="BJ31" s="154">
        <v>671476.08666666667</v>
      </c>
      <c r="BK31" s="155">
        <f t="shared" si="12"/>
        <v>671476.08666666667</v>
      </c>
      <c r="BL31" s="156">
        <v>1190196.01</v>
      </c>
      <c r="BM31" s="155">
        <f t="shared" si="13"/>
        <v>1190196.01</v>
      </c>
      <c r="BN31" s="158">
        <v>785482.28444444458</v>
      </c>
      <c r="BO31" s="155">
        <f t="shared" si="14"/>
        <v>785482.28444444458</v>
      </c>
      <c r="BP31" s="158">
        <v>915212.26666666672</v>
      </c>
      <c r="BQ31" s="155">
        <f t="shared" si="15"/>
        <v>915212.26666666672</v>
      </c>
      <c r="BR31" s="158">
        <v>551083.68888888892</v>
      </c>
      <c r="BS31" s="155">
        <f t="shared" si="16"/>
        <v>551083.68888888892</v>
      </c>
      <c r="BT31" s="194">
        <v>953622.75555555557</v>
      </c>
      <c r="BU31" s="194"/>
      <c r="BV31" s="348">
        <f t="shared" si="21"/>
        <v>953622.75555555557</v>
      </c>
      <c r="BW31" s="195">
        <f t="shared" si="17"/>
        <v>697031.80444444437</v>
      </c>
      <c r="BX31" s="157" t="str">
        <f t="shared" si="22"/>
        <v>0</v>
      </c>
      <c r="BY31" s="157">
        <f>IF(E31*$CJ$10*'Year 7 Payments'!$L$20*IF(B31="",1,0.8)&lt;=(BW31-(J31*350)),E31*$CJ$10*'Year 7 Payments'!$L$20*IF(B31="",1,0.8),BW31-(IF(B31="",1,0.8)*J31*350))</f>
        <v>490068.30478222214</v>
      </c>
      <c r="BZ31" s="157" t="str">
        <f t="shared" si="23"/>
        <v>0</v>
      </c>
      <c r="CA31" s="157">
        <f t="shared" si="24"/>
        <v>206963.49966222222</v>
      </c>
      <c r="CB31" s="157">
        <f t="shared" si="25"/>
        <v>0</v>
      </c>
      <c r="CC31" s="157">
        <f t="shared" si="26"/>
        <v>827853.9986488889</v>
      </c>
      <c r="CD31" s="201">
        <f t="shared" si="27"/>
        <v>0</v>
      </c>
      <c r="CE31" s="155">
        <f t="shared" si="28"/>
        <v>206963.49966222222</v>
      </c>
      <c r="CG31" s="198"/>
      <c r="CH31" s="198"/>
      <c r="CI31" s="198"/>
      <c r="CJ31" s="198"/>
      <c r="CK31" s="198"/>
      <c r="CL31" s="198"/>
      <c r="CM31" s="198"/>
      <c r="CN31" s="198"/>
    </row>
    <row r="32" spans="1:93" x14ac:dyDescent="0.2">
      <c r="A32" s="147" t="s">
        <v>486</v>
      </c>
      <c r="B32" s="57"/>
      <c r="C32" s="57" t="s">
        <v>443</v>
      </c>
      <c r="D32" s="148" t="s">
        <v>60</v>
      </c>
      <c r="E32" s="197">
        <v>50152.666666666672</v>
      </c>
      <c r="F32" s="147">
        <f t="shared" si="18"/>
        <v>48659</v>
      </c>
      <c r="G32" s="342">
        <v>316</v>
      </c>
      <c r="H32" s="149">
        <f t="shared" si="2"/>
        <v>355</v>
      </c>
      <c r="I32" s="346">
        <v>189.50044444444438</v>
      </c>
      <c r="J32" s="150">
        <v>11</v>
      </c>
      <c r="K32"/>
      <c r="L32" s="151">
        <v>1655</v>
      </c>
      <c r="M32" s="151">
        <v>4405</v>
      </c>
      <c r="N32" s="151">
        <v>17907</v>
      </c>
      <c r="O32" s="151">
        <v>9327</v>
      </c>
      <c r="P32" s="151">
        <v>7899</v>
      </c>
      <c r="Q32" s="151">
        <v>4907</v>
      </c>
      <c r="R32" s="151">
        <v>2284</v>
      </c>
      <c r="S32" s="151">
        <v>275</v>
      </c>
      <c r="T32" s="151">
        <v>48659</v>
      </c>
      <c r="U32" s="147"/>
      <c r="V32" s="152">
        <f t="shared" si="19"/>
        <v>3.4012207402536014E-2</v>
      </c>
      <c r="W32" s="152">
        <f t="shared" si="3"/>
        <v>9.0527959884091333E-2</v>
      </c>
      <c r="X32" s="152">
        <f t="shared" si="4"/>
        <v>0.36801002897716761</v>
      </c>
      <c r="Y32" s="152">
        <f t="shared" si="5"/>
        <v>0.19168088123471505</v>
      </c>
      <c r="Z32" s="152">
        <f t="shared" si="6"/>
        <v>0.16233379230974743</v>
      </c>
      <c r="AA32" s="152">
        <f t="shared" si="7"/>
        <v>0.10084465360981525</v>
      </c>
      <c r="AB32" s="152">
        <f t="shared" si="8"/>
        <v>4.6938901333771758E-2</v>
      </c>
      <c r="AC32" s="152">
        <f t="shared" si="9"/>
        <v>5.6515752481555315E-3</v>
      </c>
      <c r="AD32" s="152"/>
      <c r="AE32" s="221">
        <v>-21</v>
      </c>
      <c r="AF32" s="221">
        <v>65</v>
      </c>
      <c r="AG32" s="221">
        <v>162</v>
      </c>
      <c r="AH32" s="221">
        <v>53</v>
      </c>
      <c r="AI32" s="221">
        <v>27</v>
      </c>
      <c r="AJ32" s="221">
        <v>53</v>
      </c>
      <c r="AK32" s="221">
        <v>22</v>
      </c>
      <c r="AL32" s="221">
        <v>10</v>
      </c>
      <c r="AM32" s="221">
        <v>371</v>
      </c>
      <c r="AN32" s="147"/>
      <c r="AO32" s="221">
        <v>-7</v>
      </c>
      <c r="AP32" s="221">
        <v>28</v>
      </c>
      <c r="AQ32" s="221">
        <v>-4</v>
      </c>
      <c r="AR32" s="221">
        <v>-1</v>
      </c>
      <c r="AS32" s="221">
        <v>5</v>
      </c>
      <c r="AT32" s="221">
        <v>-3</v>
      </c>
      <c r="AU32" s="221">
        <v>2</v>
      </c>
      <c r="AV32" s="221">
        <v>-4</v>
      </c>
      <c r="AW32" s="221">
        <v>16</v>
      </c>
      <c r="AX32" s="56">
        <f t="shared" si="29"/>
        <v>7</v>
      </c>
      <c r="AY32" s="56">
        <f t="shared" si="10"/>
        <v>-28</v>
      </c>
      <c r="AZ32" s="56">
        <f t="shared" si="10"/>
        <v>4</v>
      </c>
      <c r="BA32" s="56">
        <f t="shared" si="10"/>
        <v>1</v>
      </c>
      <c r="BB32" s="56">
        <f t="shared" si="10"/>
        <v>-5</v>
      </c>
      <c r="BC32" s="56">
        <f t="shared" si="10"/>
        <v>3</v>
      </c>
      <c r="BD32" s="56">
        <f t="shared" si="10"/>
        <v>-2</v>
      </c>
      <c r="BE32" s="56">
        <f t="shared" si="10"/>
        <v>4</v>
      </c>
      <c r="BF32" s="56">
        <f t="shared" si="10"/>
        <v>-16</v>
      </c>
      <c r="BH32">
        <f t="shared" si="11"/>
        <v>1</v>
      </c>
      <c r="BI32">
        <f t="shared" si="20"/>
        <v>0</v>
      </c>
      <c r="BJ32" s="154">
        <v>646849.43333333335</v>
      </c>
      <c r="BK32" s="155">
        <f t="shared" si="12"/>
        <v>646849.43333333335</v>
      </c>
      <c r="BL32" s="156">
        <v>787555.94222222222</v>
      </c>
      <c r="BM32" s="155">
        <f t="shared" si="13"/>
        <v>787555.94222222222</v>
      </c>
      <c r="BN32" s="158">
        <v>524718.50222222228</v>
      </c>
      <c r="BO32" s="155">
        <f t="shared" si="14"/>
        <v>524718.50222222228</v>
      </c>
      <c r="BP32" s="158">
        <v>648505.06666666665</v>
      </c>
      <c r="BQ32" s="155">
        <f t="shared" si="15"/>
        <v>648505.06666666665</v>
      </c>
      <c r="BR32" s="158">
        <v>632763.13111111114</v>
      </c>
      <c r="BS32" s="155">
        <f t="shared" si="16"/>
        <v>632763.13111111114</v>
      </c>
      <c r="BT32" s="194">
        <v>658281.80444444448</v>
      </c>
      <c r="BU32" s="194"/>
      <c r="BV32" s="348">
        <f t="shared" si="21"/>
        <v>658281.80444444448</v>
      </c>
      <c r="BW32" s="195">
        <f t="shared" si="17"/>
        <v>600548.351111111</v>
      </c>
      <c r="BX32" s="157" t="str">
        <f t="shared" si="22"/>
        <v>0</v>
      </c>
      <c r="BY32" s="157">
        <f>IF(E32*$CJ$10*'Year 7 Payments'!$L$20*IF(B32="",1,0.8)&lt;=(BW32-(J32*350)),E32*$CJ$10*'Year 7 Payments'!$L$20*IF(B32="",1,0.8),BW32-(IF(B32="",1,0.8)*J32*350))</f>
        <v>306846.05130666669</v>
      </c>
      <c r="BZ32" s="157" t="str">
        <f t="shared" si="23"/>
        <v>0</v>
      </c>
      <c r="CA32" s="157">
        <f t="shared" si="24"/>
        <v>293702.29980444431</v>
      </c>
      <c r="CB32" s="157">
        <f t="shared" si="25"/>
        <v>0</v>
      </c>
      <c r="CC32" s="157">
        <f t="shared" si="26"/>
        <v>1174809.1992177772</v>
      </c>
      <c r="CD32" s="201">
        <f t="shared" si="27"/>
        <v>0</v>
      </c>
      <c r="CE32" s="155">
        <f t="shared" si="28"/>
        <v>293702.29980444431</v>
      </c>
      <c r="CG32" s="198"/>
      <c r="CH32" s="198"/>
      <c r="CI32" s="198"/>
      <c r="CJ32" s="198"/>
      <c r="CK32" s="198"/>
      <c r="CL32" s="198"/>
      <c r="CM32" s="198"/>
      <c r="CN32" s="198"/>
    </row>
    <row r="33" spans="1:85" x14ac:dyDescent="0.2">
      <c r="A33" s="147" t="s">
        <v>487</v>
      </c>
      <c r="B33" s="57"/>
      <c r="C33" s="57" t="s">
        <v>464</v>
      </c>
      <c r="D33" s="148" t="s">
        <v>61</v>
      </c>
      <c r="E33" s="197">
        <v>173443.33333333331</v>
      </c>
      <c r="F33" s="147">
        <f t="shared" si="18"/>
        <v>214527</v>
      </c>
      <c r="G33" s="342">
        <v>3944</v>
      </c>
      <c r="H33" s="149">
        <f t="shared" si="2"/>
        <v>1474</v>
      </c>
      <c r="I33" s="346">
        <v>629.00444444444429</v>
      </c>
      <c r="J33" s="150">
        <v>121</v>
      </c>
      <c r="K33"/>
      <c r="L33" s="151">
        <v>90890</v>
      </c>
      <c r="M33" s="151">
        <v>45311</v>
      </c>
      <c r="N33" s="151">
        <v>39074</v>
      </c>
      <c r="O33" s="151">
        <v>17501</v>
      </c>
      <c r="P33" s="151">
        <v>12145</v>
      </c>
      <c r="Q33" s="151">
        <v>5723</v>
      </c>
      <c r="R33" s="151">
        <v>3576</v>
      </c>
      <c r="S33" s="151">
        <v>307</v>
      </c>
      <c r="T33" s="151">
        <v>214527</v>
      </c>
      <c r="U33" s="147"/>
      <c r="V33" s="152">
        <f t="shared" si="19"/>
        <v>0.42367627384897938</v>
      </c>
      <c r="W33" s="152">
        <f t="shared" si="3"/>
        <v>0.2112135069245363</v>
      </c>
      <c r="X33" s="152">
        <f t="shared" si="4"/>
        <v>0.18214024341924326</v>
      </c>
      <c r="Y33" s="152">
        <f t="shared" si="5"/>
        <v>8.1579474844658245E-2</v>
      </c>
      <c r="Z33" s="152">
        <f t="shared" si="6"/>
        <v>5.6612920518163218E-2</v>
      </c>
      <c r="AA33" s="152">
        <f t="shared" si="7"/>
        <v>2.6677294699501693E-2</v>
      </c>
      <c r="AB33" s="152">
        <f t="shared" si="8"/>
        <v>1.6669230446517223E-2</v>
      </c>
      <c r="AC33" s="152">
        <f t="shared" si="9"/>
        <v>1.4310552984006675E-3</v>
      </c>
      <c r="AD33" s="152"/>
      <c r="AE33" s="221">
        <v>293</v>
      </c>
      <c r="AF33" s="221">
        <v>392</v>
      </c>
      <c r="AG33" s="221">
        <v>123</v>
      </c>
      <c r="AH33" s="221">
        <v>177</v>
      </c>
      <c r="AI33" s="221">
        <v>178</v>
      </c>
      <c r="AJ33" s="221">
        <v>71</v>
      </c>
      <c r="AK33" s="221">
        <v>26</v>
      </c>
      <c r="AL33" s="221">
        <v>4</v>
      </c>
      <c r="AM33" s="221">
        <v>1264</v>
      </c>
      <c r="AN33" s="147"/>
      <c r="AO33" s="221">
        <v>-70</v>
      </c>
      <c r="AP33" s="221">
        <v>-98</v>
      </c>
      <c r="AQ33" s="221">
        <v>-6</v>
      </c>
      <c r="AR33" s="221">
        <v>-17</v>
      </c>
      <c r="AS33" s="221">
        <v>-22</v>
      </c>
      <c r="AT33" s="221">
        <v>-6</v>
      </c>
      <c r="AU33" s="221">
        <v>6</v>
      </c>
      <c r="AV33" s="221">
        <v>3</v>
      </c>
      <c r="AW33" s="221">
        <v>-210</v>
      </c>
      <c r="AX33" s="56">
        <f t="shared" si="29"/>
        <v>70</v>
      </c>
      <c r="AY33" s="56">
        <f t="shared" si="10"/>
        <v>98</v>
      </c>
      <c r="AZ33" s="56">
        <f t="shared" si="10"/>
        <v>6</v>
      </c>
      <c r="BA33" s="56">
        <f t="shared" si="10"/>
        <v>17</v>
      </c>
      <c r="BB33" s="56">
        <f t="shared" si="10"/>
        <v>22</v>
      </c>
      <c r="BC33" s="56">
        <f t="shared" si="10"/>
        <v>6</v>
      </c>
      <c r="BD33" s="56">
        <f t="shared" si="10"/>
        <v>-6</v>
      </c>
      <c r="BE33" s="56">
        <f t="shared" si="10"/>
        <v>-3</v>
      </c>
      <c r="BF33" s="56">
        <f t="shared" si="10"/>
        <v>210</v>
      </c>
      <c r="BH33">
        <f t="shared" si="11"/>
        <v>1</v>
      </c>
      <c r="BI33">
        <f t="shared" si="20"/>
        <v>0</v>
      </c>
      <c r="BJ33" s="154">
        <v>2760423.96</v>
      </c>
      <c r="BK33" s="155">
        <f t="shared" si="12"/>
        <v>2760423.96</v>
      </c>
      <c r="BL33" s="156">
        <v>1149628.5177777777</v>
      </c>
      <c r="BM33" s="155">
        <f t="shared" si="13"/>
        <v>1149628.5177777777</v>
      </c>
      <c r="BN33" s="158">
        <v>1756490.0544444448</v>
      </c>
      <c r="BO33" s="155">
        <f t="shared" si="14"/>
        <v>1756490.0544444448</v>
      </c>
      <c r="BP33" s="158">
        <v>1863090.6666666663</v>
      </c>
      <c r="BQ33" s="155">
        <f t="shared" si="15"/>
        <v>1863090.6666666663</v>
      </c>
      <c r="BR33" s="158">
        <v>1708231.3666666667</v>
      </c>
      <c r="BS33" s="155">
        <f t="shared" si="16"/>
        <v>1708231.3666666667</v>
      </c>
      <c r="BT33" s="194">
        <v>1916333.3777777774</v>
      </c>
      <c r="BU33" s="194"/>
      <c r="BV33" s="348">
        <f t="shared" si="21"/>
        <v>1916333.3777777774</v>
      </c>
      <c r="BW33" s="195">
        <f t="shared" si="17"/>
        <v>2065617.9777777777</v>
      </c>
      <c r="BX33" s="157" t="str">
        <f t="shared" si="22"/>
        <v>0</v>
      </c>
      <c r="BY33" s="157">
        <f>IF(E33*$CJ$10*'Year 7 Payments'!$L$20*IF(B33="",1,0.8)&lt;=(BW33-(J33*350)),E33*$CJ$10*'Year 7 Payments'!$L$20*IF(B33="",1,0.8),BW33-(IF(B33="",1,0.8)*J33*350))</f>
        <v>1061167.9397333332</v>
      </c>
      <c r="BZ33" s="157" t="str">
        <f t="shared" si="23"/>
        <v>0</v>
      </c>
      <c r="CA33" s="157">
        <f t="shared" si="24"/>
        <v>1004450.0380444445</v>
      </c>
      <c r="CB33" s="157">
        <f t="shared" si="25"/>
        <v>0</v>
      </c>
      <c r="CC33" s="157">
        <f t="shared" si="26"/>
        <v>4017800.1521777781</v>
      </c>
      <c r="CD33" s="201">
        <f t="shared" si="27"/>
        <v>0</v>
      </c>
      <c r="CE33" s="155">
        <f t="shared" si="28"/>
        <v>1004450.0380444445</v>
      </c>
    </row>
    <row r="34" spans="1:85" x14ac:dyDescent="0.2">
      <c r="A34" s="147" t="s">
        <v>488</v>
      </c>
      <c r="B34" s="57" t="s">
        <v>467</v>
      </c>
      <c r="C34" s="57" t="s">
        <v>459</v>
      </c>
      <c r="D34" s="148" t="s">
        <v>62</v>
      </c>
      <c r="E34" s="197">
        <v>60201.777777777774</v>
      </c>
      <c r="F34" s="147">
        <f t="shared" si="18"/>
        <v>63907</v>
      </c>
      <c r="G34" s="342">
        <v>592</v>
      </c>
      <c r="H34" s="149">
        <f t="shared" si="2"/>
        <v>497</v>
      </c>
      <c r="I34" s="346">
        <v>261.0817777777778</v>
      </c>
      <c r="J34" s="150">
        <v>33</v>
      </c>
      <c r="K34"/>
      <c r="L34" s="151">
        <v>5933</v>
      </c>
      <c r="M34" s="151">
        <v>16550</v>
      </c>
      <c r="N34" s="151">
        <v>18653</v>
      </c>
      <c r="O34" s="151">
        <v>9249</v>
      </c>
      <c r="P34" s="151">
        <v>7019</v>
      </c>
      <c r="Q34" s="151">
        <v>4088</v>
      </c>
      <c r="R34" s="151">
        <v>2204</v>
      </c>
      <c r="S34" s="151">
        <v>211</v>
      </c>
      <c r="T34" s="151">
        <v>63907</v>
      </c>
      <c r="U34" s="147"/>
      <c r="V34" s="152">
        <f t="shared" si="19"/>
        <v>9.2838030262725524E-2</v>
      </c>
      <c r="W34" s="152">
        <f t="shared" si="3"/>
        <v>0.25897006587697746</v>
      </c>
      <c r="X34" s="152">
        <f t="shared" si="4"/>
        <v>0.29187725914219098</v>
      </c>
      <c r="Y34" s="152">
        <f t="shared" si="5"/>
        <v>0.14472592986683774</v>
      </c>
      <c r="Z34" s="152">
        <f t="shared" si="6"/>
        <v>0.10983147386045347</v>
      </c>
      <c r="AA34" s="152">
        <f t="shared" si="7"/>
        <v>6.3967953432331359E-2</v>
      </c>
      <c r="AB34" s="152">
        <f t="shared" si="8"/>
        <v>3.4487614815278449E-2</v>
      </c>
      <c r="AC34" s="152">
        <f t="shared" si="9"/>
        <v>3.3016727432049696E-3</v>
      </c>
      <c r="AD34" s="152"/>
      <c r="AE34" s="221">
        <v>42</v>
      </c>
      <c r="AF34" s="221">
        <v>111</v>
      </c>
      <c r="AG34" s="221">
        <v>100</v>
      </c>
      <c r="AH34" s="221">
        <v>88</v>
      </c>
      <c r="AI34" s="221">
        <v>92</v>
      </c>
      <c r="AJ34" s="221">
        <v>42</v>
      </c>
      <c r="AK34" s="221">
        <v>10</v>
      </c>
      <c r="AL34" s="221">
        <v>1</v>
      </c>
      <c r="AM34" s="221">
        <v>486</v>
      </c>
      <c r="AN34" s="147"/>
      <c r="AO34" s="221">
        <v>3</v>
      </c>
      <c r="AP34" s="221">
        <v>-4</v>
      </c>
      <c r="AQ34" s="221">
        <v>8</v>
      </c>
      <c r="AR34" s="221">
        <v>-6</v>
      </c>
      <c r="AS34" s="221">
        <v>3</v>
      </c>
      <c r="AT34" s="221">
        <v>-14</v>
      </c>
      <c r="AU34" s="221">
        <v>1</v>
      </c>
      <c r="AV34" s="221">
        <v>-2</v>
      </c>
      <c r="AW34" s="221">
        <v>-11</v>
      </c>
      <c r="AX34" s="56">
        <f t="shared" si="29"/>
        <v>-3</v>
      </c>
      <c r="AY34" s="56">
        <f t="shared" si="10"/>
        <v>4</v>
      </c>
      <c r="AZ34" s="56">
        <f t="shared" si="10"/>
        <v>-8</v>
      </c>
      <c r="BA34" s="56">
        <f t="shared" si="10"/>
        <v>6</v>
      </c>
      <c r="BB34" s="56">
        <f t="shared" si="10"/>
        <v>-3</v>
      </c>
      <c r="BC34" s="56">
        <f t="shared" si="10"/>
        <v>14</v>
      </c>
      <c r="BD34" s="56">
        <f t="shared" si="10"/>
        <v>-1</v>
      </c>
      <c r="BE34" s="56">
        <f t="shared" si="10"/>
        <v>2</v>
      </c>
      <c r="BF34" s="56">
        <f t="shared" si="10"/>
        <v>11</v>
      </c>
      <c r="BH34">
        <f t="shared" si="11"/>
        <v>0.8</v>
      </c>
      <c r="BI34">
        <f t="shared" si="20"/>
        <v>0.19999999999999996</v>
      </c>
      <c r="BJ34" s="154">
        <v>509036.12266666669</v>
      </c>
      <c r="BK34" s="155">
        <f t="shared" si="12"/>
        <v>509036.12266666669</v>
      </c>
      <c r="BL34" s="156">
        <v>472599.29777777777</v>
      </c>
      <c r="BM34" s="155">
        <f t="shared" si="13"/>
        <v>472599.29777777777</v>
      </c>
      <c r="BN34" s="158">
        <v>605957.69777777779</v>
      </c>
      <c r="BO34" s="155">
        <f t="shared" si="14"/>
        <v>605957.69777777779</v>
      </c>
      <c r="BP34" s="158">
        <v>266869.01333333337</v>
      </c>
      <c r="BQ34" s="155">
        <f t="shared" si="15"/>
        <v>266869.01333333337</v>
      </c>
      <c r="BR34" s="158">
        <v>247144.93688888891</v>
      </c>
      <c r="BS34" s="155">
        <f t="shared" si="16"/>
        <v>247144.93688888891</v>
      </c>
      <c r="BT34" s="194">
        <v>680527.26933333336</v>
      </c>
      <c r="BU34" s="194"/>
      <c r="BV34" s="348">
        <f t="shared" si="21"/>
        <v>680527.26933333336</v>
      </c>
      <c r="BW34" s="195">
        <f t="shared" si="17"/>
        <v>623375.33511111117</v>
      </c>
      <c r="BX34" s="157">
        <f t="shared" si="22"/>
        <v>155843.83377777779</v>
      </c>
      <c r="BY34" s="157">
        <f>IF(E34*$CJ$10*'Year 7 Payments'!$L$20*IF(B34="",1,0.8)&lt;=(BW34-(J34*350)),E34*$CJ$10*'Year 7 Payments'!$L$20*IF(B34="",1,0.8),BW34-(IF(B34="",1,0.8)*J34*350))</f>
        <v>294663.13989688893</v>
      </c>
      <c r="BZ34" s="157">
        <f t="shared" si="23"/>
        <v>73665.784974222232</v>
      </c>
      <c r="CA34" s="157">
        <f t="shared" si="24"/>
        <v>328712.19521422224</v>
      </c>
      <c r="CB34" s="157">
        <f t="shared" si="25"/>
        <v>82178.048803555561</v>
      </c>
      <c r="CC34" s="157">
        <f t="shared" si="26"/>
        <v>1314848.780856889</v>
      </c>
      <c r="CD34" s="201">
        <f t="shared" si="27"/>
        <v>328712.19521422224</v>
      </c>
      <c r="CE34" s="155">
        <f t="shared" si="28"/>
        <v>328712.19521422224</v>
      </c>
    </row>
    <row r="35" spans="1:85" x14ac:dyDescent="0.2">
      <c r="A35" s="147" t="s">
        <v>489</v>
      </c>
      <c r="B35" s="57" t="s">
        <v>490</v>
      </c>
      <c r="C35" s="57" t="s">
        <v>459</v>
      </c>
      <c r="D35" s="148" t="s">
        <v>63</v>
      </c>
      <c r="E35" s="197">
        <v>50547.111111111109</v>
      </c>
      <c r="F35" s="147">
        <f t="shared" si="18"/>
        <v>59879</v>
      </c>
      <c r="G35" s="342">
        <v>461</v>
      </c>
      <c r="H35" s="149">
        <f t="shared" si="2"/>
        <v>747</v>
      </c>
      <c r="I35" s="346">
        <v>473.81155555555557</v>
      </c>
      <c r="J35" s="150">
        <v>29</v>
      </c>
      <c r="K35"/>
      <c r="L35" s="151">
        <v>15494</v>
      </c>
      <c r="M35" s="151">
        <v>16892</v>
      </c>
      <c r="N35" s="151">
        <v>13506</v>
      </c>
      <c r="O35" s="151">
        <v>7472</v>
      </c>
      <c r="P35" s="151">
        <v>4188</v>
      </c>
      <c r="Q35" s="151">
        <v>1540</v>
      </c>
      <c r="R35" s="151">
        <v>732</v>
      </c>
      <c r="S35" s="151">
        <v>55</v>
      </c>
      <c r="T35" s="151">
        <v>59879</v>
      </c>
      <c r="U35" s="147"/>
      <c r="V35" s="152">
        <f t="shared" si="19"/>
        <v>0.25875515623173401</v>
      </c>
      <c r="W35" s="152">
        <f t="shared" si="3"/>
        <v>0.28210223951635799</v>
      </c>
      <c r="X35" s="152">
        <f t="shared" si="4"/>
        <v>0.225554868985788</v>
      </c>
      <c r="Y35" s="152">
        <f t="shared" si="5"/>
        <v>0.12478498304914912</v>
      </c>
      <c r="Z35" s="152">
        <f t="shared" si="6"/>
        <v>6.9941047779689042E-2</v>
      </c>
      <c r="AA35" s="152">
        <f t="shared" si="7"/>
        <v>2.5718532373620134E-2</v>
      </c>
      <c r="AB35" s="152">
        <f t="shared" si="8"/>
        <v>1.2224653050318142E-2</v>
      </c>
      <c r="AC35" s="152">
        <f t="shared" si="9"/>
        <v>9.1851901334357626E-4</v>
      </c>
      <c r="AD35" s="152"/>
      <c r="AE35" s="221">
        <v>162</v>
      </c>
      <c r="AF35" s="221">
        <v>179</v>
      </c>
      <c r="AG35" s="221">
        <v>160</v>
      </c>
      <c r="AH35" s="221">
        <v>142</v>
      </c>
      <c r="AI35" s="221">
        <v>85</v>
      </c>
      <c r="AJ35" s="221">
        <v>28</v>
      </c>
      <c r="AK35" s="221">
        <v>12</v>
      </c>
      <c r="AL35" s="221">
        <v>-1</v>
      </c>
      <c r="AM35" s="221">
        <v>767</v>
      </c>
      <c r="AN35" s="147"/>
      <c r="AO35" s="221">
        <v>1</v>
      </c>
      <c r="AP35" s="221">
        <v>18</v>
      </c>
      <c r="AQ35" s="221">
        <v>-2</v>
      </c>
      <c r="AR35" s="221">
        <v>2</v>
      </c>
      <c r="AS35" s="221">
        <v>-2</v>
      </c>
      <c r="AT35" s="221">
        <v>0</v>
      </c>
      <c r="AU35" s="221">
        <v>2</v>
      </c>
      <c r="AV35" s="221">
        <v>1</v>
      </c>
      <c r="AW35" s="221">
        <v>20</v>
      </c>
      <c r="AX35" s="56">
        <f t="shared" si="29"/>
        <v>-1</v>
      </c>
      <c r="AY35" s="56">
        <f t="shared" si="10"/>
        <v>-18</v>
      </c>
      <c r="AZ35" s="56">
        <f t="shared" si="10"/>
        <v>2</v>
      </c>
      <c r="BA35" s="56">
        <f t="shared" si="10"/>
        <v>-2</v>
      </c>
      <c r="BB35" s="56">
        <f t="shared" si="10"/>
        <v>2</v>
      </c>
      <c r="BC35" s="56">
        <f t="shared" si="10"/>
        <v>0</v>
      </c>
      <c r="BD35" s="56">
        <f t="shared" si="10"/>
        <v>-2</v>
      </c>
      <c r="BE35" s="56">
        <f t="shared" si="10"/>
        <v>-1</v>
      </c>
      <c r="BF35" s="56">
        <f t="shared" si="10"/>
        <v>-20</v>
      </c>
      <c r="BH35">
        <f t="shared" si="11"/>
        <v>0.8</v>
      </c>
      <c r="BI35">
        <f t="shared" si="20"/>
        <v>0.19999999999999996</v>
      </c>
      <c r="BJ35" s="154">
        <v>471168.64533333335</v>
      </c>
      <c r="BK35" s="155">
        <f t="shared" si="12"/>
        <v>471168.64533333335</v>
      </c>
      <c r="BL35" s="156">
        <v>401080.58933333331</v>
      </c>
      <c r="BM35" s="155">
        <f t="shared" si="13"/>
        <v>401080.58933333331</v>
      </c>
      <c r="BN35" s="158">
        <v>235454.91111111117</v>
      </c>
      <c r="BO35" s="155">
        <f t="shared" si="14"/>
        <v>235454.91111111117</v>
      </c>
      <c r="BP35" s="158">
        <v>554620.90666666662</v>
      </c>
      <c r="BQ35" s="155">
        <f t="shared" si="15"/>
        <v>554620.90666666662</v>
      </c>
      <c r="BR35" s="158">
        <v>700625.87199999997</v>
      </c>
      <c r="BS35" s="155">
        <f t="shared" si="16"/>
        <v>700625.87199999997</v>
      </c>
      <c r="BT35" s="194">
        <v>642269.91111111129</v>
      </c>
      <c r="BU35" s="194"/>
      <c r="BV35" s="348">
        <f t="shared" si="21"/>
        <v>642269.91111111129</v>
      </c>
      <c r="BW35" s="195">
        <f t="shared" si="17"/>
        <v>835306.04799999995</v>
      </c>
      <c r="BX35" s="157">
        <f t="shared" si="22"/>
        <v>208826.51199999999</v>
      </c>
      <c r="BY35" s="157">
        <f>IF(E35*$CJ$10*'Year 7 Payments'!$L$20*IF(B35="",1,0.8)&lt;=(BW35-(J35*350)),E35*$CJ$10*'Year 7 Payments'!$L$20*IF(B35="",1,0.8),BW35-(IF(B35="",1,0.8)*J35*350))</f>
        <v>247407.48566755556</v>
      </c>
      <c r="BZ35" s="157">
        <f t="shared" si="23"/>
        <v>61851.871416888891</v>
      </c>
      <c r="CA35" s="157">
        <f t="shared" si="24"/>
        <v>587898.56233244436</v>
      </c>
      <c r="CB35" s="157">
        <f t="shared" si="25"/>
        <v>146974.64058311109</v>
      </c>
      <c r="CC35" s="157">
        <f t="shared" si="26"/>
        <v>2351594.2493297774</v>
      </c>
      <c r="CD35" s="201">
        <f t="shared" si="27"/>
        <v>587898.56233244436</v>
      </c>
      <c r="CE35" s="155">
        <f t="shared" si="28"/>
        <v>587898.56233244436</v>
      </c>
    </row>
    <row r="36" spans="1:85" x14ac:dyDescent="0.2">
      <c r="A36" s="147" t="s">
        <v>491</v>
      </c>
      <c r="B36" s="57"/>
      <c r="C36" s="57" t="s">
        <v>461</v>
      </c>
      <c r="D36" s="148" t="s">
        <v>64</v>
      </c>
      <c r="E36" s="197">
        <v>118166.66666666667</v>
      </c>
      <c r="F36" s="147">
        <f t="shared" si="18"/>
        <v>119025</v>
      </c>
      <c r="G36" s="342">
        <v>453</v>
      </c>
      <c r="H36" s="149">
        <f t="shared" si="2"/>
        <v>2450</v>
      </c>
      <c r="I36" s="346">
        <v>1601.6666666666663</v>
      </c>
      <c r="J36" s="150">
        <v>208</v>
      </c>
      <c r="K36"/>
      <c r="L36" s="151">
        <v>4931</v>
      </c>
      <c r="M36" s="151">
        <v>13022</v>
      </c>
      <c r="N36" s="151">
        <v>35458</v>
      </c>
      <c r="O36" s="151">
        <v>33830</v>
      </c>
      <c r="P36" s="151">
        <v>21888</v>
      </c>
      <c r="Q36" s="151">
        <v>6290</v>
      </c>
      <c r="R36" s="151">
        <v>3351</v>
      </c>
      <c r="S36" s="151">
        <v>255</v>
      </c>
      <c r="T36" s="151">
        <v>119025</v>
      </c>
      <c r="U36" s="147"/>
      <c r="V36" s="152">
        <f t="shared" si="19"/>
        <v>4.1428271371560597E-2</v>
      </c>
      <c r="W36" s="152">
        <f t="shared" si="3"/>
        <v>0.10940558706154169</v>
      </c>
      <c r="X36" s="152">
        <f t="shared" si="4"/>
        <v>0.29790380172232722</v>
      </c>
      <c r="Y36" s="152">
        <f t="shared" si="5"/>
        <v>0.28422600294055872</v>
      </c>
      <c r="Z36" s="152">
        <f t="shared" si="6"/>
        <v>0.18389413988657846</v>
      </c>
      <c r="AA36" s="152">
        <f t="shared" si="7"/>
        <v>5.2846040747742073E-2</v>
      </c>
      <c r="AB36" s="152">
        <f t="shared" si="8"/>
        <v>2.8153749212350348E-2</v>
      </c>
      <c r="AC36" s="152">
        <f t="shared" si="9"/>
        <v>2.1424070573408949E-3</v>
      </c>
      <c r="AD36" s="152"/>
      <c r="AE36" s="221">
        <v>796</v>
      </c>
      <c r="AF36" s="221">
        <v>342</v>
      </c>
      <c r="AG36" s="221">
        <v>575</v>
      </c>
      <c r="AH36" s="221">
        <v>683</v>
      </c>
      <c r="AI36" s="221">
        <v>48</v>
      </c>
      <c r="AJ36" s="221">
        <v>40</v>
      </c>
      <c r="AK36" s="221">
        <v>9</v>
      </c>
      <c r="AL36" s="221">
        <v>5</v>
      </c>
      <c r="AM36" s="221">
        <v>2498</v>
      </c>
      <c r="AN36" s="147"/>
      <c r="AO36" s="221">
        <v>-1</v>
      </c>
      <c r="AP36" s="221">
        <v>6</v>
      </c>
      <c r="AQ36" s="221">
        <v>2</v>
      </c>
      <c r="AR36" s="221">
        <v>15</v>
      </c>
      <c r="AS36" s="221">
        <v>12</v>
      </c>
      <c r="AT36" s="221">
        <v>7</v>
      </c>
      <c r="AU36" s="221">
        <v>5</v>
      </c>
      <c r="AV36" s="221">
        <v>2</v>
      </c>
      <c r="AW36" s="221">
        <v>48</v>
      </c>
      <c r="AX36" s="56">
        <f t="shared" si="29"/>
        <v>1</v>
      </c>
      <c r="AY36" s="56">
        <f t="shared" si="10"/>
        <v>-6</v>
      </c>
      <c r="AZ36" s="56">
        <f t="shared" si="10"/>
        <v>-2</v>
      </c>
      <c r="BA36" s="56">
        <f t="shared" si="10"/>
        <v>-15</v>
      </c>
      <c r="BB36" s="56">
        <f t="shared" si="10"/>
        <v>-12</v>
      </c>
      <c r="BC36" s="56">
        <f t="shared" si="10"/>
        <v>-7</v>
      </c>
      <c r="BD36" s="56">
        <f t="shared" si="10"/>
        <v>-5</v>
      </c>
      <c r="BE36" s="56">
        <f t="shared" si="10"/>
        <v>-2</v>
      </c>
      <c r="BF36" s="56">
        <f t="shared" si="10"/>
        <v>-48</v>
      </c>
      <c r="BH36">
        <f t="shared" si="11"/>
        <v>1</v>
      </c>
      <c r="BI36">
        <f t="shared" si="20"/>
        <v>0</v>
      </c>
      <c r="BJ36" s="154">
        <v>1065342.6266666667</v>
      </c>
      <c r="BK36" s="155">
        <f t="shared" si="12"/>
        <v>1065342.6266666667</v>
      </c>
      <c r="BL36" s="156">
        <v>1728335.83</v>
      </c>
      <c r="BM36" s="155">
        <f t="shared" si="13"/>
        <v>1728335.83</v>
      </c>
      <c r="BN36" s="158">
        <v>2495203.1066666674</v>
      </c>
      <c r="BO36" s="155">
        <f t="shared" si="14"/>
        <v>2495203.1066666674</v>
      </c>
      <c r="BP36" s="158">
        <v>909230.1333333333</v>
      </c>
      <c r="BQ36" s="155">
        <f t="shared" si="15"/>
        <v>909230.1333333333</v>
      </c>
      <c r="BR36" s="158">
        <v>889472.30888888892</v>
      </c>
      <c r="BS36" s="155">
        <f t="shared" si="16"/>
        <v>889472.30888888892</v>
      </c>
      <c r="BT36" s="194">
        <v>4059268.2355555552</v>
      </c>
      <c r="BU36" s="194"/>
      <c r="BV36" s="348">
        <f t="shared" si="21"/>
        <v>4059268.2355555552</v>
      </c>
      <c r="BW36" s="195">
        <f t="shared" si="17"/>
        <v>3245617.293333333</v>
      </c>
      <c r="BX36" s="157" t="str">
        <f t="shared" si="22"/>
        <v>0</v>
      </c>
      <c r="BY36" s="157">
        <f>IF(E36*$CJ$10*'Year 7 Payments'!$L$20*IF(B36="",1,0.8)&lt;=(BW36-(J36*350)),E36*$CJ$10*'Year 7 Payments'!$L$20*IF(B36="",1,0.8),BW36-(IF(B36="",1,0.8)*J36*350))</f>
        <v>722972.02666666661</v>
      </c>
      <c r="BZ36" s="157" t="str">
        <f t="shared" si="23"/>
        <v>0</v>
      </c>
      <c r="CA36" s="157">
        <f t="shared" si="24"/>
        <v>2522645.2666666666</v>
      </c>
      <c r="CB36" s="157">
        <f t="shared" si="25"/>
        <v>0</v>
      </c>
      <c r="CC36" s="157">
        <f t="shared" si="26"/>
        <v>10090581.066666666</v>
      </c>
      <c r="CD36" s="201">
        <f t="shared" si="27"/>
        <v>0</v>
      </c>
      <c r="CE36" s="155">
        <f t="shared" si="28"/>
        <v>2522645.2666666666</v>
      </c>
    </row>
    <row r="37" spans="1:85" x14ac:dyDescent="0.2">
      <c r="A37" s="147" t="s">
        <v>492</v>
      </c>
      <c r="B37" s="57" t="s">
        <v>467</v>
      </c>
      <c r="C37" s="57" t="s">
        <v>459</v>
      </c>
      <c r="D37" s="148" t="s">
        <v>65</v>
      </c>
      <c r="E37" s="197">
        <v>37442.444444444445</v>
      </c>
      <c r="F37" s="147">
        <f t="shared" si="18"/>
        <v>32995</v>
      </c>
      <c r="G37" s="342">
        <v>275</v>
      </c>
      <c r="H37" s="149">
        <f t="shared" si="2"/>
        <v>18</v>
      </c>
      <c r="I37" s="346">
        <v>0</v>
      </c>
      <c r="J37" s="150">
        <v>4</v>
      </c>
      <c r="K37"/>
      <c r="L37" s="151">
        <v>642</v>
      </c>
      <c r="M37" s="151">
        <v>2867</v>
      </c>
      <c r="N37" s="151">
        <v>6524</v>
      </c>
      <c r="O37" s="151">
        <v>8332</v>
      </c>
      <c r="P37" s="151">
        <v>5844</v>
      </c>
      <c r="Q37" s="151">
        <v>4400</v>
      </c>
      <c r="R37" s="151">
        <v>3806</v>
      </c>
      <c r="S37" s="151">
        <v>580</v>
      </c>
      <c r="T37" s="151">
        <v>32995</v>
      </c>
      <c r="U37" s="147"/>
      <c r="V37" s="152">
        <f t="shared" si="19"/>
        <v>1.9457493559630248E-2</v>
      </c>
      <c r="W37" s="152">
        <f t="shared" si="3"/>
        <v>8.6891953326261553E-2</v>
      </c>
      <c r="X37" s="152">
        <f t="shared" si="4"/>
        <v>0.1977269283224731</v>
      </c>
      <c r="Y37" s="152">
        <f t="shared" si="5"/>
        <v>0.25252310956205487</v>
      </c>
      <c r="Z37" s="152">
        <f t="shared" si="6"/>
        <v>0.17711774511289588</v>
      </c>
      <c r="AA37" s="152">
        <f t="shared" si="7"/>
        <v>0.13335353841491135</v>
      </c>
      <c r="AB37" s="152">
        <f t="shared" si="8"/>
        <v>0.11535081072889831</v>
      </c>
      <c r="AC37" s="152">
        <f t="shared" si="9"/>
        <v>1.7578420972874678E-2</v>
      </c>
      <c r="AD37" s="152"/>
      <c r="AE37" s="221">
        <v>16</v>
      </c>
      <c r="AF37" s="221">
        <v>16</v>
      </c>
      <c r="AG37" s="221">
        <v>19</v>
      </c>
      <c r="AH37" s="221">
        <v>20</v>
      </c>
      <c r="AI37" s="221">
        <v>57</v>
      </c>
      <c r="AJ37" s="221">
        <v>5</v>
      </c>
      <c r="AK37" s="221">
        <v>28</v>
      </c>
      <c r="AL37" s="221">
        <v>19</v>
      </c>
      <c r="AM37" s="221">
        <v>180</v>
      </c>
      <c r="AN37" s="147"/>
      <c r="AO37" s="221">
        <v>0</v>
      </c>
      <c r="AP37" s="221">
        <v>12</v>
      </c>
      <c r="AQ37" s="221">
        <v>43</v>
      </c>
      <c r="AR37" s="221">
        <v>39</v>
      </c>
      <c r="AS37" s="221">
        <v>32</v>
      </c>
      <c r="AT37" s="221">
        <v>23</v>
      </c>
      <c r="AU37" s="221">
        <v>12</v>
      </c>
      <c r="AV37" s="221">
        <v>1</v>
      </c>
      <c r="AW37" s="221">
        <v>162</v>
      </c>
      <c r="AX37" s="56">
        <f t="shared" si="29"/>
        <v>0</v>
      </c>
      <c r="AY37" s="56">
        <f t="shared" si="10"/>
        <v>-12</v>
      </c>
      <c r="AZ37" s="56">
        <f t="shared" si="10"/>
        <v>-43</v>
      </c>
      <c r="BA37" s="56">
        <f t="shared" si="10"/>
        <v>-39</v>
      </c>
      <c r="BB37" s="56">
        <f t="shared" si="10"/>
        <v>-32</v>
      </c>
      <c r="BC37" s="56">
        <f t="shared" si="10"/>
        <v>-23</v>
      </c>
      <c r="BD37" s="56">
        <f t="shared" si="10"/>
        <v>-12</v>
      </c>
      <c r="BE37" s="56">
        <f t="shared" si="10"/>
        <v>-1</v>
      </c>
      <c r="BF37" s="56">
        <f t="shared" si="10"/>
        <v>-162</v>
      </c>
      <c r="BH37">
        <f t="shared" si="11"/>
        <v>0.8</v>
      </c>
      <c r="BI37">
        <f t="shared" si="20"/>
        <v>0.19999999999999996</v>
      </c>
      <c r="BJ37" s="154">
        <v>254965.81866666672</v>
      </c>
      <c r="BK37" s="155">
        <f t="shared" si="12"/>
        <v>254965.81866666672</v>
      </c>
      <c r="BL37" s="156">
        <v>214200.592</v>
      </c>
      <c r="BM37" s="155">
        <f t="shared" si="13"/>
        <v>214200.592</v>
      </c>
      <c r="BN37" s="158">
        <v>329518.37422222225</v>
      </c>
      <c r="BO37" s="155">
        <f t="shared" si="14"/>
        <v>329518.37422222225</v>
      </c>
      <c r="BP37" s="158">
        <v>415563.62666666671</v>
      </c>
      <c r="BQ37" s="155">
        <f t="shared" si="15"/>
        <v>415563.62666666671</v>
      </c>
      <c r="BR37" s="158">
        <v>241178.23288888892</v>
      </c>
      <c r="BS37" s="155">
        <f t="shared" si="16"/>
        <v>241178.23288888892</v>
      </c>
      <c r="BT37" s="194">
        <v>166272.8728888889</v>
      </c>
      <c r="BU37" s="194"/>
      <c r="BV37" s="348">
        <f t="shared" si="21"/>
        <v>166272.8728888889</v>
      </c>
      <c r="BW37" s="195">
        <f t="shared" si="17"/>
        <v>50881.685333333357</v>
      </c>
      <c r="BX37" s="157">
        <f t="shared" si="22"/>
        <v>12720.421333333339</v>
      </c>
      <c r="BY37" s="157">
        <f>IF(E37*$CJ$10*'Year 7 Payments'!$L$20*IF(B37="",1,0.8)&lt;=(BW37-(J37*350)),E37*$CJ$10*'Year 7 Payments'!$L$20*IF(B37="",1,0.8),BW37-(IF(B37="",1,0.8)*J37*350))</f>
        <v>49761.685333333357</v>
      </c>
      <c r="BZ37" s="157">
        <f t="shared" si="23"/>
        <v>12440.421333333339</v>
      </c>
      <c r="CA37" s="157">
        <f t="shared" si="24"/>
        <v>1120</v>
      </c>
      <c r="CB37" s="157">
        <f t="shared" si="25"/>
        <v>280</v>
      </c>
      <c r="CC37" s="157">
        <f t="shared" si="26"/>
        <v>4480</v>
      </c>
      <c r="CD37" s="201">
        <f t="shared" si="27"/>
        <v>1120</v>
      </c>
      <c r="CE37" s="155">
        <f t="shared" si="28"/>
        <v>1120</v>
      </c>
    </row>
    <row r="38" spans="1:85" x14ac:dyDescent="0.2">
      <c r="A38" s="147" t="s">
        <v>493</v>
      </c>
      <c r="B38" s="57"/>
      <c r="C38" s="57" t="s">
        <v>443</v>
      </c>
      <c r="D38" s="148" t="s">
        <v>66</v>
      </c>
      <c r="E38" s="197">
        <v>114761.11111111109</v>
      </c>
      <c r="F38" s="147">
        <f t="shared" si="18"/>
        <v>129106</v>
      </c>
      <c r="G38" s="342">
        <v>601</v>
      </c>
      <c r="H38" s="149">
        <f t="shared" si="2"/>
        <v>956</v>
      </c>
      <c r="I38" s="346">
        <v>393.40000000000009</v>
      </c>
      <c r="J38" s="150">
        <v>71</v>
      </c>
      <c r="K38"/>
      <c r="L38" s="151">
        <v>27906</v>
      </c>
      <c r="M38" s="151">
        <v>28823</v>
      </c>
      <c r="N38" s="151">
        <v>34215</v>
      </c>
      <c r="O38" s="151">
        <v>19467</v>
      </c>
      <c r="P38" s="151">
        <v>11170</v>
      </c>
      <c r="Q38" s="151">
        <v>4607</v>
      </c>
      <c r="R38" s="151">
        <v>2731</v>
      </c>
      <c r="S38" s="151">
        <v>187</v>
      </c>
      <c r="T38" s="151">
        <v>129106</v>
      </c>
      <c r="U38" s="147"/>
      <c r="V38" s="152">
        <f t="shared" si="19"/>
        <v>0.21614797143432529</v>
      </c>
      <c r="W38" s="152">
        <f t="shared" si="3"/>
        <v>0.22325066224652612</v>
      </c>
      <c r="X38" s="152">
        <f t="shared" si="4"/>
        <v>0.26501479404520317</v>
      </c>
      <c r="Y38" s="152">
        <f t="shared" si="5"/>
        <v>0.15078307747122519</v>
      </c>
      <c r="Z38" s="152">
        <f t="shared" si="6"/>
        <v>8.6518054931606581E-2</v>
      </c>
      <c r="AA38" s="152">
        <f t="shared" si="7"/>
        <v>3.5683856675909717E-2</v>
      </c>
      <c r="AB38" s="152">
        <f t="shared" si="8"/>
        <v>2.1153160968506498E-2</v>
      </c>
      <c r="AC38" s="152">
        <f t="shared" si="9"/>
        <v>1.4484222266974425E-3</v>
      </c>
      <c r="AD38" s="152"/>
      <c r="AE38" s="221">
        <v>361</v>
      </c>
      <c r="AF38" s="221">
        <v>154</v>
      </c>
      <c r="AG38" s="221">
        <v>65</v>
      </c>
      <c r="AH38" s="221">
        <v>20</v>
      </c>
      <c r="AI38" s="221">
        <v>193</v>
      </c>
      <c r="AJ38" s="221">
        <v>43</v>
      </c>
      <c r="AK38" s="221">
        <v>22</v>
      </c>
      <c r="AL38" s="221">
        <v>-3</v>
      </c>
      <c r="AM38" s="221">
        <v>855</v>
      </c>
      <c r="AN38" s="147"/>
      <c r="AO38" s="221">
        <v>-21</v>
      </c>
      <c r="AP38" s="221">
        <v>-51</v>
      </c>
      <c r="AQ38" s="221">
        <v>-19</v>
      </c>
      <c r="AR38" s="221">
        <v>0</v>
      </c>
      <c r="AS38" s="221">
        <v>-1</v>
      </c>
      <c r="AT38" s="221">
        <v>-7</v>
      </c>
      <c r="AU38" s="221">
        <v>-1</v>
      </c>
      <c r="AV38" s="221">
        <v>-1</v>
      </c>
      <c r="AW38" s="221">
        <v>-101</v>
      </c>
      <c r="AX38" s="56">
        <f t="shared" si="29"/>
        <v>21</v>
      </c>
      <c r="AY38" s="56">
        <f t="shared" si="10"/>
        <v>51</v>
      </c>
      <c r="AZ38" s="56">
        <f t="shared" si="10"/>
        <v>19</v>
      </c>
      <c r="BA38" s="56">
        <f t="shared" si="10"/>
        <v>0</v>
      </c>
      <c r="BB38" s="56">
        <f t="shared" si="10"/>
        <v>1</v>
      </c>
      <c r="BC38" s="56">
        <f t="shared" ref="BC38:BF101" si="30">AT38*$AW$3</f>
        <v>7</v>
      </c>
      <c r="BD38" s="56">
        <f t="shared" si="30"/>
        <v>1</v>
      </c>
      <c r="BE38" s="56">
        <f t="shared" si="30"/>
        <v>1</v>
      </c>
      <c r="BF38" s="56">
        <f t="shared" si="30"/>
        <v>101</v>
      </c>
      <c r="BH38">
        <f t="shared" si="11"/>
        <v>1</v>
      </c>
      <c r="BI38">
        <f t="shared" si="20"/>
        <v>0</v>
      </c>
      <c r="BJ38" s="154">
        <v>595996.99333333317</v>
      </c>
      <c r="BK38" s="155">
        <f t="shared" si="12"/>
        <v>595996.99333333317</v>
      </c>
      <c r="BL38" s="156">
        <v>424534.11222222226</v>
      </c>
      <c r="BM38" s="155">
        <f t="shared" si="13"/>
        <v>424534.11222222226</v>
      </c>
      <c r="BN38" s="158">
        <v>970303.86888888897</v>
      </c>
      <c r="BO38" s="155">
        <f t="shared" si="14"/>
        <v>970303.86888888897</v>
      </c>
      <c r="BP38" s="158">
        <v>679829.60000000009</v>
      </c>
      <c r="BQ38" s="155">
        <f t="shared" si="15"/>
        <v>679829.60000000009</v>
      </c>
      <c r="BR38" s="158">
        <v>1166125.8311111112</v>
      </c>
      <c r="BS38" s="155">
        <f t="shared" si="16"/>
        <v>1166125.8311111112</v>
      </c>
      <c r="BT38" s="194">
        <v>1177150.0377777775</v>
      </c>
      <c r="BU38" s="194"/>
      <c r="BV38" s="348">
        <f t="shared" si="21"/>
        <v>1177150.0377777775</v>
      </c>
      <c r="BW38" s="195">
        <f t="shared" si="17"/>
        <v>1328714.9244444445</v>
      </c>
      <c r="BX38" s="157" t="str">
        <f t="shared" si="22"/>
        <v>0</v>
      </c>
      <c r="BY38" s="157">
        <f>IF(E38*$CJ$10*'Year 7 Payments'!$L$20*IF(B38="",1,0.8)&lt;=(BW38-(J38*350)),E38*$CJ$10*'Year 7 Payments'!$L$20*IF(B38="",1,0.8),BW38-(IF(B38="",1,0.8)*J38*350))</f>
        <v>702136.02044444426</v>
      </c>
      <c r="BZ38" s="157" t="str">
        <f t="shared" si="23"/>
        <v>0</v>
      </c>
      <c r="CA38" s="157">
        <f t="shared" si="24"/>
        <v>626578.90400000021</v>
      </c>
      <c r="CB38" s="157">
        <f t="shared" si="25"/>
        <v>0</v>
      </c>
      <c r="CC38" s="157">
        <f t="shared" si="26"/>
        <v>2506315.6160000009</v>
      </c>
      <c r="CD38" s="201">
        <f t="shared" si="27"/>
        <v>0</v>
      </c>
      <c r="CE38" s="155">
        <f t="shared" si="28"/>
        <v>626578.90400000021</v>
      </c>
    </row>
    <row r="39" spans="1:85" x14ac:dyDescent="0.2">
      <c r="A39" s="147" t="s">
        <v>494</v>
      </c>
      <c r="B39" s="57"/>
      <c r="C39" s="57" t="s">
        <v>472</v>
      </c>
      <c r="D39" s="148" t="s">
        <v>67</v>
      </c>
      <c r="E39" s="197">
        <v>163830.22222222225</v>
      </c>
      <c r="F39" s="147">
        <f t="shared" si="18"/>
        <v>196949</v>
      </c>
      <c r="G39" s="342">
        <v>876</v>
      </c>
      <c r="H39" s="149">
        <f t="shared" si="2"/>
        <v>1916</v>
      </c>
      <c r="I39" s="346">
        <v>899.45688888888878</v>
      </c>
      <c r="J39" s="150">
        <v>128</v>
      </c>
      <c r="K39"/>
      <c r="L39" s="151">
        <v>50718</v>
      </c>
      <c r="M39" s="151">
        <v>72502</v>
      </c>
      <c r="N39" s="151">
        <v>38487</v>
      </c>
      <c r="O39" s="151">
        <v>17826</v>
      </c>
      <c r="P39" s="151">
        <v>9512</v>
      </c>
      <c r="Q39" s="151">
        <v>4730</v>
      </c>
      <c r="R39" s="151">
        <v>2839</v>
      </c>
      <c r="S39" s="151">
        <v>335</v>
      </c>
      <c r="T39" s="151">
        <v>196949</v>
      </c>
      <c r="U39" s="147"/>
      <c r="V39" s="152">
        <f t="shared" si="19"/>
        <v>0.25751844386110112</v>
      </c>
      <c r="W39" s="152">
        <f t="shared" si="3"/>
        <v>0.36812575844507966</v>
      </c>
      <c r="X39" s="152">
        <f t="shared" si="4"/>
        <v>0.19541607218112303</v>
      </c>
      <c r="Y39" s="152">
        <f t="shared" si="5"/>
        <v>9.0510741359438235E-2</v>
      </c>
      <c r="Z39" s="152">
        <f t="shared" si="6"/>
        <v>4.8296767183382501E-2</v>
      </c>
      <c r="AA39" s="152">
        <f t="shared" si="7"/>
        <v>2.4016369720079818E-2</v>
      </c>
      <c r="AB39" s="152">
        <f t="shared" si="8"/>
        <v>1.4414899288648331E-2</v>
      </c>
      <c r="AC39" s="152">
        <f t="shared" si="9"/>
        <v>1.7009479611473021E-3</v>
      </c>
      <c r="AD39" s="152"/>
      <c r="AE39" s="221">
        <v>955</v>
      </c>
      <c r="AF39" s="221">
        <v>233</v>
      </c>
      <c r="AG39" s="221">
        <v>296</v>
      </c>
      <c r="AH39" s="221">
        <v>264</v>
      </c>
      <c r="AI39" s="221">
        <v>107</v>
      </c>
      <c r="AJ39" s="221">
        <v>28</v>
      </c>
      <c r="AK39" s="221">
        <v>10</v>
      </c>
      <c r="AL39" s="221">
        <v>4</v>
      </c>
      <c r="AM39" s="221">
        <v>1897</v>
      </c>
      <c r="AN39" s="147"/>
      <c r="AO39" s="221">
        <v>-4</v>
      </c>
      <c r="AP39" s="221">
        <v>-10</v>
      </c>
      <c r="AQ39" s="221">
        <v>1</v>
      </c>
      <c r="AR39" s="221">
        <v>-8</v>
      </c>
      <c r="AS39" s="221">
        <v>-5</v>
      </c>
      <c r="AT39" s="221">
        <v>7</v>
      </c>
      <c r="AU39" s="221">
        <v>1</v>
      </c>
      <c r="AV39" s="221">
        <v>-1</v>
      </c>
      <c r="AW39" s="221">
        <v>-19</v>
      </c>
      <c r="AX39" s="56">
        <f t="shared" si="29"/>
        <v>4</v>
      </c>
      <c r="AY39" s="56">
        <f t="shared" si="29"/>
        <v>10</v>
      </c>
      <c r="AZ39" s="56">
        <f t="shared" si="29"/>
        <v>-1</v>
      </c>
      <c r="BA39" s="56">
        <f t="shared" si="29"/>
        <v>8</v>
      </c>
      <c r="BB39" s="56">
        <f t="shared" si="29"/>
        <v>5</v>
      </c>
      <c r="BC39" s="56">
        <f t="shared" si="30"/>
        <v>-7</v>
      </c>
      <c r="BD39" s="56">
        <f t="shared" si="30"/>
        <v>-1</v>
      </c>
      <c r="BE39" s="56">
        <f t="shared" si="30"/>
        <v>1</v>
      </c>
      <c r="BF39" s="56">
        <f t="shared" si="30"/>
        <v>19</v>
      </c>
      <c r="BH39">
        <f t="shared" si="11"/>
        <v>1</v>
      </c>
      <c r="BI39">
        <f t="shared" si="20"/>
        <v>0</v>
      </c>
      <c r="BJ39" s="154">
        <v>2281003.7866666666</v>
      </c>
      <c r="BK39" s="155">
        <f t="shared" si="12"/>
        <v>2281003.7866666666</v>
      </c>
      <c r="BL39" s="156">
        <v>2611131.472222222</v>
      </c>
      <c r="BM39" s="155">
        <f t="shared" si="13"/>
        <v>2611131.472222222</v>
      </c>
      <c r="BN39" s="158">
        <v>2397465.86</v>
      </c>
      <c r="BO39" s="155">
        <f t="shared" si="14"/>
        <v>2397465.86</v>
      </c>
      <c r="BP39" s="158">
        <v>2189512.5333333332</v>
      </c>
      <c r="BQ39" s="155">
        <f t="shared" si="15"/>
        <v>2189512.5333333332</v>
      </c>
      <c r="BR39" s="158">
        <v>2018943.7</v>
      </c>
      <c r="BS39" s="155">
        <f t="shared" si="16"/>
        <v>2018943.7</v>
      </c>
      <c r="BT39" s="194">
        <v>2037535.9044444445</v>
      </c>
      <c r="BU39" s="194"/>
      <c r="BV39" s="348">
        <f t="shared" si="21"/>
        <v>2037535.9044444445</v>
      </c>
      <c r="BW39" s="195">
        <f t="shared" si="17"/>
        <v>2422925.8977777772</v>
      </c>
      <c r="BX39" s="157" t="str">
        <f t="shared" si="22"/>
        <v>0</v>
      </c>
      <c r="BY39" s="157">
        <f>IF(E39*$CJ$10*'Year 7 Payments'!$L$20*IF(B39="",1,0.8)&lt;=(BW39-(J39*350)),E39*$CJ$10*'Year 7 Payments'!$L$20*IF(B39="",1,0.8),BW39-(IF(B39="",1,0.8)*J39*350))</f>
        <v>1002352.6188088891</v>
      </c>
      <c r="BZ39" s="157" t="str">
        <f t="shared" si="23"/>
        <v>0</v>
      </c>
      <c r="CA39" s="157">
        <f t="shared" si="24"/>
        <v>1420573.2789688881</v>
      </c>
      <c r="CB39" s="157">
        <f t="shared" si="25"/>
        <v>0</v>
      </c>
      <c r="CC39" s="157">
        <f t="shared" si="26"/>
        <v>5682293.1158755524</v>
      </c>
      <c r="CD39" s="201">
        <f t="shared" si="27"/>
        <v>0</v>
      </c>
      <c r="CE39" s="155">
        <f t="shared" si="28"/>
        <v>1420573.2789688881</v>
      </c>
    </row>
    <row r="40" spans="1:85" x14ac:dyDescent="0.2">
      <c r="A40" s="147" t="s">
        <v>495</v>
      </c>
      <c r="B40" s="57" t="s">
        <v>490</v>
      </c>
      <c r="C40" s="57" t="s">
        <v>459</v>
      </c>
      <c r="D40" s="148" t="s">
        <v>68</v>
      </c>
      <c r="E40" s="197">
        <v>51308.222222222226</v>
      </c>
      <c r="F40" s="147">
        <f t="shared" si="18"/>
        <v>56680</v>
      </c>
      <c r="G40" s="342">
        <v>322</v>
      </c>
      <c r="H40" s="149">
        <f t="shared" si="2"/>
        <v>657</v>
      </c>
      <c r="I40" s="346">
        <v>413.76711111111109</v>
      </c>
      <c r="J40" s="150">
        <v>19</v>
      </c>
      <c r="K40"/>
      <c r="L40" s="151">
        <v>4654</v>
      </c>
      <c r="M40" s="151">
        <v>14725</v>
      </c>
      <c r="N40" s="151">
        <v>20163</v>
      </c>
      <c r="O40" s="151">
        <v>9386</v>
      </c>
      <c r="P40" s="151">
        <v>4799</v>
      </c>
      <c r="Q40" s="151">
        <v>2071</v>
      </c>
      <c r="R40" s="151">
        <v>789</v>
      </c>
      <c r="S40" s="151">
        <v>93</v>
      </c>
      <c r="T40" s="151">
        <v>56680</v>
      </c>
      <c r="U40" s="147"/>
      <c r="V40" s="152">
        <f t="shared" si="19"/>
        <v>8.2110091743119271E-2</v>
      </c>
      <c r="W40" s="152">
        <f t="shared" si="3"/>
        <v>0.25979181369089627</v>
      </c>
      <c r="X40" s="152">
        <f t="shared" si="4"/>
        <v>0.35573394495412847</v>
      </c>
      <c r="Y40" s="152">
        <f t="shared" si="5"/>
        <v>0.16559633027522935</v>
      </c>
      <c r="Z40" s="152">
        <f t="shared" si="6"/>
        <v>8.4668313338038106E-2</v>
      </c>
      <c r="AA40" s="152">
        <f t="shared" si="7"/>
        <v>3.653846153846154E-2</v>
      </c>
      <c r="AB40" s="152">
        <f t="shared" si="8"/>
        <v>1.3920254057868738E-2</v>
      </c>
      <c r="AC40" s="152">
        <f t="shared" si="9"/>
        <v>1.6407904022582923E-3</v>
      </c>
      <c r="AD40" s="152"/>
      <c r="AE40" s="221">
        <v>84</v>
      </c>
      <c r="AF40" s="221">
        <v>197</v>
      </c>
      <c r="AG40" s="221">
        <v>143</v>
      </c>
      <c r="AH40" s="221">
        <v>108</v>
      </c>
      <c r="AI40" s="221">
        <v>115</v>
      </c>
      <c r="AJ40" s="221">
        <v>36</v>
      </c>
      <c r="AK40" s="221">
        <v>2</v>
      </c>
      <c r="AL40" s="221">
        <v>-1</v>
      </c>
      <c r="AM40" s="221">
        <v>684</v>
      </c>
      <c r="AN40" s="147"/>
      <c r="AO40" s="221">
        <v>-1</v>
      </c>
      <c r="AP40" s="221">
        <v>24</v>
      </c>
      <c r="AQ40" s="221">
        <v>7</v>
      </c>
      <c r="AR40" s="221">
        <v>5</v>
      </c>
      <c r="AS40" s="221">
        <v>-4</v>
      </c>
      <c r="AT40" s="221">
        <v>-7</v>
      </c>
      <c r="AU40" s="221">
        <v>3</v>
      </c>
      <c r="AV40" s="221">
        <v>0</v>
      </c>
      <c r="AW40" s="221">
        <v>27</v>
      </c>
      <c r="AX40" s="56">
        <f t="shared" si="29"/>
        <v>1</v>
      </c>
      <c r="AY40" s="56">
        <f t="shared" si="29"/>
        <v>-24</v>
      </c>
      <c r="AZ40" s="56">
        <f t="shared" si="29"/>
        <v>-7</v>
      </c>
      <c r="BA40" s="56">
        <f t="shared" si="29"/>
        <v>-5</v>
      </c>
      <c r="BB40" s="56">
        <f t="shared" si="29"/>
        <v>4</v>
      </c>
      <c r="BC40" s="56">
        <f t="shared" si="30"/>
        <v>7</v>
      </c>
      <c r="BD40" s="56">
        <f t="shared" si="30"/>
        <v>-3</v>
      </c>
      <c r="BE40" s="56">
        <f t="shared" si="30"/>
        <v>0</v>
      </c>
      <c r="BF40" s="56">
        <f t="shared" si="30"/>
        <v>-27</v>
      </c>
      <c r="BH40">
        <f t="shared" si="11"/>
        <v>0.8</v>
      </c>
      <c r="BI40">
        <f t="shared" si="20"/>
        <v>0.19999999999999996</v>
      </c>
      <c r="BJ40" s="154">
        <v>187674.28800000006</v>
      </c>
      <c r="BK40" s="155">
        <f t="shared" si="12"/>
        <v>187674.28800000006</v>
      </c>
      <c r="BL40" s="156">
        <v>257074.23911111115</v>
      </c>
      <c r="BM40" s="155">
        <f t="shared" si="13"/>
        <v>257074.23911111115</v>
      </c>
      <c r="BN40" s="158">
        <v>313655.36888888897</v>
      </c>
      <c r="BO40" s="155">
        <f t="shared" si="14"/>
        <v>313655.36888888897</v>
      </c>
      <c r="BP40" s="158">
        <v>360379.2</v>
      </c>
      <c r="BQ40" s="155">
        <f t="shared" si="15"/>
        <v>360379.2</v>
      </c>
      <c r="BR40" s="158">
        <v>375905.91644444451</v>
      </c>
      <c r="BS40" s="155">
        <f t="shared" si="16"/>
        <v>375905.91644444451</v>
      </c>
      <c r="BT40" s="194">
        <v>504878.81422222219</v>
      </c>
      <c r="BU40" s="194"/>
      <c r="BV40" s="348">
        <f t="shared" si="21"/>
        <v>504878.81422222219</v>
      </c>
      <c r="BW40" s="195">
        <f t="shared" si="17"/>
        <v>762758.11200000008</v>
      </c>
      <c r="BX40" s="157">
        <f t="shared" si="22"/>
        <v>190689.52800000002</v>
      </c>
      <c r="BY40" s="157">
        <f>IF(E40*$CJ$10*'Year 7 Payments'!$L$20*IF(B40="",1,0.8)&lt;=(BW40-(J40*350)),E40*$CJ$10*'Year 7 Payments'!$L$20*IF(B40="",1,0.8),BW40-(IF(B40="",1,0.8)*J40*350))</f>
        <v>251132.81402311113</v>
      </c>
      <c r="BZ40" s="157">
        <f t="shared" si="23"/>
        <v>62783.203505777783</v>
      </c>
      <c r="CA40" s="157">
        <f t="shared" si="24"/>
        <v>511625.29797688895</v>
      </c>
      <c r="CB40" s="157">
        <f t="shared" si="25"/>
        <v>127906.32449422224</v>
      </c>
      <c r="CC40" s="157">
        <f t="shared" si="26"/>
        <v>2046501.1919075558</v>
      </c>
      <c r="CD40" s="201">
        <f t="shared" si="27"/>
        <v>511625.29797688895</v>
      </c>
      <c r="CE40" s="155">
        <f t="shared" si="28"/>
        <v>511625.29797688895</v>
      </c>
    </row>
    <row r="41" spans="1:85" x14ac:dyDescent="0.2">
      <c r="A41" s="147" t="s">
        <v>496</v>
      </c>
      <c r="B41" s="57"/>
      <c r="C41" s="57" t="s">
        <v>461</v>
      </c>
      <c r="D41" s="148" t="s">
        <v>69</v>
      </c>
      <c r="E41" s="197">
        <v>156175.55555555553</v>
      </c>
      <c r="F41" s="147">
        <f t="shared" si="18"/>
        <v>138946</v>
      </c>
      <c r="G41" s="342">
        <v>591</v>
      </c>
      <c r="H41" s="149">
        <f t="shared" si="2"/>
        <v>929</v>
      </c>
      <c r="I41" s="346">
        <v>394.96444444444455</v>
      </c>
      <c r="J41" s="150">
        <v>86</v>
      </c>
      <c r="K41"/>
      <c r="L41" s="151">
        <v>1948</v>
      </c>
      <c r="M41" s="151">
        <v>10102</v>
      </c>
      <c r="N41" s="151">
        <v>29087</v>
      </c>
      <c r="O41" s="151">
        <v>35868</v>
      </c>
      <c r="P41" s="151">
        <v>28908</v>
      </c>
      <c r="Q41" s="151">
        <v>17908</v>
      </c>
      <c r="R41" s="151">
        <v>13611</v>
      </c>
      <c r="S41" s="151">
        <v>1514</v>
      </c>
      <c r="T41" s="151">
        <v>138946</v>
      </c>
      <c r="U41" s="147"/>
      <c r="V41" s="152">
        <f t="shared" si="19"/>
        <v>1.4019835043829977E-2</v>
      </c>
      <c r="W41" s="152">
        <f t="shared" si="3"/>
        <v>7.2704503907993032E-2</v>
      </c>
      <c r="X41" s="152">
        <f t="shared" si="4"/>
        <v>0.20934031926072</v>
      </c>
      <c r="Y41" s="152">
        <f t="shared" si="5"/>
        <v>0.25814345141277906</v>
      </c>
      <c r="Z41" s="152">
        <f t="shared" si="6"/>
        <v>0.20805204899745225</v>
      </c>
      <c r="AA41" s="152">
        <f t="shared" si="7"/>
        <v>0.12888460265138973</v>
      </c>
      <c r="AB41" s="152">
        <f t="shared" si="8"/>
        <v>9.7958919292386967E-2</v>
      </c>
      <c r="AC41" s="152">
        <f t="shared" si="9"/>
        <v>1.0896319433448966E-2</v>
      </c>
      <c r="AD41" s="152"/>
      <c r="AE41" s="221">
        <v>67</v>
      </c>
      <c r="AF41" s="221">
        <v>80</v>
      </c>
      <c r="AG41" s="221">
        <v>261</v>
      </c>
      <c r="AH41" s="221">
        <v>105</v>
      </c>
      <c r="AI41" s="221">
        <v>73</v>
      </c>
      <c r="AJ41" s="221">
        <v>76</v>
      </c>
      <c r="AK41" s="221">
        <v>110</v>
      </c>
      <c r="AL41" s="221">
        <v>52</v>
      </c>
      <c r="AM41" s="221">
        <v>824</v>
      </c>
      <c r="AN41" s="147"/>
      <c r="AO41" s="221">
        <v>-9</v>
      </c>
      <c r="AP41" s="221">
        <v>-9</v>
      </c>
      <c r="AQ41" s="221">
        <v>-77</v>
      </c>
      <c r="AR41" s="221">
        <v>-1</v>
      </c>
      <c r="AS41" s="221">
        <v>-12</v>
      </c>
      <c r="AT41" s="221">
        <v>0</v>
      </c>
      <c r="AU41" s="221">
        <v>-5</v>
      </c>
      <c r="AV41" s="221">
        <v>8</v>
      </c>
      <c r="AW41" s="221">
        <v>-105</v>
      </c>
      <c r="AX41" s="56">
        <f t="shared" si="29"/>
        <v>9</v>
      </c>
      <c r="AY41" s="56">
        <f t="shared" si="29"/>
        <v>9</v>
      </c>
      <c r="AZ41" s="56">
        <f t="shared" si="29"/>
        <v>77</v>
      </c>
      <c r="BA41" s="56">
        <f t="shared" si="29"/>
        <v>1</v>
      </c>
      <c r="BB41" s="56">
        <f t="shared" si="29"/>
        <v>12</v>
      </c>
      <c r="BC41" s="56">
        <f t="shared" si="30"/>
        <v>0</v>
      </c>
      <c r="BD41" s="56">
        <f t="shared" si="30"/>
        <v>5</v>
      </c>
      <c r="BE41" s="56">
        <f t="shared" si="30"/>
        <v>-8</v>
      </c>
      <c r="BF41" s="56">
        <f t="shared" si="30"/>
        <v>105</v>
      </c>
      <c r="BH41">
        <f t="shared" si="11"/>
        <v>1</v>
      </c>
      <c r="BI41">
        <f t="shared" si="20"/>
        <v>0</v>
      </c>
      <c r="BJ41" s="154">
        <v>993381.62666666671</v>
      </c>
      <c r="BK41" s="155">
        <f t="shared" si="12"/>
        <v>993381.62666666671</v>
      </c>
      <c r="BL41" s="156">
        <v>1031971.5733333334</v>
      </c>
      <c r="BM41" s="155">
        <f t="shared" si="13"/>
        <v>1031971.5733333334</v>
      </c>
      <c r="BN41" s="158">
        <v>1547269.5988888892</v>
      </c>
      <c r="BO41" s="155">
        <f t="shared" si="14"/>
        <v>1547269.5988888892</v>
      </c>
      <c r="BP41" s="158">
        <v>1350729.4666666666</v>
      </c>
      <c r="BQ41" s="155">
        <f t="shared" si="15"/>
        <v>1350729.4666666666</v>
      </c>
      <c r="BR41" s="158">
        <v>1251398.3288888889</v>
      </c>
      <c r="BS41" s="155">
        <f t="shared" si="16"/>
        <v>1251398.3288888889</v>
      </c>
      <c r="BT41" s="194">
        <v>1227580.7133333334</v>
      </c>
      <c r="BU41" s="194"/>
      <c r="BV41" s="348">
        <f t="shared" si="21"/>
        <v>1227580.7133333334</v>
      </c>
      <c r="BW41" s="195">
        <f t="shared" si="17"/>
        <v>1589741.3466666667</v>
      </c>
      <c r="BX41" s="157" t="str">
        <f t="shared" si="22"/>
        <v>0</v>
      </c>
      <c r="BY41" s="157">
        <f>IF(E41*$CJ$10*'Year 7 Payments'!$L$20*IF(B41="",1,0.8)&lt;=(BW41-(J41*350)),E41*$CJ$10*'Year 7 Payments'!$L$20*IF(B41="",1,0.8),BW41-(IF(B41="",1,0.8)*J41*350))</f>
        <v>955519.53102222201</v>
      </c>
      <c r="BZ41" s="157" t="str">
        <f t="shared" si="23"/>
        <v>0</v>
      </c>
      <c r="CA41" s="157">
        <f t="shared" si="24"/>
        <v>634221.81564444466</v>
      </c>
      <c r="CB41" s="157">
        <f t="shared" si="25"/>
        <v>0</v>
      </c>
      <c r="CC41" s="157">
        <f t="shared" si="26"/>
        <v>2536887.2625777787</v>
      </c>
      <c r="CD41" s="201">
        <f t="shared" si="27"/>
        <v>0</v>
      </c>
      <c r="CE41" s="155">
        <f t="shared" si="28"/>
        <v>634221.81564444466</v>
      </c>
    </row>
    <row r="42" spans="1:85" x14ac:dyDescent="0.2">
      <c r="A42" s="147" t="s">
        <v>497</v>
      </c>
      <c r="B42" s="57" t="s">
        <v>498</v>
      </c>
      <c r="C42" s="57" t="s">
        <v>476</v>
      </c>
      <c r="D42" s="148" t="s">
        <v>70</v>
      </c>
      <c r="E42" s="197">
        <v>41346.888888888891</v>
      </c>
      <c r="F42" s="147">
        <f t="shared" si="18"/>
        <v>40736</v>
      </c>
      <c r="G42" s="342">
        <v>206</v>
      </c>
      <c r="H42" s="149">
        <f t="shared" si="2"/>
        <v>578</v>
      </c>
      <c r="I42" s="346">
        <v>444.05688888888892</v>
      </c>
      <c r="J42" s="150">
        <v>114</v>
      </c>
      <c r="K42"/>
      <c r="L42" s="151">
        <v>3652</v>
      </c>
      <c r="M42" s="151">
        <v>7213</v>
      </c>
      <c r="N42" s="151">
        <v>8754</v>
      </c>
      <c r="O42" s="151">
        <v>7712</v>
      </c>
      <c r="P42" s="151">
        <v>6802</v>
      </c>
      <c r="Q42" s="151">
        <v>3557</v>
      </c>
      <c r="R42" s="151">
        <v>2707</v>
      </c>
      <c r="S42" s="151">
        <v>339</v>
      </c>
      <c r="T42" s="151">
        <v>40736</v>
      </c>
      <c r="U42" s="147"/>
      <c r="V42" s="152">
        <f t="shared" si="19"/>
        <v>8.9650432050274939E-2</v>
      </c>
      <c r="W42" s="152">
        <f t="shared" si="3"/>
        <v>0.17706696779261588</v>
      </c>
      <c r="X42" s="152">
        <f t="shared" si="4"/>
        <v>0.21489591516103693</v>
      </c>
      <c r="Y42" s="152">
        <f t="shared" si="5"/>
        <v>0.18931657501963864</v>
      </c>
      <c r="Z42" s="152">
        <f t="shared" si="6"/>
        <v>0.1669776119402985</v>
      </c>
      <c r="AA42" s="152">
        <f t="shared" si="7"/>
        <v>8.7318342498036133E-2</v>
      </c>
      <c r="AB42" s="152">
        <f t="shared" si="8"/>
        <v>6.6452278083267868E-2</v>
      </c>
      <c r="AC42" s="152">
        <f t="shared" si="9"/>
        <v>8.3218774548311069E-3</v>
      </c>
      <c r="AD42" s="152"/>
      <c r="AE42" s="221">
        <v>75</v>
      </c>
      <c r="AF42" s="221">
        <v>46</v>
      </c>
      <c r="AG42" s="221">
        <v>88</v>
      </c>
      <c r="AH42" s="221">
        <v>45</v>
      </c>
      <c r="AI42" s="221">
        <v>38</v>
      </c>
      <c r="AJ42" s="221">
        <v>90</v>
      </c>
      <c r="AK42" s="221">
        <v>38</v>
      </c>
      <c r="AL42" s="221">
        <v>1</v>
      </c>
      <c r="AM42" s="221">
        <v>421</v>
      </c>
      <c r="AN42" s="147"/>
      <c r="AO42" s="221">
        <v>-27</v>
      </c>
      <c r="AP42" s="221">
        <v>-22</v>
      </c>
      <c r="AQ42" s="221">
        <v>-27</v>
      </c>
      <c r="AR42" s="221">
        <v>-39</v>
      </c>
      <c r="AS42" s="221">
        <v>-12</v>
      </c>
      <c r="AT42" s="221">
        <v>-20</v>
      </c>
      <c r="AU42" s="221">
        <v>-9</v>
      </c>
      <c r="AV42" s="221">
        <v>-1</v>
      </c>
      <c r="AW42" s="221">
        <v>-157</v>
      </c>
      <c r="AX42" s="56">
        <f t="shared" si="29"/>
        <v>27</v>
      </c>
      <c r="AY42" s="56">
        <f t="shared" si="29"/>
        <v>22</v>
      </c>
      <c r="AZ42" s="56">
        <f t="shared" si="29"/>
        <v>27</v>
      </c>
      <c r="BA42" s="56">
        <f t="shared" si="29"/>
        <v>39</v>
      </c>
      <c r="BB42" s="56">
        <f t="shared" si="29"/>
        <v>12</v>
      </c>
      <c r="BC42" s="56">
        <f t="shared" si="30"/>
        <v>20</v>
      </c>
      <c r="BD42" s="56">
        <f t="shared" si="30"/>
        <v>9</v>
      </c>
      <c r="BE42" s="56">
        <f t="shared" si="30"/>
        <v>1</v>
      </c>
      <c r="BF42" s="56">
        <f t="shared" si="30"/>
        <v>157</v>
      </c>
      <c r="BH42">
        <f t="shared" si="11"/>
        <v>0.8</v>
      </c>
      <c r="BI42">
        <f t="shared" si="20"/>
        <v>0.19999999999999996</v>
      </c>
      <c r="BJ42" s="154">
        <v>124988.26133333336</v>
      </c>
      <c r="BK42" s="155">
        <f t="shared" si="12"/>
        <v>124988.26133333336</v>
      </c>
      <c r="BL42" s="156">
        <v>240599.30133333334</v>
      </c>
      <c r="BM42" s="155">
        <f t="shared" si="13"/>
        <v>240599.30133333334</v>
      </c>
      <c r="BN42" s="158">
        <v>321982.32888888894</v>
      </c>
      <c r="BO42" s="155">
        <f t="shared" si="14"/>
        <v>321982.32888888894</v>
      </c>
      <c r="BP42" s="158">
        <v>262904.53333333338</v>
      </c>
      <c r="BQ42" s="155">
        <f t="shared" si="15"/>
        <v>262904.53333333338</v>
      </c>
      <c r="BR42" s="158">
        <v>347900.01244444447</v>
      </c>
      <c r="BS42" s="155">
        <f t="shared" si="16"/>
        <v>347900.01244444447</v>
      </c>
      <c r="BT42" s="194">
        <v>404845.08088888892</v>
      </c>
      <c r="BU42" s="194"/>
      <c r="BV42" s="348">
        <f t="shared" si="21"/>
        <v>404845.08088888892</v>
      </c>
      <c r="BW42" s="195">
        <f t="shared" si="17"/>
        <v>777665.47555555555</v>
      </c>
      <c r="BX42" s="157">
        <f t="shared" si="22"/>
        <v>194416.36888888889</v>
      </c>
      <c r="BY42" s="157">
        <f>IF(E42*$CJ$10*'Year 7 Payments'!$L$20*IF(B42="",1,0.8)&lt;=(BW42-(J42*350)),E42*$CJ$10*'Year 7 Payments'!$L$20*IF(B42="",1,0.8),BW42-(IF(B42="",1,0.8)*J42*350))</f>
        <v>202376.15158044448</v>
      </c>
      <c r="BZ42" s="157">
        <f t="shared" si="23"/>
        <v>50594.03789511112</v>
      </c>
      <c r="CA42" s="157">
        <f t="shared" si="24"/>
        <v>575289.32397511113</v>
      </c>
      <c r="CB42" s="157">
        <f t="shared" si="25"/>
        <v>143822.33099377778</v>
      </c>
      <c r="CC42" s="157">
        <f t="shared" si="26"/>
        <v>2301157.2959004445</v>
      </c>
      <c r="CD42" s="201">
        <f t="shared" si="27"/>
        <v>575289.32397511113</v>
      </c>
      <c r="CE42" s="155">
        <f t="shared" si="28"/>
        <v>575289.32397511113</v>
      </c>
    </row>
    <row r="43" spans="1:85" x14ac:dyDescent="0.2">
      <c r="A43" s="147" t="s">
        <v>499</v>
      </c>
      <c r="B43" s="57" t="s">
        <v>500</v>
      </c>
      <c r="C43" s="57" t="s">
        <v>459</v>
      </c>
      <c r="D43" s="148" t="s">
        <v>71</v>
      </c>
      <c r="E43" s="197">
        <v>42281.111111111117</v>
      </c>
      <c r="F43" s="147">
        <f t="shared" si="18"/>
        <v>40203</v>
      </c>
      <c r="G43" s="342">
        <v>176</v>
      </c>
      <c r="H43" s="149">
        <f t="shared" si="2"/>
        <v>208</v>
      </c>
      <c r="I43" s="346">
        <v>26.097777777777736</v>
      </c>
      <c r="J43" s="150">
        <v>89</v>
      </c>
      <c r="K43"/>
      <c r="L43" s="151">
        <v>560</v>
      </c>
      <c r="M43" s="151">
        <v>3652</v>
      </c>
      <c r="N43" s="151">
        <v>9294</v>
      </c>
      <c r="O43" s="151">
        <v>14102</v>
      </c>
      <c r="P43" s="151">
        <v>7513</v>
      </c>
      <c r="Q43" s="151">
        <v>2805</v>
      </c>
      <c r="R43" s="151">
        <v>2106</v>
      </c>
      <c r="S43" s="151">
        <v>171</v>
      </c>
      <c r="T43" s="151">
        <v>40203</v>
      </c>
      <c r="U43" s="147"/>
      <c r="V43" s="152">
        <f t="shared" si="19"/>
        <v>1.3929308758052882E-2</v>
      </c>
      <c r="W43" s="152">
        <f t="shared" si="3"/>
        <v>9.0838992115016295E-2</v>
      </c>
      <c r="X43" s="152">
        <f t="shared" si="4"/>
        <v>0.23117677785239907</v>
      </c>
      <c r="Y43" s="152">
        <f t="shared" si="5"/>
        <v>0.3507698430465388</v>
      </c>
      <c r="Z43" s="152">
        <f t="shared" si="6"/>
        <v>0.18687660124866304</v>
      </c>
      <c r="AA43" s="152">
        <f t="shared" si="7"/>
        <v>6.9770912618461314E-2</v>
      </c>
      <c r="AB43" s="152">
        <f t="shared" si="8"/>
        <v>5.2384150436534584E-2</v>
      </c>
      <c r="AC43" s="152">
        <f t="shared" si="9"/>
        <v>4.2534139243340053E-3</v>
      </c>
      <c r="AD43" s="152"/>
      <c r="AE43" s="221">
        <v>48</v>
      </c>
      <c r="AF43" s="221">
        <v>14</v>
      </c>
      <c r="AG43" s="221">
        <v>122</v>
      </c>
      <c r="AH43" s="221">
        <v>15</v>
      </c>
      <c r="AI43" s="221">
        <v>16</v>
      </c>
      <c r="AJ43" s="221">
        <v>25</v>
      </c>
      <c r="AK43" s="221">
        <v>7</v>
      </c>
      <c r="AL43" s="221">
        <v>5</v>
      </c>
      <c r="AM43" s="221">
        <v>252</v>
      </c>
      <c r="AN43" s="147"/>
      <c r="AO43" s="221">
        <v>-3</v>
      </c>
      <c r="AP43" s="221">
        <v>5</v>
      </c>
      <c r="AQ43" s="221">
        <v>8</v>
      </c>
      <c r="AR43" s="221">
        <v>16</v>
      </c>
      <c r="AS43" s="221">
        <v>14</v>
      </c>
      <c r="AT43" s="221">
        <v>3</v>
      </c>
      <c r="AU43" s="221">
        <v>0</v>
      </c>
      <c r="AV43" s="221">
        <v>1</v>
      </c>
      <c r="AW43" s="221">
        <v>44</v>
      </c>
      <c r="AX43" s="56">
        <f t="shared" si="29"/>
        <v>3</v>
      </c>
      <c r="AY43" s="56">
        <f t="shared" si="29"/>
        <v>-5</v>
      </c>
      <c r="AZ43" s="56">
        <f t="shared" si="29"/>
        <v>-8</v>
      </c>
      <c r="BA43" s="56">
        <f t="shared" si="29"/>
        <v>-16</v>
      </c>
      <c r="BB43" s="56">
        <f t="shared" si="29"/>
        <v>-14</v>
      </c>
      <c r="BC43" s="56">
        <f t="shared" si="30"/>
        <v>-3</v>
      </c>
      <c r="BD43" s="56">
        <f t="shared" si="30"/>
        <v>0</v>
      </c>
      <c r="BE43" s="56">
        <f t="shared" si="30"/>
        <v>-1</v>
      </c>
      <c r="BF43" s="56">
        <f t="shared" si="30"/>
        <v>-44</v>
      </c>
      <c r="BH43">
        <f t="shared" si="11"/>
        <v>0.8</v>
      </c>
      <c r="BI43">
        <f t="shared" si="20"/>
        <v>0.19999999999999996</v>
      </c>
      <c r="BJ43" s="154">
        <v>296415.35466666665</v>
      </c>
      <c r="BK43" s="155">
        <f t="shared" si="12"/>
        <v>296415.35466666665</v>
      </c>
      <c r="BL43" s="156">
        <v>330617.96000000002</v>
      </c>
      <c r="BM43" s="155">
        <f t="shared" si="13"/>
        <v>330617.96000000002</v>
      </c>
      <c r="BN43" s="158">
        <v>251036.29511111113</v>
      </c>
      <c r="BO43" s="155">
        <f t="shared" si="14"/>
        <v>251036.29511111113</v>
      </c>
      <c r="BP43" s="158">
        <v>342192.32</v>
      </c>
      <c r="BQ43" s="155">
        <f t="shared" si="15"/>
        <v>342192.32</v>
      </c>
      <c r="BR43" s="158">
        <v>149464.81955555556</v>
      </c>
      <c r="BS43" s="155">
        <f t="shared" si="16"/>
        <v>149464.81955555556</v>
      </c>
      <c r="BT43" s="194">
        <v>221466.24888888886</v>
      </c>
      <c r="BU43" s="194"/>
      <c r="BV43" s="348">
        <f t="shared" si="21"/>
        <v>221466.24888888886</v>
      </c>
      <c r="BW43" s="195">
        <f t="shared" si="17"/>
        <v>263803.28177777777</v>
      </c>
      <c r="BX43" s="157">
        <f t="shared" si="22"/>
        <v>65950.820444444442</v>
      </c>
      <c r="BY43" s="157">
        <f>IF(E43*$CJ$10*'Year 7 Payments'!$L$20*IF(B43="",1,0.8)&lt;=(BW43-(J43*350)),E43*$CJ$10*'Year 7 Payments'!$L$20*IF(B43="",1,0.8),BW43-(IF(B43="",1,0.8)*J43*350))</f>
        <v>206948.78819555556</v>
      </c>
      <c r="BZ43" s="157">
        <f t="shared" si="23"/>
        <v>51737.197048888891</v>
      </c>
      <c r="CA43" s="157">
        <f t="shared" si="24"/>
        <v>56854.493582222203</v>
      </c>
      <c r="CB43" s="157">
        <f t="shared" si="25"/>
        <v>14213.623395555551</v>
      </c>
      <c r="CC43" s="157">
        <f t="shared" si="26"/>
        <v>227417.97432888881</v>
      </c>
      <c r="CD43" s="201">
        <f t="shared" si="27"/>
        <v>56854.493582222203</v>
      </c>
      <c r="CE43" s="155">
        <f t="shared" si="28"/>
        <v>56854.493582222203</v>
      </c>
      <c r="CG43" s="200"/>
    </row>
    <row r="44" spans="1:85" x14ac:dyDescent="0.2">
      <c r="A44" s="147" t="s">
        <v>501</v>
      </c>
      <c r="B44" s="57" t="s">
        <v>452</v>
      </c>
      <c r="C44" s="57" t="s">
        <v>449</v>
      </c>
      <c r="D44" s="148" t="s">
        <v>72</v>
      </c>
      <c r="E44" s="197">
        <v>41020.555555555555</v>
      </c>
      <c r="F44" s="147">
        <f t="shared" si="18"/>
        <v>49825</v>
      </c>
      <c r="G44" s="342">
        <v>439</v>
      </c>
      <c r="H44" s="149">
        <f t="shared" si="2"/>
        <v>222</v>
      </c>
      <c r="I44" s="346">
        <v>19.362222222222243</v>
      </c>
      <c r="J44" s="150">
        <v>53</v>
      </c>
      <c r="K44"/>
      <c r="L44" s="151">
        <v>16288</v>
      </c>
      <c r="M44" s="151">
        <v>12938</v>
      </c>
      <c r="N44" s="151">
        <v>10810</v>
      </c>
      <c r="O44" s="151">
        <v>5935</v>
      </c>
      <c r="P44" s="151">
        <v>2637</v>
      </c>
      <c r="Q44" s="151">
        <v>741</v>
      </c>
      <c r="R44" s="151">
        <v>450</v>
      </c>
      <c r="S44" s="151">
        <v>26</v>
      </c>
      <c r="T44" s="151">
        <v>49825</v>
      </c>
      <c r="U44" s="147"/>
      <c r="V44" s="152">
        <f t="shared" si="19"/>
        <v>0.32690416457601607</v>
      </c>
      <c r="W44" s="152">
        <f t="shared" si="3"/>
        <v>0.25966884094330156</v>
      </c>
      <c r="X44" s="152">
        <f t="shared" si="4"/>
        <v>0.21695935775213246</v>
      </c>
      <c r="Y44" s="152">
        <f t="shared" si="5"/>
        <v>0.11911690918213748</v>
      </c>
      <c r="Z44" s="152">
        <f t="shared" si="6"/>
        <v>5.2925238334169594E-2</v>
      </c>
      <c r="AA44" s="152">
        <f t="shared" si="7"/>
        <v>1.4872052182639237E-2</v>
      </c>
      <c r="AB44" s="152">
        <f t="shared" si="8"/>
        <v>9.0316106372303057E-3</v>
      </c>
      <c r="AC44" s="152">
        <f t="shared" si="9"/>
        <v>5.2182639237330656E-4</v>
      </c>
      <c r="AD44" s="152"/>
      <c r="AE44" s="221">
        <v>77</v>
      </c>
      <c r="AF44" s="221">
        <v>28</v>
      </c>
      <c r="AG44" s="221">
        <v>5</v>
      </c>
      <c r="AH44" s="221">
        <v>29</v>
      </c>
      <c r="AI44" s="221">
        <v>21</v>
      </c>
      <c r="AJ44" s="221">
        <v>0</v>
      </c>
      <c r="AK44" s="221">
        <v>5</v>
      </c>
      <c r="AL44" s="221">
        <v>0</v>
      </c>
      <c r="AM44" s="221">
        <v>165</v>
      </c>
      <c r="AN44" s="147"/>
      <c r="AO44" s="221">
        <v>-15</v>
      </c>
      <c r="AP44" s="221">
        <v>-23</v>
      </c>
      <c r="AQ44" s="221">
        <v>-16</v>
      </c>
      <c r="AR44" s="221">
        <v>-8</v>
      </c>
      <c r="AS44" s="221">
        <v>1</v>
      </c>
      <c r="AT44" s="221">
        <v>3</v>
      </c>
      <c r="AU44" s="221">
        <v>1</v>
      </c>
      <c r="AV44" s="221">
        <v>0</v>
      </c>
      <c r="AW44" s="221">
        <v>-57</v>
      </c>
      <c r="AX44" s="56">
        <f t="shared" si="29"/>
        <v>15</v>
      </c>
      <c r="AY44" s="56">
        <f t="shared" si="29"/>
        <v>23</v>
      </c>
      <c r="AZ44" s="56">
        <f t="shared" si="29"/>
        <v>16</v>
      </c>
      <c r="BA44" s="56">
        <f t="shared" si="29"/>
        <v>8</v>
      </c>
      <c r="BB44" s="56">
        <f t="shared" si="29"/>
        <v>-1</v>
      </c>
      <c r="BC44" s="56">
        <f t="shared" si="30"/>
        <v>-3</v>
      </c>
      <c r="BD44" s="56">
        <f t="shared" si="30"/>
        <v>-1</v>
      </c>
      <c r="BE44" s="56">
        <f t="shared" si="30"/>
        <v>0</v>
      </c>
      <c r="BF44" s="56">
        <f t="shared" si="30"/>
        <v>57</v>
      </c>
      <c r="BH44">
        <f t="shared" si="11"/>
        <v>0.8</v>
      </c>
      <c r="BI44">
        <f t="shared" si="20"/>
        <v>0.19999999999999996</v>
      </c>
      <c r="BJ44" s="154">
        <v>190872.55466666666</v>
      </c>
      <c r="BK44" s="155">
        <f t="shared" si="12"/>
        <v>190872.55466666666</v>
      </c>
      <c r="BL44" s="156">
        <v>211512.75111111111</v>
      </c>
      <c r="BM44" s="155">
        <f t="shared" si="13"/>
        <v>211512.75111111111</v>
      </c>
      <c r="BN44" s="158">
        <v>208744.13511111113</v>
      </c>
      <c r="BO44" s="155">
        <f t="shared" si="14"/>
        <v>208744.13511111113</v>
      </c>
      <c r="BP44" s="158">
        <v>41482.559999999998</v>
      </c>
      <c r="BQ44" s="155">
        <f t="shared" si="15"/>
        <v>41482.559999999998</v>
      </c>
      <c r="BR44" s="158">
        <v>81032.323555555573</v>
      </c>
      <c r="BS44" s="155">
        <f t="shared" si="16"/>
        <v>81032.323555555573</v>
      </c>
      <c r="BT44" s="194">
        <v>88823.043555555574</v>
      </c>
      <c r="BU44" s="194"/>
      <c r="BV44" s="348">
        <f t="shared" si="21"/>
        <v>88823.043555555574</v>
      </c>
      <c r="BW44" s="195">
        <f t="shared" si="17"/>
        <v>239311.42755555554</v>
      </c>
      <c r="BX44" s="157">
        <f t="shared" si="22"/>
        <v>59827.856888888884</v>
      </c>
      <c r="BY44" s="157">
        <f>IF(E44*$CJ$10*'Year 7 Payments'!$L$20*IF(B44="",1,0.8)&lt;=(BW44-(J44*350)),E44*$CJ$10*'Year 7 Payments'!$L$20*IF(B44="",1,0.8),BW44-(IF(B44="",1,0.8)*J44*350))</f>
        <v>200778.88305777777</v>
      </c>
      <c r="BZ44" s="157">
        <f t="shared" si="23"/>
        <v>50194.720764444442</v>
      </c>
      <c r="CA44" s="157">
        <f t="shared" si="24"/>
        <v>38532.544497777766</v>
      </c>
      <c r="CB44" s="157">
        <f t="shared" si="25"/>
        <v>9633.1361244444415</v>
      </c>
      <c r="CC44" s="157">
        <f t="shared" si="26"/>
        <v>154130.17799111106</v>
      </c>
      <c r="CD44" s="201">
        <f t="shared" si="27"/>
        <v>38532.544497777766</v>
      </c>
      <c r="CE44" s="155">
        <f t="shared" si="28"/>
        <v>38532.544497777766</v>
      </c>
    </row>
    <row r="45" spans="1:85" x14ac:dyDescent="0.2">
      <c r="A45" s="147" t="s">
        <v>502</v>
      </c>
      <c r="B45" s="57" t="s">
        <v>503</v>
      </c>
      <c r="C45" s="57" t="s">
        <v>446</v>
      </c>
      <c r="D45" s="148" t="s">
        <v>73</v>
      </c>
      <c r="E45" s="197">
        <v>30303.555555555551</v>
      </c>
      <c r="F45" s="147">
        <f t="shared" si="18"/>
        <v>40881</v>
      </c>
      <c r="G45" s="342">
        <v>1115</v>
      </c>
      <c r="H45" s="149">
        <f t="shared" si="2"/>
        <v>177</v>
      </c>
      <c r="I45" s="346">
        <v>18.896888888888938</v>
      </c>
      <c r="J45" s="150">
        <v>95</v>
      </c>
      <c r="K45"/>
      <c r="L45" s="151">
        <v>24960</v>
      </c>
      <c r="M45" s="151">
        <v>5313</v>
      </c>
      <c r="N45" s="151">
        <v>6115</v>
      </c>
      <c r="O45" s="151">
        <v>2760</v>
      </c>
      <c r="P45" s="151">
        <v>1258</v>
      </c>
      <c r="Q45" s="151">
        <v>320</v>
      </c>
      <c r="R45" s="151">
        <v>134</v>
      </c>
      <c r="S45" s="151">
        <v>21</v>
      </c>
      <c r="T45" s="151">
        <v>40881</v>
      </c>
      <c r="U45" s="147"/>
      <c r="V45" s="152">
        <f t="shared" si="19"/>
        <v>0.61055257943788066</v>
      </c>
      <c r="W45" s="152">
        <f t="shared" si="3"/>
        <v>0.12996257430102004</v>
      </c>
      <c r="X45" s="152">
        <f t="shared" si="4"/>
        <v>0.14958048971404808</v>
      </c>
      <c r="Y45" s="152">
        <f t="shared" si="5"/>
        <v>6.75130256109195E-2</v>
      </c>
      <c r="Z45" s="152">
        <f t="shared" si="6"/>
        <v>3.0772241383527799E-2</v>
      </c>
      <c r="AA45" s="152">
        <f t="shared" si="7"/>
        <v>7.8275971722805218E-3</v>
      </c>
      <c r="AB45" s="152">
        <f t="shared" si="8"/>
        <v>3.2778063158924683E-3</v>
      </c>
      <c r="AC45" s="152">
        <f t="shared" si="9"/>
        <v>5.1368606443090924E-4</v>
      </c>
      <c r="AD45" s="152"/>
      <c r="AE45" s="221">
        <v>19</v>
      </c>
      <c r="AF45" s="221">
        <v>142</v>
      </c>
      <c r="AG45" s="221">
        <v>32</v>
      </c>
      <c r="AH45" s="221">
        <v>1</v>
      </c>
      <c r="AI45" s="221">
        <v>13</v>
      </c>
      <c r="AJ45" s="221">
        <v>0</v>
      </c>
      <c r="AK45" s="221">
        <v>4</v>
      </c>
      <c r="AL45" s="221">
        <v>0</v>
      </c>
      <c r="AM45" s="221">
        <v>211</v>
      </c>
      <c r="AN45" s="147"/>
      <c r="AO45" s="221">
        <v>-5</v>
      </c>
      <c r="AP45" s="221">
        <v>31</v>
      </c>
      <c r="AQ45" s="221">
        <v>-11</v>
      </c>
      <c r="AR45" s="221">
        <v>7</v>
      </c>
      <c r="AS45" s="221">
        <v>3</v>
      </c>
      <c r="AT45" s="221">
        <v>6</v>
      </c>
      <c r="AU45" s="221">
        <v>4</v>
      </c>
      <c r="AV45" s="221">
        <v>-1</v>
      </c>
      <c r="AW45" s="221">
        <v>34</v>
      </c>
      <c r="AX45" s="56">
        <f t="shared" si="29"/>
        <v>5</v>
      </c>
      <c r="AY45" s="56">
        <f t="shared" si="29"/>
        <v>-31</v>
      </c>
      <c r="AZ45" s="56">
        <f t="shared" si="29"/>
        <v>11</v>
      </c>
      <c r="BA45" s="56">
        <f t="shared" si="29"/>
        <v>-7</v>
      </c>
      <c r="BB45" s="56">
        <f t="shared" si="29"/>
        <v>-3</v>
      </c>
      <c r="BC45" s="56">
        <f t="shared" si="30"/>
        <v>-6</v>
      </c>
      <c r="BD45" s="56">
        <f t="shared" si="30"/>
        <v>-4</v>
      </c>
      <c r="BE45" s="56">
        <f t="shared" si="30"/>
        <v>1</v>
      </c>
      <c r="BF45" s="56">
        <f t="shared" si="30"/>
        <v>-34</v>
      </c>
      <c r="BH45">
        <f t="shared" si="11"/>
        <v>0.8</v>
      </c>
      <c r="BI45">
        <f t="shared" si="20"/>
        <v>0.19999999999999996</v>
      </c>
      <c r="BJ45" s="154">
        <v>69722.213333333333</v>
      </c>
      <c r="BK45" s="155">
        <f t="shared" si="12"/>
        <v>69722.213333333333</v>
      </c>
      <c r="BL45" s="156">
        <v>13720</v>
      </c>
      <c r="BM45" s="155">
        <f t="shared" si="13"/>
        <v>13720</v>
      </c>
      <c r="BN45" s="158">
        <v>254584.85333333339</v>
      </c>
      <c r="BO45" s="155">
        <f t="shared" si="14"/>
        <v>254584.85333333339</v>
      </c>
      <c r="BP45" s="158">
        <v>265498.34666666668</v>
      </c>
      <c r="BQ45" s="155">
        <f t="shared" si="15"/>
        <v>265498.34666666668</v>
      </c>
      <c r="BR45" s="158">
        <v>237684.88000000003</v>
      </c>
      <c r="BS45" s="155">
        <f t="shared" si="16"/>
        <v>237684.88000000003</v>
      </c>
      <c r="BT45" s="194">
        <v>161956.81599999999</v>
      </c>
      <c r="BU45" s="194"/>
      <c r="BV45" s="348">
        <f t="shared" si="21"/>
        <v>161956.81599999999</v>
      </c>
      <c r="BW45" s="195">
        <f t="shared" si="17"/>
        <v>198046.68088888889</v>
      </c>
      <c r="BX45" s="157">
        <f t="shared" si="22"/>
        <v>49511.670222222223</v>
      </c>
      <c r="BY45" s="157">
        <f>IF(E45*$CJ$10*'Year 7 Payments'!$L$20*IF(B45="",1,0.8)&lt;=(BW45-(J45*350)),E45*$CJ$10*'Year 7 Payments'!$L$20*IF(B45="",1,0.8),BW45-(IF(B45="",1,0.8)*J45*350))</f>
        <v>148323.54059377775</v>
      </c>
      <c r="BZ45" s="157">
        <f t="shared" si="23"/>
        <v>37080.885148444439</v>
      </c>
      <c r="CA45" s="157">
        <f t="shared" si="24"/>
        <v>49723.140295111138</v>
      </c>
      <c r="CB45" s="157">
        <f t="shared" si="25"/>
        <v>12430.785073777784</v>
      </c>
      <c r="CC45" s="157">
        <f t="shared" si="26"/>
        <v>198892.56118044455</v>
      </c>
      <c r="CD45" s="201">
        <f t="shared" si="27"/>
        <v>49723.140295111138</v>
      </c>
      <c r="CE45" s="155">
        <f t="shared" si="28"/>
        <v>49723.140295111138</v>
      </c>
    </row>
    <row r="46" spans="1:85" x14ac:dyDescent="0.2">
      <c r="A46" s="147" t="s">
        <v>504</v>
      </c>
      <c r="B46" s="57"/>
      <c r="C46" s="57" t="s">
        <v>446</v>
      </c>
      <c r="D46" s="148" t="s">
        <v>74</v>
      </c>
      <c r="E46" s="197">
        <v>68992.333333333328</v>
      </c>
      <c r="F46" s="147">
        <f t="shared" si="18"/>
        <v>83105</v>
      </c>
      <c r="G46" s="342">
        <v>1050</v>
      </c>
      <c r="H46" s="149">
        <f t="shared" si="2"/>
        <v>278</v>
      </c>
      <c r="I46" s="346">
        <v>0</v>
      </c>
      <c r="J46" s="150">
        <v>69</v>
      </c>
      <c r="K46"/>
      <c r="L46" s="151">
        <v>30107</v>
      </c>
      <c r="M46" s="151">
        <v>18262</v>
      </c>
      <c r="N46" s="151">
        <v>17163</v>
      </c>
      <c r="O46" s="151">
        <v>8997</v>
      </c>
      <c r="P46" s="151">
        <v>5324</v>
      </c>
      <c r="Q46" s="151">
        <v>1823</v>
      </c>
      <c r="R46" s="151">
        <v>1249</v>
      </c>
      <c r="S46" s="151">
        <v>180</v>
      </c>
      <c r="T46" s="151">
        <v>83105</v>
      </c>
      <c r="U46" s="147"/>
      <c r="V46" s="152">
        <f t="shared" si="19"/>
        <v>0.36227663798808735</v>
      </c>
      <c r="W46" s="152">
        <f t="shared" si="3"/>
        <v>0.21974610432585284</v>
      </c>
      <c r="X46" s="152">
        <f t="shared" si="4"/>
        <v>0.20652186992359065</v>
      </c>
      <c r="Y46" s="152">
        <f t="shared" si="5"/>
        <v>0.10826063413753685</v>
      </c>
      <c r="Z46" s="152">
        <f t="shared" si="6"/>
        <v>6.4063534083388482E-2</v>
      </c>
      <c r="AA46" s="152">
        <f t="shared" si="7"/>
        <v>2.1936104927501355E-2</v>
      </c>
      <c r="AB46" s="152">
        <f t="shared" si="8"/>
        <v>1.5029179953071415E-2</v>
      </c>
      <c r="AC46" s="152">
        <f t="shared" si="9"/>
        <v>2.1659346609710609E-3</v>
      </c>
      <c r="AD46" s="152"/>
      <c r="AE46" s="221">
        <v>69</v>
      </c>
      <c r="AF46" s="221">
        <v>95</v>
      </c>
      <c r="AG46" s="221">
        <v>94</v>
      </c>
      <c r="AH46" s="221">
        <v>120</v>
      </c>
      <c r="AI46" s="221">
        <v>24</v>
      </c>
      <c r="AJ46" s="221">
        <v>26</v>
      </c>
      <c r="AK46" s="221">
        <v>-7</v>
      </c>
      <c r="AL46" s="221">
        <v>0</v>
      </c>
      <c r="AM46" s="221">
        <v>421</v>
      </c>
      <c r="AN46" s="147"/>
      <c r="AO46" s="221">
        <v>77</v>
      </c>
      <c r="AP46" s="221">
        <v>15</v>
      </c>
      <c r="AQ46" s="221">
        <v>5</v>
      </c>
      <c r="AR46" s="221">
        <v>22</v>
      </c>
      <c r="AS46" s="221">
        <v>14</v>
      </c>
      <c r="AT46" s="221">
        <v>8</v>
      </c>
      <c r="AU46" s="221">
        <v>2</v>
      </c>
      <c r="AV46" s="221">
        <v>0</v>
      </c>
      <c r="AW46" s="221">
        <v>143</v>
      </c>
      <c r="AX46" s="56">
        <f t="shared" si="29"/>
        <v>-77</v>
      </c>
      <c r="AY46" s="56">
        <f t="shared" si="29"/>
        <v>-15</v>
      </c>
      <c r="AZ46" s="56">
        <f t="shared" si="29"/>
        <v>-5</v>
      </c>
      <c r="BA46" s="56">
        <f t="shared" si="29"/>
        <v>-22</v>
      </c>
      <c r="BB46" s="56">
        <f t="shared" si="29"/>
        <v>-14</v>
      </c>
      <c r="BC46" s="56">
        <f t="shared" si="30"/>
        <v>-8</v>
      </c>
      <c r="BD46" s="56">
        <f t="shared" si="30"/>
        <v>-2</v>
      </c>
      <c r="BE46" s="56">
        <f t="shared" si="30"/>
        <v>0</v>
      </c>
      <c r="BF46" s="56">
        <f t="shared" si="30"/>
        <v>-143</v>
      </c>
      <c r="BH46">
        <f t="shared" si="11"/>
        <v>1</v>
      </c>
      <c r="BI46">
        <f t="shared" si="20"/>
        <v>0</v>
      </c>
      <c r="BJ46" s="154">
        <v>253622.54666666663</v>
      </c>
      <c r="BK46" s="155">
        <f t="shared" si="12"/>
        <v>253622.54666666663</v>
      </c>
      <c r="BL46" s="156">
        <v>169483</v>
      </c>
      <c r="BM46" s="155">
        <f t="shared" si="13"/>
        <v>169483</v>
      </c>
      <c r="BN46" s="158">
        <v>566453.87444444443</v>
      </c>
      <c r="BO46" s="155">
        <f t="shared" si="14"/>
        <v>566453.87444444443</v>
      </c>
      <c r="BP46" s="158">
        <v>486143.73333333334</v>
      </c>
      <c r="BQ46" s="155">
        <f t="shared" si="15"/>
        <v>486143.73333333334</v>
      </c>
      <c r="BR46" s="158">
        <v>477453.3844444445</v>
      </c>
      <c r="BS46" s="155">
        <f t="shared" si="16"/>
        <v>477453.3844444445</v>
      </c>
      <c r="BT46" s="194">
        <v>631394.52444444422</v>
      </c>
      <c r="BU46" s="194"/>
      <c r="BV46" s="348">
        <f t="shared" si="21"/>
        <v>631394.52444444422</v>
      </c>
      <c r="BW46" s="195">
        <f t="shared" si="17"/>
        <v>417586.82222222217</v>
      </c>
      <c r="BX46" s="157" t="str">
        <f t="shared" si="22"/>
        <v>0</v>
      </c>
      <c r="BY46" s="157">
        <f>IF(E46*$CJ$10*'Year 7 Payments'!$L$20*IF(B46="",1,0.8)&lt;=(BW46-(J46*350)),E46*$CJ$10*'Year 7 Payments'!$L$20*IF(B46="",1,0.8),BW46-(IF(B46="",1,0.8)*J46*350))</f>
        <v>393436.82222222217</v>
      </c>
      <c r="BZ46" s="157" t="str">
        <f t="shared" si="23"/>
        <v>0</v>
      </c>
      <c r="CA46" s="157">
        <f t="shared" si="24"/>
        <v>24150</v>
      </c>
      <c r="CB46" s="157">
        <f t="shared" si="25"/>
        <v>0</v>
      </c>
      <c r="CC46" s="157">
        <f t="shared" si="26"/>
        <v>96600</v>
      </c>
      <c r="CD46" s="201">
        <f t="shared" si="27"/>
        <v>0</v>
      </c>
      <c r="CE46" s="155">
        <f t="shared" si="28"/>
        <v>24150</v>
      </c>
    </row>
    <row r="47" spans="1:85" x14ac:dyDescent="0.2">
      <c r="A47" s="147" t="s">
        <v>505</v>
      </c>
      <c r="B47" s="57"/>
      <c r="C47" s="57" t="s">
        <v>464</v>
      </c>
      <c r="D47" s="148" t="s">
        <v>75</v>
      </c>
      <c r="E47" s="197">
        <v>75674.888888888891</v>
      </c>
      <c r="F47" s="147">
        <f t="shared" si="18"/>
        <v>94395</v>
      </c>
      <c r="G47" s="342">
        <v>1439</v>
      </c>
      <c r="H47" s="149">
        <f t="shared" si="2"/>
        <v>540</v>
      </c>
      <c r="I47" s="346">
        <v>202.07822222222217</v>
      </c>
      <c r="J47" s="150">
        <v>15</v>
      </c>
      <c r="K47"/>
      <c r="L47" s="151">
        <v>44319</v>
      </c>
      <c r="M47" s="151">
        <v>18042</v>
      </c>
      <c r="N47" s="151">
        <v>15256</v>
      </c>
      <c r="O47" s="151">
        <v>7236</v>
      </c>
      <c r="P47" s="151">
        <v>5372</v>
      </c>
      <c r="Q47" s="151">
        <v>2825</v>
      </c>
      <c r="R47" s="151">
        <v>1290</v>
      </c>
      <c r="S47" s="151">
        <v>55</v>
      </c>
      <c r="T47" s="151">
        <v>94395</v>
      </c>
      <c r="U47" s="147"/>
      <c r="V47" s="152">
        <f t="shared" si="19"/>
        <v>0.46950580009534404</v>
      </c>
      <c r="W47" s="152">
        <f t="shared" si="3"/>
        <v>0.19113300492610838</v>
      </c>
      <c r="X47" s="152">
        <f t="shared" si="4"/>
        <v>0.1616187298056041</v>
      </c>
      <c r="Y47" s="152">
        <f t="shared" si="5"/>
        <v>7.6656602574288898E-2</v>
      </c>
      <c r="Z47" s="152">
        <f t="shared" si="6"/>
        <v>5.6909793950950791E-2</v>
      </c>
      <c r="AA47" s="152">
        <f t="shared" si="7"/>
        <v>2.9927432597065522E-2</v>
      </c>
      <c r="AB47" s="152">
        <f t="shared" si="8"/>
        <v>1.3665978070872399E-2</v>
      </c>
      <c r="AC47" s="152">
        <f t="shared" si="9"/>
        <v>5.8265797976587747E-4</v>
      </c>
      <c r="AD47" s="152"/>
      <c r="AE47" s="221">
        <v>41</v>
      </c>
      <c r="AF47" s="221">
        <v>38</v>
      </c>
      <c r="AG47" s="221">
        <v>56</v>
      </c>
      <c r="AH47" s="221">
        <v>46</v>
      </c>
      <c r="AI47" s="221">
        <v>87</v>
      </c>
      <c r="AJ47" s="221">
        <v>44</v>
      </c>
      <c r="AK47" s="221">
        <v>10</v>
      </c>
      <c r="AL47" s="221">
        <v>3</v>
      </c>
      <c r="AM47" s="221">
        <v>325</v>
      </c>
      <c r="AN47" s="147"/>
      <c r="AO47" s="221">
        <v>-148</v>
      </c>
      <c r="AP47" s="221">
        <v>-49</v>
      </c>
      <c r="AQ47" s="221">
        <v>2</v>
      </c>
      <c r="AR47" s="221">
        <v>-10</v>
      </c>
      <c r="AS47" s="221">
        <v>-1</v>
      </c>
      <c r="AT47" s="221">
        <v>-9</v>
      </c>
      <c r="AU47" s="221">
        <v>1</v>
      </c>
      <c r="AV47" s="221">
        <v>-1</v>
      </c>
      <c r="AW47" s="221">
        <v>-215</v>
      </c>
      <c r="AX47" s="56">
        <f t="shared" si="29"/>
        <v>148</v>
      </c>
      <c r="AY47" s="56">
        <f t="shared" si="29"/>
        <v>49</v>
      </c>
      <c r="AZ47" s="56">
        <f t="shared" si="29"/>
        <v>-2</v>
      </c>
      <c r="BA47" s="56">
        <f t="shared" si="29"/>
        <v>10</v>
      </c>
      <c r="BB47" s="56">
        <f t="shared" si="29"/>
        <v>1</v>
      </c>
      <c r="BC47" s="56">
        <f t="shared" si="30"/>
        <v>9</v>
      </c>
      <c r="BD47" s="56">
        <f t="shared" si="30"/>
        <v>-1</v>
      </c>
      <c r="BE47" s="56">
        <f t="shared" si="30"/>
        <v>1</v>
      </c>
      <c r="BF47" s="56">
        <f t="shared" si="30"/>
        <v>215</v>
      </c>
      <c r="BH47">
        <f t="shared" si="11"/>
        <v>1</v>
      </c>
      <c r="BI47">
        <f t="shared" si="20"/>
        <v>0</v>
      </c>
      <c r="BJ47" s="154">
        <v>724567.31333333335</v>
      </c>
      <c r="BK47" s="155">
        <f t="shared" si="12"/>
        <v>724567.31333333335</v>
      </c>
      <c r="BL47" s="156">
        <v>999065.36777777772</v>
      </c>
      <c r="BM47" s="155">
        <f t="shared" si="13"/>
        <v>999065.36777777772</v>
      </c>
      <c r="BN47" s="158">
        <v>685061.06222222233</v>
      </c>
      <c r="BO47" s="155">
        <f t="shared" si="14"/>
        <v>685061.06222222233</v>
      </c>
      <c r="BP47" s="158">
        <v>529925.33333333326</v>
      </c>
      <c r="BQ47" s="155">
        <f t="shared" si="15"/>
        <v>529925.33333333326</v>
      </c>
      <c r="BR47" s="158">
        <v>832921.73555555556</v>
      </c>
      <c r="BS47" s="155">
        <f t="shared" si="16"/>
        <v>832921.73555555556</v>
      </c>
      <c r="BT47" s="194">
        <v>347457.81777777779</v>
      </c>
      <c r="BU47" s="194"/>
      <c r="BV47" s="348">
        <f t="shared" si="21"/>
        <v>347457.81777777779</v>
      </c>
      <c r="BW47" s="195">
        <f t="shared" si="17"/>
        <v>777337.89777777786</v>
      </c>
      <c r="BX47" s="157" t="str">
        <f t="shared" si="22"/>
        <v>0</v>
      </c>
      <c r="BY47" s="157">
        <f>IF(E47*$CJ$10*'Year 7 Payments'!$L$20*IF(B47="",1,0.8)&lt;=(BW47-(J47*350)),E47*$CJ$10*'Year 7 Payments'!$L$20*IF(B47="",1,0.8),BW47-(IF(B47="",1,0.8)*J47*350))</f>
        <v>462997.1321955556</v>
      </c>
      <c r="BZ47" s="157" t="str">
        <f t="shared" si="23"/>
        <v>0</v>
      </c>
      <c r="CA47" s="157">
        <f t="shared" si="24"/>
        <v>314340.76558222226</v>
      </c>
      <c r="CB47" s="157">
        <f t="shared" si="25"/>
        <v>0</v>
      </c>
      <c r="CC47" s="157">
        <f t="shared" si="26"/>
        <v>1257363.062328889</v>
      </c>
      <c r="CD47" s="201">
        <f t="shared" si="27"/>
        <v>0</v>
      </c>
      <c r="CE47" s="155">
        <f t="shared" si="28"/>
        <v>314340.76558222226</v>
      </c>
    </row>
    <row r="48" spans="1:85" x14ac:dyDescent="0.2">
      <c r="A48" s="147" t="s">
        <v>506</v>
      </c>
      <c r="B48" s="57" t="s">
        <v>507</v>
      </c>
      <c r="C48" s="57" t="s">
        <v>459</v>
      </c>
      <c r="D48" s="148" t="s">
        <v>76</v>
      </c>
      <c r="E48" s="197">
        <v>52926.222222222219</v>
      </c>
      <c r="F48" s="147">
        <f t="shared" si="18"/>
        <v>54492</v>
      </c>
      <c r="G48" s="342">
        <v>190</v>
      </c>
      <c r="H48" s="149">
        <f t="shared" si="2"/>
        <v>1091</v>
      </c>
      <c r="I48" s="346">
        <v>914.7395555555554</v>
      </c>
      <c r="J48" s="150">
        <v>150</v>
      </c>
      <c r="K48"/>
      <c r="L48" s="151">
        <v>3582</v>
      </c>
      <c r="M48" s="151">
        <v>9985</v>
      </c>
      <c r="N48" s="151">
        <v>18886</v>
      </c>
      <c r="O48" s="151">
        <v>9558</v>
      </c>
      <c r="P48" s="151">
        <v>5446</v>
      </c>
      <c r="Q48" s="151">
        <v>3529</v>
      </c>
      <c r="R48" s="151">
        <v>3032</v>
      </c>
      <c r="S48" s="151">
        <v>474</v>
      </c>
      <c r="T48" s="151">
        <v>54492</v>
      </c>
      <c r="U48" s="147"/>
      <c r="V48" s="152">
        <f t="shared" si="19"/>
        <v>6.5734419731336716E-2</v>
      </c>
      <c r="W48" s="152">
        <f t="shared" si="3"/>
        <v>0.18323790648168539</v>
      </c>
      <c r="X48" s="152">
        <f t="shared" si="4"/>
        <v>0.34658298465829845</v>
      </c>
      <c r="Y48" s="152">
        <f t="shared" si="5"/>
        <v>0.17540189385597885</v>
      </c>
      <c r="Z48" s="152">
        <f t="shared" si="6"/>
        <v>9.9941275783601263E-2</v>
      </c>
      <c r="AA48" s="152">
        <f t="shared" si="7"/>
        <v>6.4761799897232616E-2</v>
      </c>
      <c r="AB48" s="152">
        <f t="shared" si="8"/>
        <v>5.5641195037803716E-2</v>
      </c>
      <c r="AC48" s="152">
        <f t="shared" si="9"/>
        <v>8.6985245540629821E-3</v>
      </c>
      <c r="AD48" s="152"/>
      <c r="AE48" s="221">
        <v>142</v>
      </c>
      <c r="AF48" s="221">
        <v>143</v>
      </c>
      <c r="AG48" s="221">
        <v>242</v>
      </c>
      <c r="AH48" s="221">
        <v>202</v>
      </c>
      <c r="AI48" s="221">
        <v>111</v>
      </c>
      <c r="AJ48" s="221">
        <v>99</v>
      </c>
      <c r="AK48" s="221">
        <v>85</v>
      </c>
      <c r="AL48" s="221">
        <v>12</v>
      </c>
      <c r="AM48" s="221">
        <v>1036</v>
      </c>
      <c r="AN48" s="147"/>
      <c r="AO48" s="221">
        <v>-5</v>
      </c>
      <c r="AP48" s="221">
        <v>-9</v>
      </c>
      <c r="AQ48" s="221">
        <v>-22</v>
      </c>
      <c r="AR48" s="221">
        <v>-4</v>
      </c>
      <c r="AS48" s="221">
        <v>-7</v>
      </c>
      <c r="AT48" s="221">
        <v>3</v>
      </c>
      <c r="AU48" s="221">
        <v>-3</v>
      </c>
      <c r="AV48" s="221">
        <v>-8</v>
      </c>
      <c r="AW48" s="221">
        <v>-55</v>
      </c>
      <c r="AX48" s="56">
        <f t="shared" si="29"/>
        <v>5</v>
      </c>
      <c r="AY48" s="56">
        <f t="shared" si="29"/>
        <v>9</v>
      </c>
      <c r="AZ48" s="56">
        <f t="shared" si="29"/>
        <v>22</v>
      </c>
      <c r="BA48" s="56">
        <f t="shared" si="29"/>
        <v>4</v>
      </c>
      <c r="BB48" s="56">
        <f t="shared" si="29"/>
        <v>7</v>
      </c>
      <c r="BC48" s="56">
        <f t="shared" si="30"/>
        <v>-3</v>
      </c>
      <c r="BD48" s="56">
        <f t="shared" si="30"/>
        <v>3</v>
      </c>
      <c r="BE48" s="56">
        <f t="shared" si="30"/>
        <v>8</v>
      </c>
      <c r="BF48" s="56">
        <f t="shared" si="30"/>
        <v>55</v>
      </c>
      <c r="BH48">
        <f t="shared" si="11"/>
        <v>0.8</v>
      </c>
      <c r="BI48">
        <f t="shared" si="20"/>
        <v>0.19999999999999996</v>
      </c>
      <c r="BJ48" s="154">
        <v>786645.66933333338</v>
      </c>
      <c r="BK48" s="155">
        <f t="shared" si="12"/>
        <v>786645.66933333338</v>
      </c>
      <c r="BL48" s="156">
        <v>734897.95466666669</v>
      </c>
      <c r="BM48" s="155">
        <f t="shared" si="13"/>
        <v>734897.95466666669</v>
      </c>
      <c r="BN48" s="158">
        <v>563739.38844444451</v>
      </c>
      <c r="BO48" s="155">
        <f t="shared" si="14"/>
        <v>563739.38844444451</v>
      </c>
      <c r="BP48" s="158">
        <v>1290692.5866666667</v>
      </c>
      <c r="BQ48" s="155">
        <f t="shared" si="15"/>
        <v>1290692.5866666667</v>
      </c>
      <c r="BR48" s="158">
        <v>1587213.3511111112</v>
      </c>
      <c r="BS48" s="155">
        <f t="shared" si="16"/>
        <v>1587213.3511111112</v>
      </c>
      <c r="BT48" s="194">
        <v>1360104.4800000002</v>
      </c>
      <c r="BU48" s="194"/>
      <c r="BV48" s="348">
        <f t="shared" si="21"/>
        <v>1360104.4800000002</v>
      </c>
      <c r="BW48" s="195">
        <f t="shared" si="17"/>
        <v>1420371.4915555557</v>
      </c>
      <c r="BX48" s="157">
        <f t="shared" si="22"/>
        <v>355092.87288888893</v>
      </c>
      <c r="BY48" s="157">
        <f>IF(E48*$CJ$10*'Year 7 Payments'!$L$20*IF(B48="",1,0.8)&lt;=(BW48-(J48*350)),E48*$CJ$10*'Year 7 Payments'!$L$20*IF(B48="",1,0.8),BW48-(IF(B48="",1,0.8)*J48*350))</f>
        <v>259052.26387911109</v>
      </c>
      <c r="BZ48" s="157">
        <f t="shared" si="23"/>
        <v>64763.065969777774</v>
      </c>
      <c r="CA48" s="157">
        <f t="shared" si="24"/>
        <v>1161319.2276764447</v>
      </c>
      <c r="CB48" s="157">
        <f t="shared" si="25"/>
        <v>290329.80691911117</v>
      </c>
      <c r="CC48" s="157">
        <f t="shared" si="26"/>
        <v>4645276.9107057787</v>
      </c>
      <c r="CD48" s="201">
        <f t="shared" si="27"/>
        <v>1161319.2276764447</v>
      </c>
      <c r="CE48" s="155">
        <f t="shared" si="28"/>
        <v>1161319.2276764447</v>
      </c>
    </row>
    <row r="49" spans="1:83" x14ac:dyDescent="0.2">
      <c r="A49" s="147" t="s">
        <v>508</v>
      </c>
      <c r="B49" s="57"/>
      <c r="C49" s="57" t="s">
        <v>461</v>
      </c>
      <c r="D49" s="148" t="s">
        <v>77</v>
      </c>
      <c r="E49" s="197">
        <v>120656.88888888891</v>
      </c>
      <c r="F49" s="147">
        <f>T49</f>
        <v>107751</v>
      </c>
      <c r="G49" s="342">
        <v>1114</v>
      </c>
      <c r="H49" s="149">
        <f t="shared" si="2"/>
        <v>1079</v>
      </c>
      <c r="I49" s="346">
        <v>775.8168888888888</v>
      </c>
      <c r="J49" s="150">
        <v>196</v>
      </c>
      <c r="K49"/>
      <c r="L49" s="151">
        <v>3687</v>
      </c>
      <c r="M49" s="151">
        <v>12002</v>
      </c>
      <c r="N49" s="151">
        <v>20295</v>
      </c>
      <c r="O49" s="151">
        <v>25667</v>
      </c>
      <c r="P49" s="151">
        <v>17947</v>
      </c>
      <c r="Q49" s="151">
        <v>11342</v>
      </c>
      <c r="R49" s="151">
        <v>12256</v>
      </c>
      <c r="S49" s="151">
        <v>4555</v>
      </c>
      <c r="T49" s="151">
        <v>107751</v>
      </c>
      <c r="U49" s="147"/>
      <c r="V49" s="152">
        <f t="shared" si="19"/>
        <v>3.4217779881393212E-2</v>
      </c>
      <c r="W49" s="152">
        <f t="shared" si="3"/>
        <v>0.11138643724884224</v>
      </c>
      <c r="X49" s="152">
        <f t="shared" si="4"/>
        <v>0.18835092017707492</v>
      </c>
      <c r="Y49" s="152">
        <f t="shared" si="5"/>
        <v>0.23820660597117427</v>
      </c>
      <c r="Z49" s="152">
        <f t="shared" si="6"/>
        <v>0.1665599391188945</v>
      </c>
      <c r="AA49" s="152">
        <f t="shared" si="7"/>
        <v>0.105261204072352</v>
      </c>
      <c r="AB49" s="152">
        <f t="shared" si="8"/>
        <v>0.11374372395615819</v>
      </c>
      <c r="AC49" s="152">
        <f t="shared" si="9"/>
        <v>4.2273389574110684E-2</v>
      </c>
      <c r="AD49" s="152"/>
      <c r="AE49" s="221">
        <v>18</v>
      </c>
      <c r="AF49" s="221">
        <v>91</v>
      </c>
      <c r="AG49" s="221">
        <v>157</v>
      </c>
      <c r="AH49" s="221">
        <v>203</v>
      </c>
      <c r="AI49" s="221">
        <v>190</v>
      </c>
      <c r="AJ49" s="221">
        <v>215</v>
      </c>
      <c r="AK49" s="221">
        <v>121</v>
      </c>
      <c r="AL49" s="221">
        <v>60</v>
      </c>
      <c r="AM49" s="221">
        <v>1055</v>
      </c>
      <c r="AN49" s="147"/>
      <c r="AO49" s="221">
        <v>-7</v>
      </c>
      <c r="AP49" s="221">
        <v>-27</v>
      </c>
      <c r="AQ49" s="221">
        <v>-46</v>
      </c>
      <c r="AR49" s="221">
        <v>-19</v>
      </c>
      <c r="AS49" s="221">
        <v>26</v>
      </c>
      <c r="AT49" s="221">
        <v>22</v>
      </c>
      <c r="AU49" s="221">
        <v>2</v>
      </c>
      <c r="AV49" s="221">
        <v>25</v>
      </c>
      <c r="AW49" s="221">
        <v>-24</v>
      </c>
      <c r="AX49" s="56">
        <f t="shared" si="29"/>
        <v>7</v>
      </c>
      <c r="AY49" s="56">
        <f t="shared" si="29"/>
        <v>27</v>
      </c>
      <c r="AZ49" s="56">
        <f t="shared" si="29"/>
        <v>46</v>
      </c>
      <c r="BA49" s="56">
        <f t="shared" si="29"/>
        <v>19</v>
      </c>
      <c r="BB49" s="56">
        <f t="shared" si="29"/>
        <v>-26</v>
      </c>
      <c r="BC49" s="56">
        <f t="shared" si="30"/>
        <v>-22</v>
      </c>
      <c r="BD49" s="56">
        <f t="shared" si="30"/>
        <v>-2</v>
      </c>
      <c r="BE49" s="56">
        <f t="shared" si="30"/>
        <v>-25</v>
      </c>
      <c r="BF49" s="56">
        <f t="shared" si="30"/>
        <v>24</v>
      </c>
      <c r="BH49">
        <f t="shared" si="11"/>
        <v>1</v>
      </c>
      <c r="BI49">
        <f t="shared" si="20"/>
        <v>0</v>
      </c>
      <c r="BJ49" s="154">
        <v>1767042.3333333333</v>
      </c>
      <c r="BK49" s="155">
        <f t="shared" si="12"/>
        <v>1767042.3333333333</v>
      </c>
      <c r="BL49" s="156">
        <v>1129551.3466666664</v>
      </c>
      <c r="BM49" s="155">
        <f t="shared" si="13"/>
        <v>1129551.3466666664</v>
      </c>
      <c r="BN49" s="158">
        <v>1319184.4577777779</v>
      </c>
      <c r="BO49" s="155">
        <f t="shared" si="14"/>
        <v>1319184.4577777779</v>
      </c>
      <c r="BP49" s="158">
        <v>1057994.5333333332</v>
      </c>
      <c r="BQ49" s="155">
        <f t="shared" si="15"/>
        <v>1057994.5333333332</v>
      </c>
      <c r="BR49" s="158">
        <v>2283509.9000000004</v>
      </c>
      <c r="BS49" s="155">
        <f t="shared" si="16"/>
        <v>2283509.9000000004</v>
      </c>
      <c r="BT49" s="194">
        <v>1683461.22</v>
      </c>
      <c r="BU49" s="194"/>
      <c r="BV49" s="348">
        <f t="shared" si="21"/>
        <v>1683461.22</v>
      </c>
      <c r="BW49" s="195">
        <f t="shared" si="17"/>
        <v>1993466.2844444446</v>
      </c>
      <c r="BX49" s="157" t="str">
        <f t="shared" si="22"/>
        <v>0</v>
      </c>
      <c r="BY49" s="157">
        <f>IF(E49*$CJ$10*'Year 7 Payments'!$L$20*IF(B49="",1,0.8)&lt;=(BW49-(J49*350)),E49*$CJ$10*'Year 7 Payments'!$L$20*IF(B49="",1,0.8),BW49-(IF(B49="",1,0.8)*J49*350))</f>
        <v>738207.80387555563</v>
      </c>
      <c r="BZ49" s="157" t="str">
        <f t="shared" si="23"/>
        <v>0</v>
      </c>
      <c r="CA49" s="157">
        <f t="shared" si="24"/>
        <v>1255258.4805688891</v>
      </c>
      <c r="CB49" s="157">
        <f t="shared" si="25"/>
        <v>0</v>
      </c>
      <c r="CC49" s="157">
        <f t="shared" si="26"/>
        <v>5021033.9222755563</v>
      </c>
      <c r="CD49" s="201">
        <f t="shared" si="27"/>
        <v>0</v>
      </c>
      <c r="CE49" s="155">
        <f t="shared" si="28"/>
        <v>1255258.4805688891</v>
      </c>
    </row>
    <row r="50" spans="1:83" x14ac:dyDescent="0.2">
      <c r="A50" s="147" t="s">
        <v>509</v>
      </c>
      <c r="B50" s="57" t="s">
        <v>510</v>
      </c>
      <c r="C50" s="57" t="s">
        <v>476</v>
      </c>
      <c r="D50" s="148" t="s">
        <v>78</v>
      </c>
      <c r="E50" s="197">
        <v>34394.777777777781</v>
      </c>
      <c r="F50" s="147">
        <f t="shared" si="18"/>
        <v>42523</v>
      </c>
      <c r="G50" s="342">
        <v>307</v>
      </c>
      <c r="H50" s="149">
        <f t="shared" si="2"/>
        <v>268</v>
      </c>
      <c r="I50" s="346">
        <v>121.64311111111104</v>
      </c>
      <c r="J50" s="150">
        <v>24</v>
      </c>
      <c r="K50"/>
      <c r="L50" s="151">
        <v>13817</v>
      </c>
      <c r="M50" s="151">
        <v>13497</v>
      </c>
      <c r="N50" s="151">
        <v>7806</v>
      </c>
      <c r="O50" s="151">
        <v>4796</v>
      </c>
      <c r="P50" s="151">
        <v>1711</v>
      </c>
      <c r="Q50" s="151">
        <v>606</v>
      </c>
      <c r="R50" s="151">
        <v>273</v>
      </c>
      <c r="S50" s="151">
        <v>17</v>
      </c>
      <c r="T50" s="151">
        <v>42523</v>
      </c>
      <c r="U50" s="147"/>
      <c r="V50" s="152">
        <f t="shared" si="19"/>
        <v>0.32493003786186297</v>
      </c>
      <c r="W50" s="152">
        <f t="shared" si="3"/>
        <v>0.31740469863368059</v>
      </c>
      <c r="X50" s="152">
        <f t="shared" si="4"/>
        <v>0.1835712437974743</v>
      </c>
      <c r="Y50" s="152">
        <f t="shared" si="5"/>
        <v>0.11278602168238365</v>
      </c>
      <c r="Z50" s="152">
        <f t="shared" si="6"/>
        <v>4.0237048185687747E-2</v>
      </c>
      <c r="AA50" s="152">
        <f t="shared" si="7"/>
        <v>1.4251111163370411E-2</v>
      </c>
      <c r="AB50" s="152">
        <f t="shared" si="8"/>
        <v>6.4200550290431065E-3</v>
      </c>
      <c r="AC50" s="152">
        <f t="shared" si="9"/>
        <v>3.9978364649718973E-4</v>
      </c>
      <c r="AD50" s="152"/>
      <c r="AE50" s="221">
        <v>19</v>
      </c>
      <c r="AF50" s="221">
        <v>37</v>
      </c>
      <c r="AG50" s="221">
        <v>111</v>
      </c>
      <c r="AH50" s="221">
        <v>78</v>
      </c>
      <c r="AI50" s="221">
        <v>19</v>
      </c>
      <c r="AJ50" s="221">
        <v>23</v>
      </c>
      <c r="AK50" s="221">
        <v>3</v>
      </c>
      <c r="AL50" s="221">
        <v>0</v>
      </c>
      <c r="AM50" s="221">
        <v>290</v>
      </c>
      <c r="AN50" s="147"/>
      <c r="AO50" s="221">
        <v>-9</v>
      </c>
      <c r="AP50" s="221">
        <v>19</v>
      </c>
      <c r="AQ50" s="221">
        <v>11</v>
      </c>
      <c r="AR50" s="221">
        <v>2</v>
      </c>
      <c r="AS50" s="221">
        <v>-2</v>
      </c>
      <c r="AT50" s="221">
        <v>-1</v>
      </c>
      <c r="AU50" s="221">
        <v>1</v>
      </c>
      <c r="AV50" s="221">
        <v>1</v>
      </c>
      <c r="AW50" s="221">
        <v>22</v>
      </c>
      <c r="AX50" s="56">
        <f t="shared" si="29"/>
        <v>9</v>
      </c>
      <c r="AY50" s="56">
        <f t="shared" si="29"/>
        <v>-19</v>
      </c>
      <c r="AZ50" s="56">
        <f t="shared" si="29"/>
        <v>-11</v>
      </c>
      <c r="BA50" s="56">
        <f t="shared" si="29"/>
        <v>-2</v>
      </c>
      <c r="BB50" s="56">
        <f t="shared" si="29"/>
        <v>2</v>
      </c>
      <c r="BC50" s="56">
        <f t="shared" si="30"/>
        <v>1</v>
      </c>
      <c r="BD50" s="56">
        <f t="shared" si="30"/>
        <v>-1</v>
      </c>
      <c r="BE50" s="56">
        <f t="shared" si="30"/>
        <v>-1</v>
      </c>
      <c r="BF50" s="56">
        <f t="shared" si="30"/>
        <v>-22</v>
      </c>
      <c r="BH50">
        <f t="shared" si="11"/>
        <v>0.8</v>
      </c>
      <c r="BI50">
        <f t="shared" si="20"/>
        <v>0.19999999999999996</v>
      </c>
      <c r="BJ50" s="154">
        <v>153260.93866666665</v>
      </c>
      <c r="BK50" s="155">
        <f t="shared" si="12"/>
        <v>153260.93866666665</v>
      </c>
      <c r="BL50" s="156">
        <v>430916.91644444439</v>
      </c>
      <c r="BM50" s="155">
        <f t="shared" si="13"/>
        <v>430916.91644444439</v>
      </c>
      <c r="BN50" s="158">
        <v>120522.24711111114</v>
      </c>
      <c r="BO50" s="155">
        <f t="shared" si="14"/>
        <v>120522.24711111114</v>
      </c>
      <c r="BP50" s="158">
        <v>301564.79999999999</v>
      </c>
      <c r="BQ50" s="155">
        <f t="shared" si="15"/>
        <v>301564.79999999999</v>
      </c>
      <c r="BR50" s="158">
        <v>205237.02755555554</v>
      </c>
      <c r="BS50" s="155">
        <f t="shared" si="16"/>
        <v>205237.02755555554</v>
      </c>
      <c r="BT50" s="194">
        <v>191864.78577777778</v>
      </c>
      <c r="BU50" s="194"/>
      <c r="BV50" s="348">
        <f t="shared" si="21"/>
        <v>191864.78577777778</v>
      </c>
      <c r="BW50" s="195">
        <f t="shared" si="17"/>
        <v>323916.75377777778</v>
      </c>
      <c r="BX50" s="157">
        <f t="shared" si="22"/>
        <v>80979.188444444444</v>
      </c>
      <c r="BY50" s="157">
        <f>IF(E50*$CJ$10*'Year 7 Payments'!$L$20*IF(B50="",1,0.8)&lt;=(BW50-(J50*350)),E50*$CJ$10*'Year 7 Payments'!$L$20*IF(B50="",1,0.8),BW50-(IF(B50="",1,0.8)*J50*350))</f>
        <v>168348.40415288892</v>
      </c>
      <c r="BZ50" s="157">
        <f t="shared" si="23"/>
        <v>42087.10103822223</v>
      </c>
      <c r="CA50" s="157">
        <f t="shared" si="24"/>
        <v>155568.34962488886</v>
      </c>
      <c r="CB50" s="157">
        <f t="shared" si="25"/>
        <v>38892.087406222214</v>
      </c>
      <c r="CC50" s="157">
        <f t="shared" si="26"/>
        <v>622273.39849955542</v>
      </c>
      <c r="CD50" s="201">
        <f t="shared" si="27"/>
        <v>155568.34962488886</v>
      </c>
      <c r="CE50" s="155">
        <f t="shared" si="28"/>
        <v>155568.34962488886</v>
      </c>
    </row>
    <row r="51" spans="1:83" x14ac:dyDescent="0.2">
      <c r="A51" s="147" t="s">
        <v>511</v>
      </c>
      <c r="B51" s="57" t="s">
        <v>454</v>
      </c>
      <c r="C51" s="57" t="s">
        <v>443</v>
      </c>
      <c r="D51" s="148" t="s">
        <v>79</v>
      </c>
      <c r="E51" s="197">
        <v>63248.555555555547</v>
      </c>
      <c r="F51" s="147">
        <f t="shared" si="18"/>
        <v>66464</v>
      </c>
      <c r="G51" s="342">
        <v>599</v>
      </c>
      <c r="H51" s="149">
        <f t="shared" si="2"/>
        <v>76</v>
      </c>
      <c r="I51" s="346">
        <v>0</v>
      </c>
      <c r="J51" s="150">
        <v>56</v>
      </c>
      <c r="K51"/>
      <c r="L51" s="151">
        <v>6346</v>
      </c>
      <c r="M51" s="151">
        <v>13433</v>
      </c>
      <c r="N51" s="151">
        <v>20558</v>
      </c>
      <c r="O51" s="151">
        <v>12916</v>
      </c>
      <c r="P51" s="151">
        <v>7058</v>
      </c>
      <c r="Q51" s="151">
        <v>3913</v>
      </c>
      <c r="R51" s="151">
        <v>2127</v>
      </c>
      <c r="S51" s="151">
        <v>113</v>
      </c>
      <c r="T51" s="151">
        <v>66464</v>
      </c>
      <c r="U51" s="147"/>
      <c r="V51" s="152">
        <f t="shared" si="19"/>
        <v>9.5480259990370728E-2</v>
      </c>
      <c r="W51" s="152">
        <f t="shared" si="3"/>
        <v>0.20210941261434762</v>
      </c>
      <c r="X51" s="152">
        <f t="shared" si="4"/>
        <v>0.30931030332209919</v>
      </c>
      <c r="Y51" s="152">
        <f t="shared" si="5"/>
        <v>0.19433076552720269</v>
      </c>
      <c r="Z51" s="152">
        <f t="shared" si="6"/>
        <v>0.10619282619162253</v>
      </c>
      <c r="AA51" s="152">
        <f t="shared" si="7"/>
        <v>5.8873976889744821E-2</v>
      </c>
      <c r="AB51" s="152">
        <f t="shared" si="8"/>
        <v>3.2002286952335098E-2</v>
      </c>
      <c r="AC51" s="152">
        <f t="shared" si="9"/>
        <v>1.7001685122773232E-3</v>
      </c>
      <c r="AD51" s="152"/>
      <c r="AE51" s="221">
        <v>44</v>
      </c>
      <c r="AF51" s="221">
        <v>20</v>
      </c>
      <c r="AG51" s="221">
        <v>64</v>
      </c>
      <c r="AH51" s="221">
        <v>45</v>
      </c>
      <c r="AI51" s="221">
        <v>60</v>
      </c>
      <c r="AJ51" s="221">
        <v>33</v>
      </c>
      <c r="AK51" s="221">
        <v>10</v>
      </c>
      <c r="AL51" s="221">
        <v>3</v>
      </c>
      <c r="AM51" s="221">
        <v>279</v>
      </c>
      <c r="AN51" s="147"/>
      <c r="AO51" s="221">
        <v>53</v>
      </c>
      <c r="AP51" s="221">
        <v>44</v>
      </c>
      <c r="AQ51" s="221">
        <v>33</v>
      </c>
      <c r="AR51" s="221">
        <v>47</v>
      </c>
      <c r="AS51" s="221">
        <v>22</v>
      </c>
      <c r="AT51" s="221">
        <v>1</v>
      </c>
      <c r="AU51" s="221">
        <v>4</v>
      </c>
      <c r="AV51" s="221">
        <v>-1</v>
      </c>
      <c r="AW51" s="221">
        <v>203</v>
      </c>
      <c r="AX51" s="56">
        <f t="shared" si="29"/>
        <v>-53</v>
      </c>
      <c r="AY51" s="56">
        <f t="shared" si="29"/>
        <v>-44</v>
      </c>
      <c r="AZ51" s="56">
        <f t="shared" si="29"/>
        <v>-33</v>
      </c>
      <c r="BA51" s="56">
        <f t="shared" si="29"/>
        <v>-47</v>
      </c>
      <c r="BB51" s="56">
        <f t="shared" si="29"/>
        <v>-22</v>
      </c>
      <c r="BC51" s="56">
        <f t="shared" si="30"/>
        <v>-1</v>
      </c>
      <c r="BD51" s="56">
        <f t="shared" si="30"/>
        <v>-4</v>
      </c>
      <c r="BE51" s="56">
        <f t="shared" si="30"/>
        <v>1</v>
      </c>
      <c r="BF51" s="56">
        <f t="shared" si="30"/>
        <v>-203</v>
      </c>
      <c r="BH51">
        <f t="shared" si="11"/>
        <v>0.8</v>
      </c>
      <c r="BI51">
        <f t="shared" si="20"/>
        <v>0.19999999999999996</v>
      </c>
      <c r="BJ51" s="154">
        <v>440593.21599999996</v>
      </c>
      <c r="BK51" s="155">
        <f t="shared" si="12"/>
        <v>440593.21599999996</v>
      </c>
      <c r="BL51" s="156">
        <v>469118.70222222223</v>
      </c>
      <c r="BM51" s="155">
        <f t="shared" si="13"/>
        <v>469118.70222222223</v>
      </c>
      <c r="BN51" s="158">
        <v>594865.92000000004</v>
      </c>
      <c r="BO51" s="155">
        <f t="shared" si="14"/>
        <v>594865.92000000004</v>
      </c>
      <c r="BP51" s="158">
        <v>1022264.7466666666</v>
      </c>
      <c r="BQ51" s="155">
        <f t="shared" si="15"/>
        <v>1022264.7466666666</v>
      </c>
      <c r="BR51" s="158">
        <v>475875.37600000011</v>
      </c>
      <c r="BS51" s="155">
        <f t="shared" si="16"/>
        <v>475875.37600000011</v>
      </c>
      <c r="BT51" s="194">
        <v>301652.92266666674</v>
      </c>
      <c r="BU51" s="194"/>
      <c r="BV51" s="348">
        <f t="shared" si="21"/>
        <v>301652.92266666674</v>
      </c>
      <c r="BW51" s="195">
        <f t="shared" si="17"/>
        <v>152184.7324444445</v>
      </c>
      <c r="BX51" s="157">
        <f t="shared" si="22"/>
        <v>38046.183111111124</v>
      </c>
      <c r="BY51" s="157">
        <f>IF(E51*$CJ$10*'Year 7 Payments'!$L$20*IF(B51="",1,0.8)&lt;=(BW51-(J51*350)),E51*$CJ$10*'Year 7 Payments'!$L$20*IF(B51="",1,0.8),BW51-(IF(B51="",1,0.8)*J51*350))</f>
        <v>136504.7324444445</v>
      </c>
      <c r="BZ51" s="157">
        <f t="shared" si="23"/>
        <v>34126.183111111124</v>
      </c>
      <c r="CA51" s="157">
        <f t="shared" si="24"/>
        <v>15680</v>
      </c>
      <c r="CB51" s="157">
        <f t="shared" si="25"/>
        <v>3920</v>
      </c>
      <c r="CC51" s="157">
        <f t="shared" si="26"/>
        <v>62720</v>
      </c>
      <c r="CD51" s="201">
        <f t="shared" si="27"/>
        <v>15680</v>
      </c>
      <c r="CE51" s="155">
        <f t="shared" si="28"/>
        <v>15680</v>
      </c>
    </row>
    <row r="52" spans="1:83" x14ac:dyDescent="0.2">
      <c r="A52" s="147" t="s">
        <v>512</v>
      </c>
      <c r="B52" s="57" t="s">
        <v>445</v>
      </c>
      <c r="C52" s="57" t="s">
        <v>446</v>
      </c>
      <c r="D52" s="148" t="s">
        <v>80</v>
      </c>
      <c r="E52" s="197">
        <v>40855.222222222226</v>
      </c>
      <c r="F52" s="147">
        <f t="shared" si="18"/>
        <v>51405</v>
      </c>
      <c r="G52" s="342">
        <v>553</v>
      </c>
      <c r="H52" s="149">
        <f t="shared" si="2"/>
        <v>572</v>
      </c>
      <c r="I52" s="346">
        <v>376.46800000000013</v>
      </c>
      <c r="J52" s="150">
        <v>55</v>
      </c>
      <c r="K52"/>
      <c r="L52" s="151">
        <v>22376</v>
      </c>
      <c r="M52" s="151">
        <v>11865</v>
      </c>
      <c r="N52" s="151">
        <v>7586</v>
      </c>
      <c r="O52" s="151">
        <v>5383</v>
      </c>
      <c r="P52" s="151">
        <v>2690</v>
      </c>
      <c r="Q52" s="151">
        <v>1117</v>
      </c>
      <c r="R52" s="151">
        <v>358</v>
      </c>
      <c r="S52" s="151">
        <v>30</v>
      </c>
      <c r="T52" s="151">
        <v>51405</v>
      </c>
      <c r="U52" s="147"/>
      <c r="V52" s="152">
        <f t="shared" si="19"/>
        <v>0.43528839607042119</v>
      </c>
      <c r="W52" s="152">
        <f t="shared" si="3"/>
        <v>0.2308141231397724</v>
      </c>
      <c r="X52" s="152">
        <f t="shared" si="4"/>
        <v>0.14757319326913723</v>
      </c>
      <c r="Y52" s="152">
        <f t="shared" si="5"/>
        <v>0.10471743993774925</v>
      </c>
      <c r="Z52" s="152">
        <f t="shared" si="6"/>
        <v>5.2329539928022563E-2</v>
      </c>
      <c r="AA52" s="152">
        <f t="shared" si="7"/>
        <v>2.172940375449859E-2</v>
      </c>
      <c r="AB52" s="152">
        <f t="shared" si="8"/>
        <v>6.9643030833576505E-3</v>
      </c>
      <c r="AC52" s="152">
        <f t="shared" si="9"/>
        <v>5.8360081704114382E-4</v>
      </c>
      <c r="AD52" s="152"/>
      <c r="AE52" s="221">
        <v>55</v>
      </c>
      <c r="AF52" s="221">
        <v>144</v>
      </c>
      <c r="AG52" s="221">
        <v>130</v>
      </c>
      <c r="AH52" s="221">
        <v>72</v>
      </c>
      <c r="AI52" s="221">
        <v>87</v>
      </c>
      <c r="AJ52" s="221">
        <v>25</v>
      </c>
      <c r="AK52" s="221">
        <v>4</v>
      </c>
      <c r="AL52" s="221">
        <v>0</v>
      </c>
      <c r="AM52" s="221">
        <v>517</v>
      </c>
      <c r="AN52" s="147"/>
      <c r="AO52" s="221">
        <v>-11</v>
      </c>
      <c r="AP52" s="221">
        <v>5</v>
      </c>
      <c r="AQ52" s="221">
        <v>-16</v>
      </c>
      <c r="AR52" s="221">
        <v>-24</v>
      </c>
      <c r="AS52" s="221">
        <v>-7</v>
      </c>
      <c r="AT52" s="221">
        <v>3</v>
      </c>
      <c r="AU52" s="221">
        <v>-4</v>
      </c>
      <c r="AV52" s="221">
        <v>-1</v>
      </c>
      <c r="AW52" s="221">
        <v>-55</v>
      </c>
      <c r="AX52" s="56">
        <f t="shared" si="29"/>
        <v>11</v>
      </c>
      <c r="AY52" s="56">
        <f t="shared" si="29"/>
        <v>-5</v>
      </c>
      <c r="AZ52" s="56">
        <f t="shared" si="29"/>
        <v>16</v>
      </c>
      <c r="BA52" s="56">
        <f t="shared" si="29"/>
        <v>24</v>
      </c>
      <c r="BB52" s="56">
        <f t="shared" si="29"/>
        <v>7</v>
      </c>
      <c r="BC52" s="56">
        <f t="shared" si="30"/>
        <v>-3</v>
      </c>
      <c r="BD52" s="56">
        <f t="shared" si="30"/>
        <v>4</v>
      </c>
      <c r="BE52" s="56">
        <f t="shared" si="30"/>
        <v>1</v>
      </c>
      <c r="BF52" s="56">
        <f t="shared" si="30"/>
        <v>55</v>
      </c>
      <c r="BH52">
        <f t="shared" si="11"/>
        <v>0.8</v>
      </c>
      <c r="BI52">
        <f t="shared" si="20"/>
        <v>0.19999999999999996</v>
      </c>
      <c r="BJ52" s="154">
        <v>243452.05866666671</v>
      </c>
      <c r="BK52" s="155">
        <f t="shared" si="12"/>
        <v>243452.05866666671</v>
      </c>
      <c r="BL52" s="156">
        <v>408477.01600000006</v>
      </c>
      <c r="BM52" s="155">
        <f t="shared" si="13"/>
        <v>408477.01600000006</v>
      </c>
      <c r="BN52" s="158">
        <v>388728.36266666668</v>
      </c>
      <c r="BO52" s="155">
        <f t="shared" si="14"/>
        <v>388728.36266666668</v>
      </c>
      <c r="BP52" s="158">
        <v>269021.12</v>
      </c>
      <c r="BQ52" s="155">
        <f t="shared" si="15"/>
        <v>269021.12</v>
      </c>
      <c r="BR52" s="158">
        <v>391561.67644444446</v>
      </c>
      <c r="BS52" s="155">
        <f t="shared" si="16"/>
        <v>391561.67644444446</v>
      </c>
      <c r="BT52" s="194">
        <v>479721.57333333336</v>
      </c>
      <c r="BU52" s="194"/>
      <c r="BV52" s="348">
        <f t="shared" si="21"/>
        <v>479721.57333333336</v>
      </c>
      <c r="BW52" s="195">
        <f t="shared" si="17"/>
        <v>676033.95911111124</v>
      </c>
      <c r="BX52" s="157">
        <f t="shared" si="22"/>
        <v>169008.48977777781</v>
      </c>
      <c r="BY52" s="157">
        <f>IF(E52*$CJ$10*'Year 7 Payments'!$L$20*IF(B52="",1,0.8)&lt;=(BW52-(J52*350)),E52*$CJ$10*'Year 7 Payments'!$L$20*IF(B52="",1,0.8),BW52-(IF(B52="",1,0.8)*J52*350))</f>
        <v>199969.64384711115</v>
      </c>
      <c r="BZ52" s="157">
        <f t="shared" si="23"/>
        <v>49992.410961777787</v>
      </c>
      <c r="CA52" s="157">
        <f t="shared" si="24"/>
        <v>476064.31526400009</v>
      </c>
      <c r="CB52" s="157">
        <f t="shared" si="25"/>
        <v>119016.07881600002</v>
      </c>
      <c r="CC52" s="157">
        <f t="shared" si="26"/>
        <v>1904257.2610560004</v>
      </c>
      <c r="CD52" s="201">
        <f t="shared" si="27"/>
        <v>476064.31526400009</v>
      </c>
      <c r="CE52" s="155">
        <f t="shared" si="28"/>
        <v>476064.31526400009</v>
      </c>
    </row>
    <row r="53" spans="1:83" x14ac:dyDescent="0.2">
      <c r="A53" s="147" t="s">
        <v>513</v>
      </c>
      <c r="B53" s="57" t="s">
        <v>467</v>
      </c>
      <c r="C53" s="57" t="s">
        <v>459</v>
      </c>
      <c r="D53" s="148" t="s">
        <v>81</v>
      </c>
      <c r="E53" s="197">
        <v>36249.111111111109</v>
      </c>
      <c r="F53" s="147">
        <f t="shared" si="18"/>
        <v>38412</v>
      </c>
      <c r="G53" s="342">
        <v>216</v>
      </c>
      <c r="H53" s="149">
        <f t="shared" si="2"/>
        <v>343</v>
      </c>
      <c r="I53" s="346">
        <v>164.44800000000001</v>
      </c>
      <c r="J53" s="150">
        <v>0</v>
      </c>
      <c r="K53"/>
      <c r="L53" s="151">
        <v>2936</v>
      </c>
      <c r="M53" s="151">
        <v>6328</v>
      </c>
      <c r="N53" s="151">
        <v>13743</v>
      </c>
      <c r="O53" s="151">
        <v>8559</v>
      </c>
      <c r="P53" s="151">
        <v>4343</v>
      </c>
      <c r="Q53" s="151">
        <v>1802</v>
      </c>
      <c r="R53" s="151">
        <v>636</v>
      </c>
      <c r="S53" s="151">
        <v>65</v>
      </c>
      <c r="T53" s="151">
        <v>38412</v>
      </c>
      <c r="U53" s="147"/>
      <c r="V53" s="152">
        <f t="shared" si="19"/>
        <v>7.6434447568468192E-2</v>
      </c>
      <c r="W53" s="152">
        <f t="shared" si="3"/>
        <v>0.16474018535874205</v>
      </c>
      <c r="X53" s="152">
        <f t="shared" si="4"/>
        <v>0.35777881911902532</v>
      </c>
      <c r="Y53" s="152">
        <f t="shared" si="5"/>
        <v>0.22282099343955014</v>
      </c>
      <c r="Z53" s="152">
        <f t="shared" si="6"/>
        <v>0.11306362595022389</v>
      </c>
      <c r="AA53" s="152">
        <f t="shared" si="7"/>
        <v>4.6912423201082992E-2</v>
      </c>
      <c r="AB53" s="152">
        <f t="shared" si="8"/>
        <v>1.6557325835676352E-2</v>
      </c>
      <c r="AC53" s="152">
        <f t="shared" si="9"/>
        <v>1.6921795272310737E-3</v>
      </c>
      <c r="AD53" s="152"/>
      <c r="AE53" s="221">
        <v>163</v>
      </c>
      <c r="AF53" s="221">
        <v>15</v>
      </c>
      <c r="AG53" s="221">
        <v>38</v>
      </c>
      <c r="AH53" s="221">
        <v>48</v>
      </c>
      <c r="AI53" s="221">
        <v>24</v>
      </c>
      <c r="AJ53" s="221">
        <v>32</v>
      </c>
      <c r="AK53" s="221">
        <v>14</v>
      </c>
      <c r="AL53" s="221">
        <v>0</v>
      </c>
      <c r="AM53" s="221">
        <v>334</v>
      </c>
      <c r="AN53" s="147"/>
      <c r="AO53" s="221">
        <v>-19</v>
      </c>
      <c r="AP53" s="221">
        <v>4</v>
      </c>
      <c r="AQ53" s="221">
        <v>12</v>
      </c>
      <c r="AR53" s="221">
        <v>5</v>
      </c>
      <c r="AS53" s="221">
        <v>-8</v>
      </c>
      <c r="AT53" s="221">
        <v>-1</v>
      </c>
      <c r="AU53" s="221">
        <v>-2</v>
      </c>
      <c r="AV53" s="221">
        <v>0</v>
      </c>
      <c r="AW53" s="221">
        <v>-9</v>
      </c>
      <c r="AX53" s="56">
        <f t="shared" si="29"/>
        <v>19</v>
      </c>
      <c r="AY53" s="56">
        <f t="shared" si="29"/>
        <v>-4</v>
      </c>
      <c r="AZ53" s="56">
        <f t="shared" si="29"/>
        <v>-12</v>
      </c>
      <c r="BA53" s="56">
        <f t="shared" si="29"/>
        <v>-5</v>
      </c>
      <c r="BB53" s="56">
        <f t="shared" si="29"/>
        <v>8</v>
      </c>
      <c r="BC53" s="56">
        <f t="shared" si="30"/>
        <v>1</v>
      </c>
      <c r="BD53" s="56">
        <f t="shared" si="30"/>
        <v>2</v>
      </c>
      <c r="BE53" s="56">
        <f t="shared" si="30"/>
        <v>0</v>
      </c>
      <c r="BF53" s="56">
        <f t="shared" si="30"/>
        <v>9</v>
      </c>
      <c r="BH53">
        <f t="shared" si="11"/>
        <v>0.8</v>
      </c>
      <c r="BI53">
        <f t="shared" si="20"/>
        <v>0.19999999999999996</v>
      </c>
      <c r="BJ53" s="154">
        <v>254709.95733333344</v>
      </c>
      <c r="BK53" s="155">
        <f t="shared" si="12"/>
        <v>254709.95733333344</v>
      </c>
      <c r="BL53" s="156">
        <v>142470.07200000001</v>
      </c>
      <c r="BM53" s="155">
        <f t="shared" si="13"/>
        <v>142470.07200000001</v>
      </c>
      <c r="BN53" s="158">
        <v>135659.14933333336</v>
      </c>
      <c r="BO53" s="155">
        <f t="shared" si="14"/>
        <v>135659.14933333336</v>
      </c>
      <c r="BP53" s="158">
        <v>153206.93333333332</v>
      </c>
      <c r="BQ53" s="155">
        <f t="shared" si="15"/>
        <v>153206.93333333332</v>
      </c>
      <c r="BR53" s="158">
        <v>134458.80177777779</v>
      </c>
      <c r="BS53" s="155">
        <f t="shared" si="16"/>
        <v>134458.80177777779</v>
      </c>
      <c r="BT53" s="194">
        <v>350690.00711111113</v>
      </c>
      <c r="BU53" s="194"/>
      <c r="BV53" s="348">
        <f t="shared" si="21"/>
        <v>350690.00711111113</v>
      </c>
      <c r="BW53" s="195">
        <f t="shared" si="17"/>
        <v>378651.07555555558</v>
      </c>
      <c r="BX53" s="157">
        <f t="shared" si="22"/>
        <v>94662.768888888895</v>
      </c>
      <c r="BY53" s="157">
        <f>IF(E53*$CJ$10*'Year 7 Payments'!$L$20*IF(B53="",1,0.8)&lt;=(BW53-(J53*350)),E53*$CJ$10*'Year 7 Payments'!$L$20*IF(B53="",1,0.8),BW53-(IF(B53="",1,0.8)*J53*350))</f>
        <v>177424.60925155555</v>
      </c>
      <c r="BZ53" s="157">
        <f t="shared" si="23"/>
        <v>44356.152312888888</v>
      </c>
      <c r="CA53" s="157">
        <f t="shared" si="24"/>
        <v>201226.46630400003</v>
      </c>
      <c r="CB53" s="157">
        <f t="shared" si="25"/>
        <v>50306.616576000008</v>
      </c>
      <c r="CC53" s="157">
        <f t="shared" si="26"/>
        <v>804905.86521600012</v>
      </c>
      <c r="CD53" s="201">
        <f t="shared" si="27"/>
        <v>201226.46630400003</v>
      </c>
      <c r="CE53" s="155">
        <f t="shared" si="28"/>
        <v>201226.46630400003</v>
      </c>
    </row>
    <row r="54" spans="1:83" x14ac:dyDescent="0.2">
      <c r="A54" s="147" t="s">
        <v>514</v>
      </c>
      <c r="B54" s="57"/>
      <c r="C54" s="57" t="s">
        <v>459</v>
      </c>
      <c r="D54" s="148" t="s">
        <v>82</v>
      </c>
      <c r="E54" s="197">
        <v>111855.55555555555</v>
      </c>
      <c r="F54" s="147">
        <f t="shared" si="18"/>
        <v>115876</v>
      </c>
      <c r="G54" s="342">
        <v>686</v>
      </c>
      <c r="H54" s="149">
        <f t="shared" si="2"/>
        <v>1774</v>
      </c>
      <c r="I54" s="346">
        <v>1332.6888888888889</v>
      </c>
      <c r="J54" s="150">
        <v>176</v>
      </c>
      <c r="K54"/>
      <c r="L54" s="151">
        <v>9831</v>
      </c>
      <c r="M54" s="151">
        <v>23263</v>
      </c>
      <c r="N54" s="151">
        <v>32506</v>
      </c>
      <c r="O54" s="151">
        <v>22025</v>
      </c>
      <c r="P54" s="151">
        <v>15015</v>
      </c>
      <c r="Q54" s="151">
        <v>8140</v>
      </c>
      <c r="R54" s="151">
        <v>4736</v>
      </c>
      <c r="S54" s="151">
        <v>360</v>
      </c>
      <c r="T54" s="151">
        <v>115876</v>
      </c>
      <c r="U54" s="147"/>
      <c r="V54" s="152">
        <f t="shared" si="19"/>
        <v>8.4840691773965277E-2</v>
      </c>
      <c r="W54" s="152">
        <f t="shared" si="3"/>
        <v>0.20075770651385963</v>
      </c>
      <c r="X54" s="152">
        <f t="shared" si="4"/>
        <v>0.28052400842279679</v>
      </c>
      <c r="Y54" s="152">
        <f t="shared" si="5"/>
        <v>0.19007387207014395</v>
      </c>
      <c r="Z54" s="152">
        <f t="shared" si="6"/>
        <v>0.12957816976768269</v>
      </c>
      <c r="AA54" s="152">
        <f t="shared" si="7"/>
        <v>7.0247505954641173E-2</v>
      </c>
      <c r="AB54" s="152">
        <f t="shared" si="8"/>
        <v>4.0871276191791227E-2</v>
      </c>
      <c r="AC54" s="152">
        <f t="shared" si="9"/>
        <v>3.1067693051192655E-3</v>
      </c>
      <c r="AD54" s="152"/>
      <c r="AE54" s="221">
        <v>170</v>
      </c>
      <c r="AF54" s="221">
        <v>381</v>
      </c>
      <c r="AG54" s="221">
        <v>330</v>
      </c>
      <c r="AH54" s="221">
        <v>410</v>
      </c>
      <c r="AI54" s="221">
        <v>221</v>
      </c>
      <c r="AJ54" s="221">
        <v>184</v>
      </c>
      <c r="AK54" s="221">
        <v>79</v>
      </c>
      <c r="AL54" s="221">
        <v>8</v>
      </c>
      <c r="AM54" s="221">
        <v>1783</v>
      </c>
      <c r="AN54" s="147"/>
      <c r="AO54" s="221">
        <v>-19</v>
      </c>
      <c r="AP54" s="221">
        <v>3</v>
      </c>
      <c r="AQ54" s="221">
        <v>22</v>
      </c>
      <c r="AR54" s="221">
        <v>-10</v>
      </c>
      <c r="AS54" s="221">
        <v>4</v>
      </c>
      <c r="AT54" s="221">
        <v>9</v>
      </c>
      <c r="AU54" s="221">
        <v>2</v>
      </c>
      <c r="AV54" s="221">
        <v>-2</v>
      </c>
      <c r="AW54" s="221">
        <v>9</v>
      </c>
      <c r="AX54" s="56">
        <f t="shared" si="29"/>
        <v>19</v>
      </c>
      <c r="AY54" s="56">
        <f t="shared" si="29"/>
        <v>-3</v>
      </c>
      <c r="AZ54" s="56">
        <f t="shared" si="29"/>
        <v>-22</v>
      </c>
      <c r="BA54" s="56">
        <f t="shared" si="29"/>
        <v>10</v>
      </c>
      <c r="BB54" s="56">
        <f t="shared" si="29"/>
        <v>-4</v>
      </c>
      <c r="BC54" s="56">
        <f t="shared" si="30"/>
        <v>-9</v>
      </c>
      <c r="BD54" s="56">
        <f t="shared" si="30"/>
        <v>-2</v>
      </c>
      <c r="BE54" s="56">
        <f t="shared" si="30"/>
        <v>2</v>
      </c>
      <c r="BF54" s="56">
        <f t="shared" si="30"/>
        <v>-9</v>
      </c>
      <c r="BH54">
        <f t="shared" si="11"/>
        <v>1</v>
      </c>
      <c r="BI54">
        <f t="shared" si="20"/>
        <v>0</v>
      </c>
      <c r="BJ54" s="154">
        <v>1120672.6399999999</v>
      </c>
      <c r="BK54" s="155">
        <f t="shared" si="12"/>
        <v>1120672.6399999999</v>
      </c>
      <c r="BL54" s="156">
        <v>1782611.1377777779</v>
      </c>
      <c r="BM54" s="155">
        <f t="shared" si="13"/>
        <v>1782611.1377777779</v>
      </c>
      <c r="BN54" s="158">
        <v>2082087.03</v>
      </c>
      <c r="BO54" s="155">
        <f t="shared" si="14"/>
        <v>2082087.03</v>
      </c>
      <c r="BP54" s="158">
        <v>1962041.0666666667</v>
      </c>
      <c r="BQ54" s="155">
        <f t="shared" si="15"/>
        <v>1962041.0666666667</v>
      </c>
      <c r="BR54" s="158">
        <v>2122715.4822222223</v>
      </c>
      <c r="BS54" s="155">
        <f t="shared" si="16"/>
        <v>2122715.4822222223</v>
      </c>
      <c r="BT54" s="194">
        <v>2586756.5111111109</v>
      </c>
      <c r="BU54" s="194"/>
      <c r="BV54" s="348">
        <f t="shared" si="21"/>
        <v>2586756.5111111109</v>
      </c>
      <c r="BW54" s="195">
        <f t="shared" si="17"/>
        <v>2784386.7511111111</v>
      </c>
      <c r="BX54" s="157" t="str">
        <f t="shared" si="22"/>
        <v>0</v>
      </c>
      <c r="BY54" s="157">
        <f>IF(E54*$CJ$10*'Year 7 Payments'!$L$20*IF(B54="",1,0.8)&lt;=(BW54-(J54*350)),E54*$CJ$10*'Year 7 Payments'!$L$20*IF(B54="",1,0.8),BW54-(IF(B54="",1,0.8)*J54*350))</f>
        <v>684359.13422222214</v>
      </c>
      <c r="BZ54" s="157" t="str">
        <f t="shared" si="23"/>
        <v>0</v>
      </c>
      <c r="CA54" s="157">
        <f t="shared" si="24"/>
        <v>2100027.6168888891</v>
      </c>
      <c r="CB54" s="157">
        <f t="shared" si="25"/>
        <v>0</v>
      </c>
      <c r="CC54" s="157">
        <f t="shared" si="26"/>
        <v>8400110.4675555564</v>
      </c>
      <c r="CD54" s="201">
        <f t="shared" si="27"/>
        <v>0</v>
      </c>
      <c r="CE54" s="155">
        <f t="shared" si="28"/>
        <v>2100027.6168888891</v>
      </c>
    </row>
    <row r="55" spans="1:83" x14ac:dyDescent="0.2">
      <c r="A55" s="147" t="s">
        <v>515</v>
      </c>
      <c r="B55" s="57" t="s">
        <v>478</v>
      </c>
      <c r="C55" s="57" t="s">
        <v>449</v>
      </c>
      <c r="D55" s="148" t="s">
        <v>83</v>
      </c>
      <c r="E55" s="197">
        <v>64708.888888888898</v>
      </c>
      <c r="F55" s="147">
        <f t="shared" si="18"/>
        <v>72514</v>
      </c>
      <c r="G55" s="342">
        <v>608</v>
      </c>
      <c r="H55" s="149">
        <f t="shared" si="2"/>
        <v>914</v>
      </c>
      <c r="I55" s="346">
        <v>641.9422222222222</v>
      </c>
      <c r="J55" s="150">
        <v>157</v>
      </c>
      <c r="K55"/>
      <c r="L55" s="151">
        <v>12339</v>
      </c>
      <c r="M55" s="151">
        <v>20316</v>
      </c>
      <c r="N55" s="151">
        <v>18003</v>
      </c>
      <c r="O55" s="151">
        <v>10232</v>
      </c>
      <c r="P55" s="151">
        <v>6432</v>
      </c>
      <c r="Q55" s="151">
        <v>3088</v>
      </c>
      <c r="R55" s="151">
        <v>1899</v>
      </c>
      <c r="S55" s="151">
        <v>205</v>
      </c>
      <c r="T55" s="151">
        <v>72514</v>
      </c>
      <c r="U55" s="147"/>
      <c r="V55" s="152">
        <f t="shared" si="19"/>
        <v>0.17016024491822268</v>
      </c>
      <c r="W55" s="152">
        <f t="shared" si="3"/>
        <v>0.28016658852083737</v>
      </c>
      <c r="X55" s="152">
        <f t="shared" si="4"/>
        <v>0.24826929972143311</v>
      </c>
      <c r="Y55" s="152">
        <f t="shared" si="5"/>
        <v>0.14110378685495215</v>
      </c>
      <c r="Z55" s="152">
        <f t="shared" si="6"/>
        <v>8.8700113081611826E-2</v>
      </c>
      <c r="AA55" s="152">
        <f t="shared" si="7"/>
        <v>4.2584880161072342E-2</v>
      </c>
      <c r="AB55" s="152">
        <f t="shared" si="8"/>
        <v>2.618804644620349E-2</v>
      </c>
      <c r="AC55" s="152">
        <f t="shared" si="9"/>
        <v>2.8270402956670436E-3</v>
      </c>
      <c r="AD55" s="152"/>
      <c r="AE55" s="221">
        <v>134</v>
      </c>
      <c r="AF55" s="221">
        <v>136</v>
      </c>
      <c r="AG55" s="221">
        <v>167</v>
      </c>
      <c r="AH55" s="221">
        <v>165</v>
      </c>
      <c r="AI55" s="221">
        <v>165</v>
      </c>
      <c r="AJ55" s="221">
        <v>74</v>
      </c>
      <c r="AK55" s="221">
        <v>33</v>
      </c>
      <c r="AL55" s="221">
        <v>2</v>
      </c>
      <c r="AM55" s="221">
        <v>876</v>
      </c>
      <c r="AN55" s="147"/>
      <c r="AO55" s="221">
        <v>-27</v>
      </c>
      <c r="AP55" s="221">
        <v>-17</v>
      </c>
      <c r="AQ55" s="221">
        <v>20</v>
      </c>
      <c r="AR55" s="221">
        <v>-15</v>
      </c>
      <c r="AS55" s="221">
        <v>-5</v>
      </c>
      <c r="AT55" s="221">
        <v>2</v>
      </c>
      <c r="AU55" s="221">
        <v>3</v>
      </c>
      <c r="AV55" s="221">
        <v>1</v>
      </c>
      <c r="AW55" s="221">
        <v>-38</v>
      </c>
      <c r="AX55" s="56">
        <f t="shared" si="29"/>
        <v>27</v>
      </c>
      <c r="AY55" s="56">
        <f t="shared" si="29"/>
        <v>17</v>
      </c>
      <c r="AZ55" s="56">
        <f t="shared" si="29"/>
        <v>-20</v>
      </c>
      <c r="BA55" s="56">
        <f t="shared" si="29"/>
        <v>15</v>
      </c>
      <c r="BB55" s="56">
        <f t="shared" si="29"/>
        <v>5</v>
      </c>
      <c r="BC55" s="56">
        <f t="shared" si="30"/>
        <v>-2</v>
      </c>
      <c r="BD55" s="56">
        <f t="shared" si="30"/>
        <v>-3</v>
      </c>
      <c r="BE55" s="56">
        <f t="shared" si="30"/>
        <v>-1</v>
      </c>
      <c r="BF55" s="56">
        <f t="shared" si="30"/>
        <v>38</v>
      </c>
      <c r="BH55">
        <f t="shared" si="11"/>
        <v>0.8</v>
      </c>
      <c r="BI55">
        <f t="shared" si="20"/>
        <v>0.19999999999999996</v>
      </c>
      <c r="BJ55" s="154">
        <v>644386.76800000016</v>
      </c>
      <c r="BK55" s="155">
        <f t="shared" si="12"/>
        <v>644386.76800000016</v>
      </c>
      <c r="BL55" s="156">
        <v>672005.94488888886</v>
      </c>
      <c r="BM55" s="155">
        <f t="shared" si="13"/>
        <v>672005.94488888886</v>
      </c>
      <c r="BN55" s="158">
        <v>847265.28977777774</v>
      </c>
      <c r="BO55" s="155">
        <f t="shared" si="14"/>
        <v>847265.28977777774</v>
      </c>
      <c r="BP55" s="158">
        <v>733274.56</v>
      </c>
      <c r="BQ55" s="155">
        <f t="shared" si="15"/>
        <v>733274.56</v>
      </c>
      <c r="BR55" s="158">
        <v>878142.3822222224</v>
      </c>
      <c r="BS55" s="155">
        <f t="shared" si="16"/>
        <v>878142.3822222224</v>
      </c>
      <c r="BT55" s="194">
        <v>715641.90755555546</v>
      </c>
      <c r="BU55" s="194"/>
      <c r="BV55" s="348">
        <f t="shared" si="21"/>
        <v>715641.90755555546</v>
      </c>
      <c r="BW55" s="195">
        <f t="shared" si="17"/>
        <v>1146194.9262222224</v>
      </c>
      <c r="BX55" s="157">
        <f t="shared" si="22"/>
        <v>286548.7315555556</v>
      </c>
      <c r="BY55" s="157">
        <f>IF(E55*$CJ$10*'Year 7 Payments'!$L$20*IF(B55="",1,0.8)&lt;=(BW55-(J55*350)),E55*$CJ$10*'Year 7 Payments'!$L$20*IF(B55="",1,0.8),BW55-(IF(B55="",1,0.8)*J55*350))</f>
        <v>316723.60988444451</v>
      </c>
      <c r="BZ55" s="157">
        <f t="shared" si="23"/>
        <v>79180.902471111127</v>
      </c>
      <c r="CA55" s="157">
        <f t="shared" si="24"/>
        <v>829471.31633777788</v>
      </c>
      <c r="CB55" s="157">
        <f t="shared" si="25"/>
        <v>207367.82908444447</v>
      </c>
      <c r="CC55" s="157">
        <f t="shared" si="26"/>
        <v>3317885.2653511115</v>
      </c>
      <c r="CD55" s="201">
        <f t="shared" si="27"/>
        <v>829471.31633777788</v>
      </c>
      <c r="CE55" s="155">
        <f t="shared" si="28"/>
        <v>829471.31633777788</v>
      </c>
    </row>
    <row r="56" spans="1:83" x14ac:dyDescent="0.2">
      <c r="A56" s="147" t="s">
        <v>516</v>
      </c>
      <c r="B56" s="57" t="s">
        <v>467</v>
      </c>
      <c r="C56" s="57" t="s">
        <v>459</v>
      </c>
      <c r="D56" s="148" t="s">
        <v>84</v>
      </c>
      <c r="E56" s="197">
        <v>73485.555555555562</v>
      </c>
      <c r="F56" s="147">
        <f t="shared" si="18"/>
        <v>73652</v>
      </c>
      <c r="G56" s="342">
        <v>377</v>
      </c>
      <c r="H56" s="149">
        <f t="shared" si="2"/>
        <v>1133</v>
      </c>
      <c r="I56" s="346">
        <v>860.72444444444432</v>
      </c>
      <c r="J56" s="150">
        <v>104</v>
      </c>
      <c r="K56"/>
      <c r="L56" s="151">
        <v>4467</v>
      </c>
      <c r="M56" s="151">
        <v>10150</v>
      </c>
      <c r="N56" s="151">
        <v>22476</v>
      </c>
      <c r="O56" s="151">
        <v>16657</v>
      </c>
      <c r="P56" s="151">
        <v>10227</v>
      </c>
      <c r="Q56" s="151">
        <v>5552</v>
      </c>
      <c r="R56" s="151">
        <v>3761</v>
      </c>
      <c r="S56" s="151">
        <v>362</v>
      </c>
      <c r="T56" s="151">
        <v>73652</v>
      </c>
      <c r="U56" s="147"/>
      <c r="V56" s="152">
        <f t="shared" si="19"/>
        <v>6.0650084179655679E-2</v>
      </c>
      <c r="W56" s="152">
        <f t="shared" si="3"/>
        <v>0.13781024276326509</v>
      </c>
      <c r="X56" s="152">
        <f t="shared" si="4"/>
        <v>0.30516482919676313</v>
      </c>
      <c r="Y56" s="152">
        <f t="shared" si="5"/>
        <v>0.2261581491337642</v>
      </c>
      <c r="Z56" s="152">
        <f t="shared" si="6"/>
        <v>0.13885569977733123</v>
      </c>
      <c r="AA56" s="152">
        <f t="shared" si="7"/>
        <v>7.5381523923315055E-2</v>
      </c>
      <c r="AB56" s="152">
        <f t="shared" si="8"/>
        <v>5.1064465323412807E-2</v>
      </c>
      <c r="AC56" s="152">
        <f t="shared" si="9"/>
        <v>4.9150057024928036E-3</v>
      </c>
      <c r="AD56" s="152"/>
      <c r="AE56" s="221">
        <v>-7</v>
      </c>
      <c r="AF56" s="221">
        <v>262</v>
      </c>
      <c r="AG56" s="221">
        <v>262</v>
      </c>
      <c r="AH56" s="221">
        <v>328</v>
      </c>
      <c r="AI56" s="221">
        <v>155</v>
      </c>
      <c r="AJ56" s="221">
        <v>92</v>
      </c>
      <c r="AK56" s="221">
        <v>59</v>
      </c>
      <c r="AL56" s="221">
        <v>3</v>
      </c>
      <c r="AM56" s="221">
        <v>1154</v>
      </c>
      <c r="AN56" s="147"/>
      <c r="AO56" s="221">
        <v>-2</v>
      </c>
      <c r="AP56" s="221">
        <v>-12</v>
      </c>
      <c r="AQ56" s="221">
        <v>-12</v>
      </c>
      <c r="AR56" s="221">
        <v>36</v>
      </c>
      <c r="AS56" s="221">
        <v>2</v>
      </c>
      <c r="AT56" s="221">
        <v>2</v>
      </c>
      <c r="AU56" s="221">
        <v>6</v>
      </c>
      <c r="AV56" s="221">
        <v>1</v>
      </c>
      <c r="AW56" s="221">
        <v>21</v>
      </c>
      <c r="AX56" s="56">
        <f t="shared" si="29"/>
        <v>2</v>
      </c>
      <c r="AY56" s="56">
        <f t="shared" si="29"/>
        <v>12</v>
      </c>
      <c r="AZ56" s="56">
        <f t="shared" si="29"/>
        <v>12</v>
      </c>
      <c r="BA56" s="56">
        <f t="shared" si="29"/>
        <v>-36</v>
      </c>
      <c r="BB56" s="56">
        <f t="shared" si="29"/>
        <v>-2</v>
      </c>
      <c r="BC56" s="56">
        <f t="shared" si="30"/>
        <v>-2</v>
      </c>
      <c r="BD56" s="56">
        <f t="shared" si="30"/>
        <v>-6</v>
      </c>
      <c r="BE56" s="56">
        <f t="shared" si="30"/>
        <v>-1</v>
      </c>
      <c r="BF56" s="56">
        <f t="shared" si="30"/>
        <v>-21</v>
      </c>
      <c r="BH56">
        <f t="shared" si="11"/>
        <v>0.8</v>
      </c>
      <c r="BI56">
        <f t="shared" si="20"/>
        <v>0.19999999999999996</v>
      </c>
      <c r="BJ56" s="154">
        <v>309592.21333333338</v>
      </c>
      <c r="BK56" s="155">
        <f t="shared" si="12"/>
        <v>309592.21333333338</v>
      </c>
      <c r="BL56" s="156">
        <v>404459.54666666669</v>
      </c>
      <c r="BM56" s="155">
        <f t="shared" si="13"/>
        <v>404459.54666666669</v>
      </c>
      <c r="BN56" s="158">
        <v>285404.99822222226</v>
      </c>
      <c r="BO56" s="155">
        <f t="shared" si="14"/>
        <v>285404.99822222226</v>
      </c>
      <c r="BP56" s="158">
        <v>405615.04000000004</v>
      </c>
      <c r="BQ56" s="155">
        <f t="shared" si="15"/>
        <v>405615.04000000004</v>
      </c>
      <c r="BR56" s="158">
        <v>225492.32888888885</v>
      </c>
      <c r="BS56" s="155">
        <f t="shared" si="16"/>
        <v>225492.32888888885</v>
      </c>
      <c r="BT56" s="194">
        <v>714588.33600000001</v>
      </c>
      <c r="BU56" s="194"/>
      <c r="BV56" s="348">
        <f t="shared" si="21"/>
        <v>714588.33600000001</v>
      </c>
      <c r="BW56" s="195">
        <f t="shared" si="17"/>
        <v>1442025.5573333334</v>
      </c>
      <c r="BX56" s="157">
        <f t="shared" si="22"/>
        <v>360506.38933333335</v>
      </c>
      <c r="BY56" s="157">
        <f>IF(E56*$CJ$10*'Year 7 Payments'!$L$20*IF(B56="",1,0.8)&lt;=(BW56-(J56*350)),E56*$CJ$10*'Year 7 Payments'!$L$20*IF(B56="",1,0.8),BW56-(IF(B56="",1,0.8)*J56*350))</f>
        <v>359681.81233777781</v>
      </c>
      <c r="BZ56" s="157">
        <f t="shared" si="23"/>
        <v>89920.453084444453</v>
      </c>
      <c r="CA56" s="157">
        <f t="shared" si="24"/>
        <v>1082343.7449955556</v>
      </c>
      <c r="CB56" s="157">
        <f t="shared" si="25"/>
        <v>270585.9362488889</v>
      </c>
      <c r="CC56" s="157">
        <f t="shared" si="26"/>
        <v>4329374.9799822224</v>
      </c>
      <c r="CD56" s="201">
        <f t="shared" si="27"/>
        <v>1082343.7449955556</v>
      </c>
      <c r="CE56" s="155">
        <f t="shared" si="28"/>
        <v>1082343.7449955556</v>
      </c>
    </row>
    <row r="57" spans="1:83" x14ac:dyDescent="0.2">
      <c r="A57" s="147" t="s">
        <v>517</v>
      </c>
      <c r="B57" s="57" t="s">
        <v>518</v>
      </c>
      <c r="C57" s="57" t="s">
        <v>472</v>
      </c>
      <c r="D57" s="148" t="s">
        <v>85</v>
      </c>
      <c r="E57" s="197">
        <v>50250.222222222219</v>
      </c>
      <c r="F57" s="147">
        <f t="shared" si="18"/>
        <v>54905</v>
      </c>
      <c r="G57" s="342">
        <v>395</v>
      </c>
      <c r="H57" s="149">
        <f t="shared" si="2"/>
        <v>380</v>
      </c>
      <c r="I57" s="346">
        <v>163.11022222222226</v>
      </c>
      <c r="J57" s="150">
        <v>12</v>
      </c>
      <c r="K57"/>
      <c r="L57" s="151">
        <v>9561</v>
      </c>
      <c r="M57" s="151">
        <v>13082</v>
      </c>
      <c r="N57" s="151">
        <v>13750</v>
      </c>
      <c r="O57" s="151">
        <v>8895</v>
      </c>
      <c r="P57" s="151">
        <v>4925</v>
      </c>
      <c r="Q57" s="151">
        <v>2588</v>
      </c>
      <c r="R57" s="151">
        <v>1998</v>
      </c>
      <c r="S57" s="151">
        <v>106</v>
      </c>
      <c r="T57" s="151">
        <v>54905</v>
      </c>
      <c r="U57" s="147"/>
      <c r="V57" s="152">
        <f t="shared" si="19"/>
        <v>0.17413714597941898</v>
      </c>
      <c r="W57" s="152">
        <f t="shared" si="3"/>
        <v>0.2382660959839723</v>
      </c>
      <c r="X57" s="152">
        <f t="shared" si="4"/>
        <v>0.25043256534013297</v>
      </c>
      <c r="Y57" s="152">
        <f t="shared" si="5"/>
        <v>0.16200710317821693</v>
      </c>
      <c r="Z57" s="152">
        <f t="shared" si="6"/>
        <v>8.9700391585465805E-2</v>
      </c>
      <c r="AA57" s="152">
        <f t="shared" si="7"/>
        <v>4.7135962116382844E-2</v>
      </c>
      <c r="AB57" s="152">
        <f t="shared" si="8"/>
        <v>3.6390128403606226E-2</v>
      </c>
      <c r="AC57" s="152">
        <f t="shared" si="9"/>
        <v>1.930607412803934E-3</v>
      </c>
      <c r="AD57" s="152"/>
      <c r="AE57" s="221">
        <v>68</v>
      </c>
      <c r="AF57" s="221">
        <v>38</v>
      </c>
      <c r="AG57" s="221">
        <v>79</v>
      </c>
      <c r="AH57" s="221">
        <v>91</v>
      </c>
      <c r="AI57" s="221">
        <v>41</v>
      </c>
      <c r="AJ57" s="221">
        <v>49</v>
      </c>
      <c r="AK57" s="221">
        <v>16</v>
      </c>
      <c r="AL57" s="221">
        <v>5</v>
      </c>
      <c r="AM57" s="221">
        <v>387</v>
      </c>
      <c r="AN57" s="147"/>
      <c r="AO57" s="221">
        <v>-29</v>
      </c>
      <c r="AP57" s="221">
        <v>-25</v>
      </c>
      <c r="AQ57" s="221">
        <v>8</v>
      </c>
      <c r="AR57" s="221">
        <v>18</v>
      </c>
      <c r="AS57" s="221">
        <v>36</v>
      </c>
      <c r="AT57" s="221">
        <v>-4</v>
      </c>
      <c r="AU57" s="221">
        <v>3</v>
      </c>
      <c r="AV57" s="221">
        <v>0</v>
      </c>
      <c r="AW57" s="221">
        <v>7</v>
      </c>
      <c r="AX57" s="56">
        <f t="shared" si="29"/>
        <v>29</v>
      </c>
      <c r="AY57" s="56">
        <f t="shared" si="29"/>
        <v>25</v>
      </c>
      <c r="AZ57" s="56">
        <f t="shared" si="29"/>
        <v>-8</v>
      </c>
      <c r="BA57" s="56">
        <f t="shared" si="29"/>
        <v>-18</v>
      </c>
      <c r="BB57" s="56">
        <f t="shared" si="29"/>
        <v>-36</v>
      </c>
      <c r="BC57" s="56">
        <f t="shared" si="30"/>
        <v>4</v>
      </c>
      <c r="BD57" s="56">
        <f t="shared" si="30"/>
        <v>-3</v>
      </c>
      <c r="BE57" s="56">
        <f t="shared" si="30"/>
        <v>0</v>
      </c>
      <c r="BF57" s="56">
        <f t="shared" si="30"/>
        <v>-7</v>
      </c>
      <c r="BH57">
        <f t="shared" si="11"/>
        <v>0.8</v>
      </c>
      <c r="BI57">
        <f t="shared" si="20"/>
        <v>0.19999999999999996</v>
      </c>
      <c r="BJ57" s="154">
        <v>290274.68266666669</v>
      </c>
      <c r="BK57" s="155">
        <f t="shared" si="12"/>
        <v>290274.68266666669</v>
      </c>
      <c r="BL57" s="156">
        <v>293284.5608888889</v>
      </c>
      <c r="BM57" s="155">
        <f t="shared" si="13"/>
        <v>293284.5608888889</v>
      </c>
      <c r="BN57" s="158">
        <v>115575.31022222222</v>
      </c>
      <c r="BO57" s="155">
        <f t="shared" si="14"/>
        <v>115575.31022222222</v>
      </c>
      <c r="BP57" s="158">
        <v>390238.1866666667</v>
      </c>
      <c r="BQ57" s="155">
        <f t="shared" si="15"/>
        <v>390238.1866666667</v>
      </c>
      <c r="BR57" s="158">
        <v>516312.22399999993</v>
      </c>
      <c r="BS57" s="155">
        <f t="shared" si="16"/>
        <v>516312.22399999993</v>
      </c>
      <c r="BT57" s="194">
        <v>546475.66399999999</v>
      </c>
      <c r="BU57" s="194"/>
      <c r="BV57" s="348">
        <f t="shared" si="21"/>
        <v>546475.66399999999</v>
      </c>
      <c r="BW57" s="195">
        <f t="shared" si="17"/>
        <v>448903.83288888895</v>
      </c>
      <c r="BX57" s="157">
        <f t="shared" si="22"/>
        <v>112225.95822222224</v>
      </c>
      <c r="BY57" s="157">
        <f>IF(E57*$CJ$10*'Year 7 Payments'!$L$20*IF(B57="",1,0.8)&lt;=(BW57-(J57*350)),E57*$CJ$10*'Year 7 Payments'!$L$20*IF(B57="",1,0.8),BW57-(IF(B57="",1,0.8)*J57*350))</f>
        <v>245954.3356871111</v>
      </c>
      <c r="BZ57" s="157">
        <f t="shared" si="23"/>
        <v>61488.583921777776</v>
      </c>
      <c r="CA57" s="157">
        <f t="shared" si="24"/>
        <v>202949.49720177785</v>
      </c>
      <c r="CB57" s="157">
        <f t="shared" si="25"/>
        <v>50737.374300444462</v>
      </c>
      <c r="CC57" s="157">
        <f t="shared" si="26"/>
        <v>811797.9888071114</v>
      </c>
      <c r="CD57" s="201">
        <f t="shared" si="27"/>
        <v>202949.49720177785</v>
      </c>
      <c r="CE57" s="155">
        <f t="shared" si="28"/>
        <v>202949.49720177785</v>
      </c>
    </row>
    <row r="58" spans="1:83" x14ac:dyDescent="0.2">
      <c r="A58" s="147" t="s">
        <v>519</v>
      </c>
      <c r="B58" s="57" t="s">
        <v>520</v>
      </c>
      <c r="C58" s="57" t="s">
        <v>443</v>
      </c>
      <c r="D58" s="148" t="s">
        <v>86</v>
      </c>
      <c r="E58" s="197">
        <v>58890.888888888876</v>
      </c>
      <c r="F58" s="147">
        <f t="shared" si="18"/>
        <v>62402</v>
      </c>
      <c r="G58" s="342">
        <v>272</v>
      </c>
      <c r="H58" s="149">
        <f t="shared" si="2"/>
        <v>1219</v>
      </c>
      <c r="I58" s="346">
        <v>1003.1031111111113</v>
      </c>
      <c r="J58" s="150">
        <v>330</v>
      </c>
      <c r="K58"/>
      <c r="L58" s="151">
        <v>5496</v>
      </c>
      <c r="M58" s="151">
        <v>15337</v>
      </c>
      <c r="N58" s="151">
        <v>16941</v>
      </c>
      <c r="O58" s="151">
        <v>10930</v>
      </c>
      <c r="P58" s="151">
        <v>7481</v>
      </c>
      <c r="Q58" s="151">
        <v>3520</v>
      </c>
      <c r="R58" s="151">
        <v>2453</v>
      </c>
      <c r="S58" s="151">
        <v>244</v>
      </c>
      <c r="T58" s="151">
        <v>62402</v>
      </c>
      <c r="U58" s="147"/>
      <c r="V58" s="152">
        <f t="shared" si="19"/>
        <v>8.8074100189096505E-2</v>
      </c>
      <c r="W58" s="152">
        <f t="shared" si="3"/>
        <v>0.24577737893016249</v>
      </c>
      <c r="X58" s="152">
        <f t="shared" si="4"/>
        <v>0.27148168327938205</v>
      </c>
      <c r="Y58" s="152">
        <f t="shared" si="5"/>
        <v>0.17515464247940771</v>
      </c>
      <c r="Z58" s="152">
        <f t="shared" si="6"/>
        <v>0.11988397807762571</v>
      </c>
      <c r="AA58" s="152">
        <f t="shared" si="7"/>
        <v>5.6408448447165152E-2</v>
      </c>
      <c r="AB58" s="152">
        <f t="shared" si="8"/>
        <v>3.9309637511618215E-2</v>
      </c>
      <c r="AC58" s="152">
        <f t="shared" si="9"/>
        <v>3.9101310855421297E-3</v>
      </c>
      <c r="AD58" s="152"/>
      <c r="AE58" s="221">
        <v>78</v>
      </c>
      <c r="AF58" s="221">
        <v>157</v>
      </c>
      <c r="AG58" s="221">
        <v>331</v>
      </c>
      <c r="AH58" s="221">
        <v>287</v>
      </c>
      <c r="AI58" s="221">
        <v>176</v>
      </c>
      <c r="AJ58" s="221">
        <v>119</v>
      </c>
      <c r="AK58" s="221">
        <v>47</v>
      </c>
      <c r="AL58" s="221">
        <v>1</v>
      </c>
      <c r="AM58" s="221">
        <v>1196</v>
      </c>
      <c r="AN58" s="147"/>
      <c r="AO58" s="221">
        <v>-7</v>
      </c>
      <c r="AP58" s="221">
        <v>-38</v>
      </c>
      <c r="AQ58" s="221">
        <v>20</v>
      </c>
      <c r="AR58" s="221">
        <v>7</v>
      </c>
      <c r="AS58" s="221">
        <v>-6</v>
      </c>
      <c r="AT58" s="221">
        <v>7</v>
      </c>
      <c r="AU58" s="221">
        <v>-8</v>
      </c>
      <c r="AV58" s="221">
        <v>2</v>
      </c>
      <c r="AW58" s="221">
        <v>-23</v>
      </c>
      <c r="AX58" s="56">
        <f t="shared" si="29"/>
        <v>7</v>
      </c>
      <c r="AY58" s="56">
        <f t="shared" si="29"/>
        <v>38</v>
      </c>
      <c r="AZ58" s="56">
        <f t="shared" si="29"/>
        <v>-20</v>
      </c>
      <c r="BA58" s="56">
        <f t="shared" si="29"/>
        <v>-7</v>
      </c>
      <c r="BB58" s="56">
        <f t="shared" si="29"/>
        <v>6</v>
      </c>
      <c r="BC58" s="56">
        <f t="shared" si="30"/>
        <v>-7</v>
      </c>
      <c r="BD58" s="56">
        <f t="shared" si="30"/>
        <v>8</v>
      </c>
      <c r="BE58" s="56">
        <f t="shared" si="30"/>
        <v>-2</v>
      </c>
      <c r="BF58" s="56">
        <f t="shared" si="30"/>
        <v>23</v>
      </c>
      <c r="BH58">
        <f t="shared" si="11"/>
        <v>0.8</v>
      </c>
      <c r="BI58">
        <f t="shared" si="20"/>
        <v>0.19999999999999996</v>
      </c>
      <c r="BJ58" s="154">
        <v>439185.97866666672</v>
      </c>
      <c r="BK58" s="155">
        <f t="shared" si="12"/>
        <v>439185.97866666672</v>
      </c>
      <c r="BL58" s="156">
        <v>264009.22666666668</v>
      </c>
      <c r="BM58" s="155">
        <f t="shared" si="13"/>
        <v>264009.22666666668</v>
      </c>
      <c r="BN58" s="158">
        <v>636961.41511111101</v>
      </c>
      <c r="BO58" s="155">
        <f t="shared" si="14"/>
        <v>636961.41511111101</v>
      </c>
      <c r="BP58" s="158">
        <v>686155.62666666671</v>
      </c>
      <c r="BQ58" s="155">
        <f t="shared" si="15"/>
        <v>686155.62666666671</v>
      </c>
      <c r="BR58" s="158">
        <v>686016.35733333346</v>
      </c>
      <c r="BS58" s="155">
        <f t="shared" si="16"/>
        <v>686016.35733333346</v>
      </c>
      <c r="BT58" s="194">
        <v>1138660.4817777777</v>
      </c>
      <c r="BU58" s="194"/>
      <c r="BV58" s="348">
        <f t="shared" si="21"/>
        <v>1138660.4817777777</v>
      </c>
      <c r="BW58" s="195">
        <f t="shared" si="17"/>
        <v>1608091.9893333337</v>
      </c>
      <c r="BX58" s="157">
        <f t="shared" si="22"/>
        <v>402022.99733333342</v>
      </c>
      <c r="BY58" s="157">
        <f>IF(E58*$CJ$10*'Year 7 Payments'!$L$20*IF(B58="",1,0.8)&lt;=(BW58-(J58*350)),E58*$CJ$10*'Year 7 Payments'!$L$20*IF(B58="",1,0.8),BW58-(IF(B58="",1,0.8)*J58*350))</f>
        <v>288246.87362844445</v>
      </c>
      <c r="BZ58" s="157">
        <f t="shared" si="23"/>
        <v>72061.718407111111</v>
      </c>
      <c r="CA58" s="157">
        <f t="shared" si="24"/>
        <v>1319845.1157048892</v>
      </c>
      <c r="CB58" s="157">
        <f t="shared" si="25"/>
        <v>329961.27892622229</v>
      </c>
      <c r="CC58" s="157">
        <f t="shared" si="26"/>
        <v>5279380.4628195567</v>
      </c>
      <c r="CD58" s="201">
        <f t="shared" si="27"/>
        <v>1319845.1157048892</v>
      </c>
      <c r="CE58" s="155">
        <f t="shared" si="28"/>
        <v>1319845.1157048892</v>
      </c>
    </row>
    <row r="59" spans="1:83" x14ac:dyDescent="0.2">
      <c r="A59" s="147" t="s">
        <v>521</v>
      </c>
      <c r="B59" s="57"/>
      <c r="C59" s="57" t="s">
        <v>446</v>
      </c>
      <c r="D59" s="148" t="s">
        <v>87</v>
      </c>
      <c r="E59" s="197">
        <v>166053</v>
      </c>
      <c r="F59" s="147">
        <f t="shared" si="18"/>
        <v>170942</v>
      </c>
      <c r="G59" s="342">
        <v>1451</v>
      </c>
      <c r="H59" s="149">
        <f t="shared" si="2"/>
        <v>1842</v>
      </c>
      <c r="I59" s="346">
        <v>1146.3435555555557</v>
      </c>
      <c r="J59" s="150">
        <v>275</v>
      </c>
      <c r="K59"/>
      <c r="L59" s="151">
        <v>30230</v>
      </c>
      <c r="M59" s="151">
        <v>35492</v>
      </c>
      <c r="N59" s="151">
        <v>33564</v>
      </c>
      <c r="O59" s="151">
        <v>25134</v>
      </c>
      <c r="P59" s="151">
        <v>19429</v>
      </c>
      <c r="Q59" s="151">
        <v>13302</v>
      </c>
      <c r="R59" s="151">
        <v>11996</v>
      </c>
      <c r="S59" s="151">
        <v>1795</v>
      </c>
      <c r="T59" s="151">
        <v>170942</v>
      </c>
      <c r="U59" s="147"/>
      <c r="V59" s="152">
        <f t="shared" si="19"/>
        <v>0.17684360777339683</v>
      </c>
      <c r="W59" s="152">
        <f t="shared" si="3"/>
        <v>0.20762597840203109</v>
      </c>
      <c r="X59" s="152">
        <f t="shared" si="4"/>
        <v>0.19634729908389981</v>
      </c>
      <c r="Y59" s="152">
        <f t="shared" si="5"/>
        <v>0.14703232675410374</v>
      </c>
      <c r="Z59" s="152">
        <f t="shared" si="6"/>
        <v>0.11365843385475775</v>
      </c>
      <c r="AA59" s="152">
        <f t="shared" si="7"/>
        <v>7.7815867370219144E-2</v>
      </c>
      <c r="AB59" s="152">
        <f t="shared" si="8"/>
        <v>7.017584911841443E-2</v>
      </c>
      <c r="AC59" s="152">
        <f t="shared" si="9"/>
        <v>1.0500637643177218E-2</v>
      </c>
      <c r="AD59" s="152"/>
      <c r="AE59" s="221">
        <v>339</v>
      </c>
      <c r="AF59" s="221">
        <v>306</v>
      </c>
      <c r="AG59" s="221">
        <v>297</v>
      </c>
      <c r="AH59" s="221">
        <v>332</v>
      </c>
      <c r="AI59" s="221">
        <v>221</v>
      </c>
      <c r="AJ59" s="221">
        <v>141</v>
      </c>
      <c r="AK59" s="221">
        <v>103</v>
      </c>
      <c r="AL59" s="221">
        <v>14</v>
      </c>
      <c r="AM59" s="221">
        <v>1753</v>
      </c>
      <c r="AN59" s="147"/>
      <c r="AO59" s="221">
        <v>-2</v>
      </c>
      <c r="AP59" s="221">
        <v>-28</v>
      </c>
      <c r="AQ59" s="221">
        <v>-52</v>
      </c>
      <c r="AR59" s="221">
        <v>1</v>
      </c>
      <c r="AS59" s="221">
        <v>-9</v>
      </c>
      <c r="AT59" s="221">
        <v>-1</v>
      </c>
      <c r="AU59" s="221">
        <v>1</v>
      </c>
      <c r="AV59" s="221">
        <v>1</v>
      </c>
      <c r="AW59" s="221">
        <v>-89</v>
      </c>
      <c r="AX59" s="56">
        <f t="shared" si="29"/>
        <v>2</v>
      </c>
      <c r="AY59" s="56">
        <f t="shared" si="29"/>
        <v>28</v>
      </c>
      <c r="AZ59" s="56">
        <f t="shared" si="29"/>
        <v>52</v>
      </c>
      <c r="BA59" s="56">
        <f t="shared" si="29"/>
        <v>-1</v>
      </c>
      <c r="BB59" s="56">
        <f t="shared" si="29"/>
        <v>9</v>
      </c>
      <c r="BC59" s="56">
        <f t="shared" si="30"/>
        <v>1</v>
      </c>
      <c r="BD59" s="56">
        <f t="shared" si="30"/>
        <v>-1</v>
      </c>
      <c r="BE59" s="56">
        <f t="shared" si="30"/>
        <v>-1</v>
      </c>
      <c r="BF59" s="56">
        <f t="shared" si="30"/>
        <v>89</v>
      </c>
      <c r="BH59">
        <f t="shared" si="11"/>
        <v>1</v>
      </c>
      <c r="BI59">
        <f t="shared" si="20"/>
        <v>0</v>
      </c>
      <c r="BJ59" s="154">
        <v>869768.62</v>
      </c>
      <c r="BK59" s="155">
        <f t="shared" si="12"/>
        <v>869768.62</v>
      </c>
      <c r="BL59" s="156">
        <v>1929661.5066666666</v>
      </c>
      <c r="BM59" s="155">
        <f t="shared" si="13"/>
        <v>1929661.5066666666</v>
      </c>
      <c r="BN59" s="158">
        <v>1119266.7166666668</v>
      </c>
      <c r="BO59" s="155">
        <f t="shared" si="14"/>
        <v>1119266.7166666668</v>
      </c>
      <c r="BP59" s="158">
        <v>1356419.3333333333</v>
      </c>
      <c r="BQ59" s="155">
        <f t="shared" si="15"/>
        <v>1356419.3333333333</v>
      </c>
      <c r="BR59" s="158">
        <v>1262665.8777777778</v>
      </c>
      <c r="BS59" s="155">
        <f t="shared" si="16"/>
        <v>1262665.8777777778</v>
      </c>
      <c r="BT59" s="194">
        <v>2666035.944444444</v>
      </c>
      <c r="BU59" s="194"/>
      <c r="BV59" s="348">
        <f t="shared" si="21"/>
        <v>2666035.944444444</v>
      </c>
      <c r="BW59" s="195">
        <f t="shared" si="17"/>
        <v>2865603.3555555558</v>
      </c>
      <c r="BX59" s="157" t="str">
        <f t="shared" si="22"/>
        <v>0</v>
      </c>
      <c r="BY59" s="157">
        <f>IF(E59*$CJ$10*'Year 7 Payments'!$L$20*IF(B59="",1,0.8)&lt;=(BW59-(J59*350)),E59*$CJ$10*'Year 7 Payments'!$L$20*IF(B59="",1,0.8),BW59-(IF(B59="",1,0.8)*J59*350))</f>
        <v>1015952.1067199999</v>
      </c>
      <c r="BZ59" s="157" t="str">
        <f t="shared" si="23"/>
        <v>0</v>
      </c>
      <c r="CA59" s="157">
        <f t="shared" si="24"/>
        <v>1849651.2488355557</v>
      </c>
      <c r="CB59" s="157">
        <f t="shared" si="25"/>
        <v>0</v>
      </c>
      <c r="CC59" s="157">
        <f t="shared" si="26"/>
        <v>7398604.995342223</v>
      </c>
      <c r="CD59" s="201">
        <f t="shared" si="27"/>
        <v>0</v>
      </c>
      <c r="CE59" s="155">
        <f t="shared" si="28"/>
        <v>1849651.2488355557</v>
      </c>
    </row>
    <row r="60" spans="1:83" x14ac:dyDescent="0.2">
      <c r="A60" s="147" t="s">
        <v>522</v>
      </c>
      <c r="B60" s="57"/>
      <c r="C60" s="57" t="s">
        <v>446</v>
      </c>
      <c r="D60" s="148" t="s">
        <v>88</v>
      </c>
      <c r="E60" s="197">
        <v>140594</v>
      </c>
      <c r="F60" s="147">
        <f t="shared" si="18"/>
        <v>153395</v>
      </c>
      <c r="G60" s="342">
        <v>1756</v>
      </c>
      <c r="H60" s="149">
        <f t="shared" si="2"/>
        <v>1781</v>
      </c>
      <c r="I60" s="346">
        <v>1229.5128888888887</v>
      </c>
      <c r="J60" s="150">
        <v>277</v>
      </c>
      <c r="K60"/>
      <c r="L60" s="151">
        <v>33338</v>
      </c>
      <c r="M60" s="151">
        <v>36148</v>
      </c>
      <c r="N60" s="151">
        <v>30303</v>
      </c>
      <c r="O60" s="151">
        <v>20688</v>
      </c>
      <c r="P60" s="151">
        <v>15554</v>
      </c>
      <c r="Q60" s="151">
        <v>9365</v>
      </c>
      <c r="R60" s="151">
        <v>7418</v>
      </c>
      <c r="S60" s="151">
        <v>581</v>
      </c>
      <c r="T60" s="151">
        <v>153395</v>
      </c>
      <c r="U60" s="147"/>
      <c r="V60" s="152">
        <f t="shared" si="19"/>
        <v>0.21733433293132109</v>
      </c>
      <c r="W60" s="152">
        <f t="shared" si="3"/>
        <v>0.23565305257668112</v>
      </c>
      <c r="X60" s="152">
        <f t="shared" si="4"/>
        <v>0.19754881189086998</v>
      </c>
      <c r="Y60" s="152">
        <f t="shared" si="5"/>
        <v>0.13486749894064343</v>
      </c>
      <c r="Z60" s="152">
        <f t="shared" si="6"/>
        <v>0.10139835066332019</v>
      </c>
      <c r="AA60" s="152">
        <f t="shared" si="7"/>
        <v>6.1051533622347533E-2</v>
      </c>
      <c r="AB60" s="152">
        <f t="shared" si="8"/>
        <v>4.8358812216825843E-2</v>
      </c>
      <c r="AC60" s="152">
        <f t="shared" si="9"/>
        <v>3.7876071579908081E-3</v>
      </c>
      <c r="AD60" s="152"/>
      <c r="AE60" s="221">
        <v>365</v>
      </c>
      <c r="AF60" s="221">
        <v>260</v>
      </c>
      <c r="AG60" s="221">
        <v>303</v>
      </c>
      <c r="AH60" s="221">
        <v>292</v>
      </c>
      <c r="AI60" s="221">
        <v>215</v>
      </c>
      <c r="AJ60" s="221">
        <v>174</v>
      </c>
      <c r="AK60" s="221">
        <v>113</v>
      </c>
      <c r="AL60" s="221">
        <v>9</v>
      </c>
      <c r="AM60" s="221">
        <v>1731</v>
      </c>
      <c r="AN60" s="147"/>
      <c r="AO60" s="221">
        <v>3</v>
      </c>
      <c r="AP60" s="221">
        <v>-4</v>
      </c>
      <c r="AQ60" s="221">
        <v>-7</v>
      </c>
      <c r="AR60" s="221">
        <v>-9</v>
      </c>
      <c r="AS60" s="221">
        <v>-12</v>
      </c>
      <c r="AT60" s="221">
        <v>-11</v>
      </c>
      <c r="AU60" s="221">
        <v>-7</v>
      </c>
      <c r="AV60" s="221">
        <v>-3</v>
      </c>
      <c r="AW60" s="221">
        <v>-50</v>
      </c>
      <c r="AX60" s="56">
        <f t="shared" si="29"/>
        <v>-3</v>
      </c>
      <c r="AY60" s="56">
        <f t="shared" si="29"/>
        <v>4</v>
      </c>
      <c r="AZ60" s="56">
        <f t="shared" si="29"/>
        <v>7</v>
      </c>
      <c r="BA60" s="56">
        <f t="shared" si="29"/>
        <v>9</v>
      </c>
      <c r="BB60" s="56">
        <f t="shared" si="29"/>
        <v>12</v>
      </c>
      <c r="BC60" s="56">
        <f t="shared" si="30"/>
        <v>11</v>
      </c>
      <c r="BD60" s="56">
        <f t="shared" si="30"/>
        <v>7</v>
      </c>
      <c r="BE60" s="56">
        <f t="shared" si="30"/>
        <v>3</v>
      </c>
      <c r="BF60" s="56">
        <f t="shared" si="30"/>
        <v>50</v>
      </c>
      <c r="BH60">
        <f t="shared" si="11"/>
        <v>1</v>
      </c>
      <c r="BI60">
        <f t="shared" si="20"/>
        <v>0</v>
      </c>
      <c r="BJ60" s="154">
        <v>326383.11333333328</v>
      </c>
      <c r="BK60" s="155">
        <f t="shared" si="12"/>
        <v>326383.11333333328</v>
      </c>
      <c r="BL60" s="156">
        <v>1224966.4822222223</v>
      </c>
      <c r="BM60" s="155">
        <f t="shared" si="13"/>
        <v>1224966.4822222223</v>
      </c>
      <c r="BN60" s="158">
        <v>1175658.82</v>
      </c>
      <c r="BO60" s="155">
        <f t="shared" si="14"/>
        <v>1175658.82</v>
      </c>
      <c r="BP60" s="158">
        <v>1082077.8666666667</v>
      </c>
      <c r="BQ60" s="155">
        <f t="shared" si="15"/>
        <v>1082077.8666666667</v>
      </c>
      <c r="BR60" s="158">
        <v>1615378.4266666668</v>
      </c>
      <c r="BS60" s="155">
        <f t="shared" si="16"/>
        <v>1615378.4266666668</v>
      </c>
      <c r="BT60" s="194">
        <v>2647079.2288888884</v>
      </c>
      <c r="BU60" s="194"/>
      <c r="BV60" s="348">
        <f t="shared" si="21"/>
        <v>2647079.2288888884</v>
      </c>
      <c r="BW60" s="195">
        <f t="shared" si="17"/>
        <v>2837751.5688888887</v>
      </c>
      <c r="BX60" s="157" t="str">
        <f t="shared" si="22"/>
        <v>0</v>
      </c>
      <c r="BY60" s="157">
        <f>IF(E60*$CJ$10*'Year 7 Payments'!$L$20*IF(B60="",1,0.8)&lt;=(BW60-(J60*350)),E60*$CJ$10*'Year 7 Payments'!$L$20*IF(B60="",1,0.8),BW60-(IF(B60="",1,0.8)*J60*350))</f>
        <v>860187.83455999999</v>
      </c>
      <c r="BZ60" s="157" t="str">
        <f t="shared" si="23"/>
        <v>0</v>
      </c>
      <c r="CA60" s="157">
        <f t="shared" si="24"/>
        <v>1977563.7343288888</v>
      </c>
      <c r="CB60" s="157">
        <f t="shared" si="25"/>
        <v>0</v>
      </c>
      <c r="CC60" s="157">
        <f t="shared" si="26"/>
        <v>7910254.9373155553</v>
      </c>
      <c r="CD60" s="201">
        <f t="shared" si="27"/>
        <v>0</v>
      </c>
      <c r="CE60" s="155">
        <f t="shared" si="28"/>
        <v>1977563.7343288888</v>
      </c>
    </row>
    <row r="61" spans="1:83" x14ac:dyDescent="0.2">
      <c r="A61" s="147" t="s">
        <v>523</v>
      </c>
      <c r="B61" s="57" t="s">
        <v>448</v>
      </c>
      <c r="C61" s="57" t="s">
        <v>449</v>
      </c>
      <c r="D61" s="148" t="s">
        <v>89</v>
      </c>
      <c r="E61" s="197">
        <v>37692</v>
      </c>
      <c r="F61" s="147">
        <f t="shared" si="18"/>
        <v>49221</v>
      </c>
      <c r="G61" s="342">
        <v>499</v>
      </c>
      <c r="H61" s="149">
        <f t="shared" si="2"/>
        <v>162</v>
      </c>
      <c r="I61" s="346">
        <v>0</v>
      </c>
      <c r="J61" s="150">
        <v>30</v>
      </c>
      <c r="K61"/>
      <c r="L61" s="151">
        <v>26661</v>
      </c>
      <c r="M61" s="151">
        <v>10143</v>
      </c>
      <c r="N61" s="151">
        <v>6180</v>
      </c>
      <c r="O61" s="151">
        <v>3699</v>
      </c>
      <c r="P61" s="151">
        <v>1780</v>
      </c>
      <c r="Q61" s="151">
        <v>519</v>
      </c>
      <c r="R61" s="151">
        <v>215</v>
      </c>
      <c r="S61" s="151">
        <v>24</v>
      </c>
      <c r="T61" s="151">
        <v>49221</v>
      </c>
      <c r="U61" s="147"/>
      <c r="V61" s="152">
        <f t="shared" si="19"/>
        <v>0.541659047967331</v>
      </c>
      <c r="W61" s="152">
        <f t="shared" si="3"/>
        <v>0.20607057963064546</v>
      </c>
      <c r="X61" s="152">
        <f t="shared" si="4"/>
        <v>0.12555616505150241</v>
      </c>
      <c r="Y61" s="152">
        <f t="shared" si="5"/>
        <v>7.5150850246845854E-2</v>
      </c>
      <c r="Z61" s="152">
        <f t="shared" si="6"/>
        <v>3.6163426179882573E-2</v>
      </c>
      <c r="AA61" s="152">
        <f t="shared" si="7"/>
        <v>1.0544279880538795E-2</v>
      </c>
      <c r="AB61" s="152">
        <f t="shared" si="8"/>
        <v>4.3680542857723326E-3</v>
      </c>
      <c r="AC61" s="152">
        <f t="shared" si="9"/>
        <v>4.8759675748156274E-4</v>
      </c>
      <c r="AD61" s="152"/>
      <c r="AE61" s="221">
        <v>63</v>
      </c>
      <c r="AF61" s="221">
        <v>41</v>
      </c>
      <c r="AG61" s="221">
        <v>18</v>
      </c>
      <c r="AH61" s="221">
        <v>19</v>
      </c>
      <c r="AI61" s="221">
        <v>14</v>
      </c>
      <c r="AJ61" s="221">
        <v>1</v>
      </c>
      <c r="AK61" s="221">
        <v>0</v>
      </c>
      <c r="AL61" s="221">
        <v>0</v>
      </c>
      <c r="AM61" s="221">
        <v>156</v>
      </c>
      <c r="AN61" s="147"/>
      <c r="AO61" s="221">
        <v>2</v>
      </c>
      <c r="AP61" s="221">
        <v>-1</v>
      </c>
      <c r="AQ61" s="221">
        <v>-10</v>
      </c>
      <c r="AR61" s="221">
        <v>4</v>
      </c>
      <c r="AS61" s="221">
        <v>-4</v>
      </c>
      <c r="AT61" s="221">
        <v>1</v>
      </c>
      <c r="AU61" s="221">
        <v>2</v>
      </c>
      <c r="AV61" s="221">
        <v>0</v>
      </c>
      <c r="AW61" s="221">
        <v>-6</v>
      </c>
      <c r="AX61" s="56">
        <f t="shared" si="29"/>
        <v>-2</v>
      </c>
      <c r="AY61" s="56">
        <f t="shared" si="29"/>
        <v>1</v>
      </c>
      <c r="AZ61" s="56">
        <f t="shared" si="29"/>
        <v>10</v>
      </c>
      <c r="BA61" s="56">
        <f t="shared" si="29"/>
        <v>-4</v>
      </c>
      <c r="BB61" s="56">
        <f t="shared" si="29"/>
        <v>4</v>
      </c>
      <c r="BC61" s="56">
        <f t="shared" si="30"/>
        <v>-1</v>
      </c>
      <c r="BD61" s="56">
        <f t="shared" si="30"/>
        <v>-2</v>
      </c>
      <c r="BE61" s="56">
        <f t="shared" si="30"/>
        <v>0</v>
      </c>
      <c r="BF61" s="56">
        <f t="shared" si="30"/>
        <v>6</v>
      </c>
      <c r="BH61">
        <f t="shared" si="11"/>
        <v>0.8</v>
      </c>
      <c r="BI61">
        <f t="shared" si="20"/>
        <v>0.19999999999999996</v>
      </c>
      <c r="BJ61" s="154">
        <v>126907.22133333335</v>
      </c>
      <c r="BK61" s="155">
        <f t="shared" si="12"/>
        <v>126907.22133333335</v>
      </c>
      <c r="BL61" s="156">
        <v>100843.27377777775</v>
      </c>
      <c r="BM61" s="155">
        <f t="shared" si="13"/>
        <v>100843.27377777775</v>
      </c>
      <c r="BN61" s="158">
        <v>123662.43822222222</v>
      </c>
      <c r="BO61" s="155">
        <f t="shared" si="14"/>
        <v>123662.43822222222</v>
      </c>
      <c r="BP61" s="158">
        <v>100567.78666666665</v>
      </c>
      <c r="BQ61" s="155">
        <f t="shared" si="15"/>
        <v>100567.78666666665</v>
      </c>
      <c r="BR61" s="158">
        <v>154306.30933333331</v>
      </c>
      <c r="BS61" s="155">
        <f t="shared" si="16"/>
        <v>154306.30933333331</v>
      </c>
      <c r="BT61" s="194">
        <v>295859.31200000003</v>
      </c>
      <c r="BU61" s="194"/>
      <c r="BV61" s="348">
        <f t="shared" si="21"/>
        <v>295859.31200000003</v>
      </c>
      <c r="BW61" s="195">
        <f t="shared" si="17"/>
        <v>169785.57511111113</v>
      </c>
      <c r="BX61" s="157">
        <f t="shared" si="22"/>
        <v>42446.393777777783</v>
      </c>
      <c r="BY61" s="157">
        <f>IF(E61*$CJ$10*'Year 7 Payments'!$L$20*IF(B61="",1,0.8)&lt;=(BW61-(J61*350)),E61*$CJ$10*'Year 7 Payments'!$L$20*IF(B61="",1,0.8),BW61-(IF(B61="",1,0.8)*J61*350))</f>
        <v>161385.57511111113</v>
      </c>
      <c r="BZ61" s="157">
        <f t="shared" si="23"/>
        <v>40346.393777777783</v>
      </c>
      <c r="CA61" s="157">
        <f t="shared" si="24"/>
        <v>8400</v>
      </c>
      <c r="CB61" s="157">
        <f t="shared" si="25"/>
        <v>2100</v>
      </c>
      <c r="CC61" s="157">
        <f t="shared" si="26"/>
        <v>33600</v>
      </c>
      <c r="CD61" s="201">
        <f t="shared" si="27"/>
        <v>8400</v>
      </c>
      <c r="CE61" s="155">
        <f t="shared" si="28"/>
        <v>8400</v>
      </c>
    </row>
    <row r="62" spans="1:83" x14ac:dyDescent="0.2">
      <c r="A62" s="147" t="s">
        <v>524</v>
      </c>
      <c r="B62" s="57" t="s">
        <v>442</v>
      </c>
      <c r="C62" s="57" t="s">
        <v>443</v>
      </c>
      <c r="D62" s="148" t="s">
        <v>90</v>
      </c>
      <c r="E62" s="197">
        <v>61222.888888888891</v>
      </c>
      <c r="F62" s="147">
        <f t="shared" si="18"/>
        <v>56373</v>
      </c>
      <c r="G62" s="342">
        <v>253</v>
      </c>
      <c r="H62" s="149">
        <f t="shared" si="2"/>
        <v>445</v>
      </c>
      <c r="I62" s="346">
        <v>240.77511111111113</v>
      </c>
      <c r="J62" s="150">
        <v>98</v>
      </c>
      <c r="K62"/>
      <c r="L62" s="151">
        <v>3243</v>
      </c>
      <c r="M62" s="151">
        <v>5892</v>
      </c>
      <c r="N62" s="151">
        <v>14179</v>
      </c>
      <c r="O62" s="151">
        <v>11667</v>
      </c>
      <c r="P62" s="151">
        <v>8540</v>
      </c>
      <c r="Q62" s="151">
        <v>5877</v>
      </c>
      <c r="R62" s="151">
        <v>5709</v>
      </c>
      <c r="S62" s="151">
        <v>1266</v>
      </c>
      <c r="T62" s="151">
        <v>56373</v>
      </c>
      <c r="U62" s="147"/>
      <c r="V62" s="152">
        <f t="shared" si="19"/>
        <v>5.7527539779681759E-2</v>
      </c>
      <c r="W62" s="152">
        <f t="shared" si="3"/>
        <v>0.10451812037677612</v>
      </c>
      <c r="X62" s="152">
        <f t="shared" si="4"/>
        <v>0.25152111826583651</v>
      </c>
      <c r="Y62" s="152">
        <f t="shared" si="5"/>
        <v>0.20696077909637592</v>
      </c>
      <c r="Z62" s="152">
        <f t="shared" si="6"/>
        <v>0.15149096198534759</v>
      </c>
      <c r="AA62" s="152">
        <f t="shared" si="7"/>
        <v>0.104252035548933</v>
      </c>
      <c r="AB62" s="152">
        <f t="shared" si="8"/>
        <v>0.1012718854770901</v>
      </c>
      <c r="AC62" s="152">
        <f t="shared" si="9"/>
        <v>2.2457559469959022E-2</v>
      </c>
      <c r="AD62" s="152"/>
      <c r="AE62" s="221">
        <v>5</v>
      </c>
      <c r="AF62" s="221">
        <v>72</v>
      </c>
      <c r="AG62" s="221">
        <v>146</v>
      </c>
      <c r="AH62" s="221">
        <v>83</v>
      </c>
      <c r="AI62" s="221">
        <v>100</v>
      </c>
      <c r="AJ62" s="221">
        <v>67</v>
      </c>
      <c r="AK62" s="221">
        <v>17</v>
      </c>
      <c r="AL62" s="221">
        <v>16</v>
      </c>
      <c r="AM62" s="221">
        <v>506</v>
      </c>
      <c r="AN62" s="147"/>
      <c r="AO62" s="221">
        <v>-9</v>
      </c>
      <c r="AP62" s="221">
        <v>25</v>
      </c>
      <c r="AQ62" s="221">
        <v>21</v>
      </c>
      <c r="AR62" s="221">
        <v>1</v>
      </c>
      <c r="AS62" s="221">
        <v>6</v>
      </c>
      <c r="AT62" s="221">
        <v>6</v>
      </c>
      <c r="AU62" s="221">
        <v>16</v>
      </c>
      <c r="AV62" s="221">
        <v>-5</v>
      </c>
      <c r="AW62" s="221">
        <v>61</v>
      </c>
      <c r="AX62" s="56">
        <f t="shared" si="29"/>
        <v>9</v>
      </c>
      <c r="AY62" s="56">
        <f t="shared" si="29"/>
        <v>-25</v>
      </c>
      <c r="AZ62" s="56">
        <f t="shared" si="29"/>
        <v>-21</v>
      </c>
      <c r="BA62" s="56">
        <f t="shared" si="29"/>
        <v>-1</v>
      </c>
      <c r="BB62" s="56">
        <f t="shared" si="29"/>
        <v>-6</v>
      </c>
      <c r="BC62" s="56">
        <f t="shared" si="30"/>
        <v>-6</v>
      </c>
      <c r="BD62" s="56">
        <f t="shared" si="30"/>
        <v>-16</v>
      </c>
      <c r="BE62" s="56">
        <f t="shared" si="30"/>
        <v>5</v>
      </c>
      <c r="BF62" s="56">
        <f t="shared" si="30"/>
        <v>-61</v>
      </c>
      <c r="BH62">
        <f t="shared" si="11"/>
        <v>0.8</v>
      </c>
      <c r="BI62">
        <f t="shared" si="20"/>
        <v>0.19999999999999996</v>
      </c>
      <c r="BJ62" s="154">
        <v>382896.48533333332</v>
      </c>
      <c r="BK62" s="155">
        <f t="shared" si="12"/>
        <v>382896.48533333332</v>
      </c>
      <c r="BL62" s="156">
        <v>530406.34400000004</v>
      </c>
      <c r="BM62" s="155">
        <f t="shared" si="13"/>
        <v>530406.34400000004</v>
      </c>
      <c r="BN62" s="158">
        <v>474156.73600000015</v>
      </c>
      <c r="BO62" s="155">
        <f t="shared" si="14"/>
        <v>474156.73600000015</v>
      </c>
      <c r="BP62" s="158">
        <v>724193.28000000003</v>
      </c>
      <c r="BQ62" s="155">
        <f t="shared" si="15"/>
        <v>724193.28000000003</v>
      </c>
      <c r="BR62" s="158">
        <v>540153.65866666683</v>
      </c>
      <c r="BS62" s="155">
        <f t="shared" si="16"/>
        <v>540153.65866666683</v>
      </c>
      <c r="BT62" s="194">
        <v>1014087.648</v>
      </c>
      <c r="BU62" s="194"/>
      <c r="BV62" s="348">
        <f t="shared" si="21"/>
        <v>1014087.648</v>
      </c>
      <c r="BW62" s="195">
        <f t="shared" si="17"/>
        <v>621725.04533333331</v>
      </c>
      <c r="BX62" s="157">
        <f t="shared" si="22"/>
        <v>155431.26133333333</v>
      </c>
      <c r="BY62" s="157">
        <f>IF(E62*$CJ$10*'Year 7 Payments'!$L$20*IF(B62="",1,0.8)&lt;=(BW62-(J62*350)),E62*$CJ$10*'Year 7 Payments'!$L$20*IF(B62="",1,0.8),BW62-(IF(B62="",1,0.8)*J62*350))</f>
        <v>299661.06217244448</v>
      </c>
      <c r="BZ62" s="157">
        <f t="shared" si="23"/>
        <v>74915.26554311112</v>
      </c>
      <c r="CA62" s="157">
        <f t="shared" si="24"/>
        <v>322063.98316088883</v>
      </c>
      <c r="CB62" s="157">
        <f t="shared" si="25"/>
        <v>80515.995790222209</v>
      </c>
      <c r="CC62" s="157">
        <f t="shared" si="26"/>
        <v>1288255.9326435553</v>
      </c>
      <c r="CD62" s="201">
        <f t="shared" si="27"/>
        <v>322063.98316088883</v>
      </c>
      <c r="CE62" s="155">
        <f t="shared" si="28"/>
        <v>322063.98316088883</v>
      </c>
    </row>
    <row r="63" spans="1:83" x14ac:dyDescent="0.2">
      <c r="A63" s="147" t="s">
        <v>525</v>
      </c>
      <c r="B63" s="57" t="s">
        <v>456</v>
      </c>
      <c r="C63" s="57" t="s">
        <v>443</v>
      </c>
      <c r="D63" s="148" t="s">
        <v>91</v>
      </c>
      <c r="E63" s="197">
        <v>49489.333333333336</v>
      </c>
      <c r="F63" s="147">
        <f t="shared" si="18"/>
        <v>39337</v>
      </c>
      <c r="G63" s="342">
        <v>375</v>
      </c>
      <c r="H63" s="149">
        <f t="shared" si="2"/>
        <v>332</v>
      </c>
      <c r="I63" s="346">
        <v>231.04266666666666</v>
      </c>
      <c r="J63" s="150">
        <v>18</v>
      </c>
      <c r="K63"/>
      <c r="L63" s="151">
        <v>749</v>
      </c>
      <c r="M63" s="151">
        <v>2087</v>
      </c>
      <c r="N63" s="151">
        <v>5590</v>
      </c>
      <c r="O63" s="151">
        <v>6699</v>
      </c>
      <c r="P63" s="151">
        <v>6626</v>
      </c>
      <c r="Q63" s="151">
        <v>6632</v>
      </c>
      <c r="R63" s="151">
        <v>9019</v>
      </c>
      <c r="S63" s="151">
        <v>1935</v>
      </c>
      <c r="T63" s="151">
        <v>39337</v>
      </c>
      <c r="U63" s="147"/>
      <c r="V63" s="152">
        <f t="shared" si="19"/>
        <v>1.9040597910364287E-2</v>
      </c>
      <c r="W63" s="152">
        <f t="shared" si="3"/>
        <v>5.3054376286956299E-2</v>
      </c>
      <c r="X63" s="152">
        <f t="shared" si="4"/>
        <v>0.14210539695452118</v>
      </c>
      <c r="Y63" s="152">
        <f t="shared" si="5"/>
        <v>0.17029768411419274</v>
      </c>
      <c r="Z63" s="152">
        <f t="shared" si="6"/>
        <v>0.16844192490530543</v>
      </c>
      <c r="AA63" s="152">
        <f t="shared" si="7"/>
        <v>0.16859445305946055</v>
      </c>
      <c r="AB63" s="152">
        <f t="shared" si="8"/>
        <v>0.22927523705417291</v>
      </c>
      <c r="AC63" s="152">
        <f t="shared" si="9"/>
        <v>4.9190329715026564E-2</v>
      </c>
      <c r="AD63" s="152"/>
      <c r="AE63" s="221">
        <v>35</v>
      </c>
      <c r="AF63" s="221">
        <v>33</v>
      </c>
      <c r="AG63" s="221">
        <v>69</v>
      </c>
      <c r="AH63" s="221">
        <v>26</v>
      </c>
      <c r="AI63" s="221">
        <v>32</v>
      </c>
      <c r="AJ63" s="221">
        <v>36</v>
      </c>
      <c r="AK63" s="221">
        <v>43</v>
      </c>
      <c r="AL63" s="221">
        <v>39</v>
      </c>
      <c r="AM63" s="221">
        <v>313</v>
      </c>
      <c r="AN63" s="147"/>
      <c r="AO63" s="221">
        <v>6</v>
      </c>
      <c r="AP63" s="221">
        <v>9</v>
      </c>
      <c r="AQ63" s="221">
        <v>22</v>
      </c>
      <c r="AR63" s="221">
        <v>-12</v>
      </c>
      <c r="AS63" s="221">
        <v>-2</v>
      </c>
      <c r="AT63" s="221">
        <v>-15</v>
      </c>
      <c r="AU63" s="221">
        <v>-23</v>
      </c>
      <c r="AV63" s="221">
        <v>-4</v>
      </c>
      <c r="AW63" s="221">
        <v>-19</v>
      </c>
      <c r="AX63" s="56">
        <f t="shared" si="29"/>
        <v>-6</v>
      </c>
      <c r="AY63" s="56">
        <f t="shared" si="29"/>
        <v>-9</v>
      </c>
      <c r="AZ63" s="56">
        <f t="shared" si="29"/>
        <v>-22</v>
      </c>
      <c r="BA63" s="56">
        <f t="shared" si="29"/>
        <v>12</v>
      </c>
      <c r="BB63" s="56">
        <f t="shared" si="29"/>
        <v>2</v>
      </c>
      <c r="BC63" s="56">
        <f t="shared" si="30"/>
        <v>15</v>
      </c>
      <c r="BD63" s="56">
        <f t="shared" si="30"/>
        <v>23</v>
      </c>
      <c r="BE63" s="56">
        <f t="shared" si="30"/>
        <v>4</v>
      </c>
      <c r="BF63" s="56">
        <f t="shared" si="30"/>
        <v>19</v>
      </c>
      <c r="BH63">
        <f t="shared" si="11"/>
        <v>0.8</v>
      </c>
      <c r="BI63">
        <f t="shared" si="20"/>
        <v>0.19999999999999996</v>
      </c>
      <c r="BJ63" s="154">
        <v>29551.983999999997</v>
      </c>
      <c r="BK63" s="155">
        <f t="shared" si="12"/>
        <v>29551.983999999997</v>
      </c>
      <c r="BL63" s="156">
        <v>178842.87555555557</v>
      </c>
      <c r="BM63" s="155">
        <f t="shared" si="13"/>
        <v>178842.87555555557</v>
      </c>
      <c r="BN63" s="158">
        <v>160117.88711111114</v>
      </c>
      <c r="BO63" s="155">
        <f t="shared" si="14"/>
        <v>160117.88711111114</v>
      </c>
      <c r="BP63" s="158">
        <v>354116.05333333329</v>
      </c>
      <c r="BQ63" s="155">
        <f t="shared" si="15"/>
        <v>354116.05333333329</v>
      </c>
      <c r="BR63" s="158">
        <v>11863.381333333333</v>
      </c>
      <c r="BS63" s="155">
        <f t="shared" si="16"/>
        <v>11863.381333333333</v>
      </c>
      <c r="BT63" s="194">
        <v>312381.60177777772</v>
      </c>
      <c r="BU63" s="194"/>
      <c r="BV63" s="348">
        <f t="shared" si="21"/>
        <v>312381.60177777772</v>
      </c>
      <c r="BW63" s="195">
        <f t="shared" si="17"/>
        <v>529984.99199999997</v>
      </c>
      <c r="BX63" s="157">
        <f t="shared" si="22"/>
        <v>132496.24799999999</v>
      </c>
      <c r="BY63" s="157">
        <f>IF(E63*$CJ$10*'Year 7 Payments'!$L$20*IF(B63="",1,0.8)&lt;=(BW63-(J63*350)),E63*$CJ$10*'Year 7 Payments'!$L$20*IF(B63="",1,0.8),BW63-(IF(B63="",1,0.8)*J63*350))</f>
        <v>242230.09501866667</v>
      </c>
      <c r="BZ63" s="157">
        <f t="shared" si="23"/>
        <v>60557.523754666669</v>
      </c>
      <c r="CA63" s="157">
        <f t="shared" si="24"/>
        <v>287754.89698133327</v>
      </c>
      <c r="CB63" s="157">
        <f t="shared" si="25"/>
        <v>71938.724245333317</v>
      </c>
      <c r="CC63" s="157">
        <f t="shared" si="26"/>
        <v>1151019.5879253331</v>
      </c>
      <c r="CD63" s="201">
        <f t="shared" si="27"/>
        <v>287754.89698133327</v>
      </c>
      <c r="CE63" s="155">
        <f t="shared" si="28"/>
        <v>287754.89698133327</v>
      </c>
    </row>
    <row r="64" spans="1:83" x14ac:dyDescent="0.2">
      <c r="A64" s="147" t="s">
        <v>526</v>
      </c>
      <c r="B64" s="57" t="s">
        <v>503</v>
      </c>
      <c r="C64" s="57" t="s">
        <v>446</v>
      </c>
      <c r="D64" s="148" t="s">
        <v>92</v>
      </c>
      <c r="E64" s="197">
        <v>42863.444444444445</v>
      </c>
      <c r="F64" s="147">
        <f t="shared" si="18"/>
        <v>49737</v>
      </c>
      <c r="G64" s="342">
        <v>502</v>
      </c>
      <c r="H64" s="149">
        <f t="shared" si="2"/>
        <v>615</v>
      </c>
      <c r="I64" s="346">
        <v>460.76844444444441</v>
      </c>
      <c r="J64" s="150">
        <v>90</v>
      </c>
      <c r="K64"/>
      <c r="L64" s="151">
        <v>14741</v>
      </c>
      <c r="M64" s="151">
        <v>11290</v>
      </c>
      <c r="N64" s="151">
        <v>9330</v>
      </c>
      <c r="O64" s="151">
        <v>6588</v>
      </c>
      <c r="P64" s="151">
        <v>4764</v>
      </c>
      <c r="Q64" s="151">
        <v>2081</v>
      </c>
      <c r="R64" s="151">
        <v>875</v>
      </c>
      <c r="S64" s="151">
        <v>68</v>
      </c>
      <c r="T64" s="151">
        <v>49737</v>
      </c>
      <c r="U64" s="147"/>
      <c r="V64" s="152">
        <f t="shared" si="19"/>
        <v>0.29637895329432817</v>
      </c>
      <c r="W64" s="152">
        <f t="shared" si="3"/>
        <v>0.22699398837887289</v>
      </c>
      <c r="X64" s="152">
        <f t="shared" si="4"/>
        <v>0.18758670607394898</v>
      </c>
      <c r="Y64" s="152">
        <f t="shared" si="5"/>
        <v>0.13245672235961156</v>
      </c>
      <c r="Z64" s="152">
        <f t="shared" si="6"/>
        <v>9.5783822908498698E-2</v>
      </c>
      <c r="AA64" s="152">
        <f t="shared" si="7"/>
        <v>4.1840078814564613E-2</v>
      </c>
      <c r="AB64" s="152">
        <f t="shared" si="8"/>
        <v>1.7592536743269598E-2</v>
      </c>
      <c r="AC64" s="152">
        <f t="shared" si="9"/>
        <v>1.3671914269055231E-3</v>
      </c>
      <c r="AD64" s="152"/>
      <c r="AE64" s="221">
        <v>58</v>
      </c>
      <c r="AF64" s="221">
        <v>163</v>
      </c>
      <c r="AG64" s="221">
        <v>74</v>
      </c>
      <c r="AH64" s="221">
        <v>71</v>
      </c>
      <c r="AI64" s="221">
        <v>148</v>
      </c>
      <c r="AJ64" s="221">
        <v>78</v>
      </c>
      <c r="AK64" s="221">
        <v>11</v>
      </c>
      <c r="AL64" s="221">
        <v>3</v>
      </c>
      <c r="AM64" s="221">
        <v>606</v>
      </c>
      <c r="AN64" s="147"/>
      <c r="AO64" s="221">
        <v>20</v>
      </c>
      <c r="AP64" s="221">
        <v>-18</v>
      </c>
      <c r="AQ64" s="221">
        <v>2</v>
      </c>
      <c r="AR64" s="221">
        <v>-8</v>
      </c>
      <c r="AS64" s="221">
        <v>-3</v>
      </c>
      <c r="AT64" s="221">
        <v>-5</v>
      </c>
      <c r="AU64" s="221">
        <v>1</v>
      </c>
      <c r="AV64" s="221">
        <v>2</v>
      </c>
      <c r="AW64" s="221">
        <v>-9</v>
      </c>
      <c r="AX64" s="56">
        <f t="shared" si="29"/>
        <v>-20</v>
      </c>
      <c r="AY64" s="56">
        <f t="shared" si="29"/>
        <v>18</v>
      </c>
      <c r="AZ64" s="56">
        <f t="shared" si="29"/>
        <v>-2</v>
      </c>
      <c r="BA64" s="56">
        <f t="shared" si="29"/>
        <v>8</v>
      </c>
      <c r="BB64" s="56">
        <f t="shared" si="29"/>
        <v>3</v>
      </c>
      <c r="BC64" s="56">
        <f t="shared" si="30"/>
        <v>5</v>
      </c>
      <c r="BD64" s="56">
        <f t="shared" si="30"/>
        <v>-1</v>
      </c>
      <c r="BE64" s="56">
        <f t="shared" si="30"/>
        <v>-2</v>
      </c>
      <c r="BF64" s="56">
        <f t="shared" si="30"/>
        <v>9</v>
      </c>
      <c r="BH64">
        <f t="shared" si="11"/>
        <v>0.8</v>
      </c>
      <c r="BI64">
        <f t="shared" si="20"/>
        <v>0.19999999999999996</v>
      </c>
      <c r="BJ64" s="154">
        <v>301916.37333333335</v>
      </c>
      <c r="BK64" s="155">
        <f t="shared" si="12"/>
        <v>301916.37333333335</v>
      </c>
      <c r="BL64" s="156">
        <v>742337.55644444423</v>
      </c>
      <c r="BM64" s="155">
        <f t="shared" si="13"/>
        <v>742337.55644444423</v>
      </c>
      <c r="BN64" s="158">
        <v>739007.71555555565</v>
      </c>
      <c r="BO64" s="155">
        <f t="shared" si="14"/>
        <v>739007.71555555565</v>
      </c>
      <c r="BP64" s="158">
        <v>846556.58666666679</v>
      </c>
      <c r="BQ64" s="155">
        <f t="shared" si="15"/>
        <v>846556.58666666679</v>
      </c>
      <c r="BR64" s="158">
        <v>749248.39466666663</v>
      </c>
      <c r="BS64" s="155">
        <f t="shared" si="16"/>
        <v>749248.39466666663</v>
      </c>
      <c r="BT64" s="194">
        <v>1076130.496</v>
      </c>
      <c r="BU64" s="194"/>
      <c r="BV64" s="348">
        <f t="shared" si="21"/>
        <v>1076130.496</v>
      </c>
      <c r="BW64" s="195">
        <f t="shared" si="17"/>
        <v>798817.45777777769</v>
      </c>
      <c r="BX64" s="157">
        <f t="shared" si="22"/>
        <v>199704.36444444442</v>
      </c>
      <c r="BY64" s="157">
        <f>IF(E64*$CJ$10*'Year 7 Payments'!$L$20*IF(B64="",1,0.8)&lt;=(BW64-(J64*350)),E64*$CJ$10*'Year 7 Payments'!$L$20*IF(B64="",1,0.8),BW64-(IF(B64="",1,0.8)*J64*350))</f>
        <v>209799.07227022221</v>
      </c>
      <c r="BZ64" s="157">
        <f t="shared" si="23"/>
        <v>52449.768067555553</v>
      </c>
      <c r="CA64" s="157">
        <f t="shared" si="24"/>
        <v>589018.38550755545</v>
      </c>
      <c r="CB64" s="157">
        <f t="shared" si="25"/>
        <v>147254.59637688886</v>
      </c>
      <c r="CC64" s="157">
        <f t="shared" si="26"/>
        <v>2356073.5420302218</v>
      </c>
      <c r="CD64" s="201">
        <f t="shared" si="27"/>
        <v>589018.38550755545</v>
      </c>
      <c r="CE64" s="155">
        <f t="shared" si="28"/>
        <v>589018.38550755545</v>
      </c>
    </row>
    <row r="65" spans="1:83" x14ac:dyDescent="0.2">
      <c r="A65" s="147" t="s">
        <v>527</v>
      </c>
      <c r="B65" s="57" t="s">
        <v>528</v>
      </c>
      <c r="C65" s="57" t="s">
        <v>472</v>
      </c>
      <c r="D65" s="148" t="s">
        <v>93</v>
      </c>
      <c r="E65" s="197">
        <v>24116.444444444445</v>
      </c>
      <c r="F65" s="147">
        <f t="shared" si="18"/>
        <v>23764</v>
      </c>
      <c r="G65" s="342">
        <v>150</v>
      </c>
      <c r="H65" s="149">
        <f t="shared" si="2"/>
        <v>111</v>
      </c>
      <c r="I65" s="346">
        <v>23.200888888888869</v>
      </c>
      <c r="J65" s="150">
        <v>9</v>
      </c>
      <c r="K65"/>
      <c r="L65" s="151">
        <v>1711</v>
      </c>
      <c r="M65" s="151">
        <v>2288</v>
      </c>
      <c r="N65" s="151">
        <v>6146</v>
      </c>
      <c r="O65" s="151">
        <v>6144</v>
      </c>
      <c r="P65" s="151">
        <v>5066</v>
      </c>
      <c r="Q65" s="151">
        <v>1600</v>
      </c>
      <c r="R65" s="151">
        <v>770</v>
      </c>
      <c r="S65" s="151">
        <v>39</v>
      </c>
      <c r="T65" s="151">
        <v>23764</v>
      </c>
      <c r="U65" s="147"/>
      <c r="V65" s="152">
        <f t="shared" si="19"/>
        <v>7.1999663356337312E-2</v>
      </c>
      <c r="W65" s="152">
        <f t="shared" si="3"/>
        <v>9.6280087527352301E-2</v>
      </c>
      <c r="X65" s="152">
        <f t="shared" si="4"/>
        <v>0.25862649385625314</v>
      </c>
      <c r="Y65" s="152">
        <f t="shared" si="5"/>
        <v>0.25854233294058238</v>
      </c>
      <c r="Z65" s="152">
        <f t="shared" si="6"/>
        <v>0.21317959939404141</v>
      </c>
      <c r="AA65" s="152">
        <f t="shared" si="7"/>
        <v>6.7328732536609995E-2</v>
      </c>
      <c r="AB65" s="152">
        <f t="shared" si="8"/>
        <v>3.2401952533243565E-2</v>
      </c>
      <c r="AC65" s="152">
        <f t="shared" si="9"/>
        <v>1.6411378555798686E-3</v>
      </c>
      <c r="AD65" s="152"/>
      <c r="AE65" s="221">
        <v>-31</v>
      </c>
      <c r="AF65" s="221">
        <v>7</v>
      </c>
      <c r="AG65" s="221">
        <v>19</v>
      </c>
      <c r="AH65" s="221">
        <v>12</v>
      </c>
      <c r="AI65" s="221">
        <v>19</v>
      </c>
      <c r="AJ65" s="221">
        <v>29</v>
      </c>
      <c r="AK65" s="221">
        <v>8</v>
      </c>
      <c r="AL65" s="221">
        <v>-1</v>
      </c>
      <c r="AM65" s="221">
        <v>62</v>
      </c>
      <c r="AN65" s="147"/>
      <c r="AO65" s="221">
        <v>-40</v>
      </c>
      <c r="AP65" s="221">
        <v>-12</v>
      </c>
      <c r="AQ65" s="221">
        <v>-7</v>
      </c>
      <c r="AR65" s="221">
        <v>4</v>
      </c>
      <c r="AS65" s="221">
        <v>2</v>
      </c>
      <c r="AT65" s="221">
        <v>2</v>
      </c>
      <c r="AU65" s="221">
        <v>2</v>
      </c>
      <c r="AV65" s="221">
        <v>0</v>
      </c>
      <c r="AW65" s="221">
        <v>-49</v>
      </c>
      <c r="AX65" s="56">
        <f t="shared" si="29"/>
        <v>40</v>
      </c>
      <c r="AY65" s="56">
        <f t="shared" si="29"/>
        <v>12</v>
      </c>
      <c r="AZ65" s="56">
        <f t="shared" si="29"/>
        <v>7</v>
      </c>
      <c r="BA65" s="56">
        <f t="shared" si="29"/>
        <v>-4</v>
      </c>
      <c r="BB65" s="56">
        <f t="shared" si="29"/>
        <v>-2</v>
      </c>
      <c r="BC65" s="56">
        <f t="shared" si="30"/>
        <v>-2</v>
      </c>
      <c r="BD65" s="56">
        <f t="shared" si="30"/>
        <v>-2</v>
      </c>
      <c r="BE65" s="56">
        <f t="shared" si="30"/>
        <v>0</v>
      </c>
      <c r="BF65" s="56">
        <f t="shared" si="30"/>
        <v>49</v>
      </c>
      <c r="BH65">
        <f t="shared" si="11"/>
        <v>0.8</v>
      </c>
      <c r="BI65">
        <f t="shared" si="20"/>
        <v>0.19999999999999996</v>
      </c>
      <c r="BJ65" s="154">
        <v>89935.258666666676</v>
      </c>
      <c r="BK65" s="155">
        <f t="shared" si="12"/>
        <v>89935.258666666676</v>
      </c>
      <c r="BL65" s="156">
        <v>120736.97066666669</v>
      </c>
      <c r="BM65" s="155">
        <f t="shared" si="13"/>
        <v>120736.97066666669</v>
      </c>
      <c r="BN65" s="158">
        <v>118249.37511111112</v>
      </c>
      <c r="BO65" s="155">
        <f t="shared" si="14"/>
        <v>118249.37511111112</v>
      </c>
      <c r="BP65" s="158">
        <v>162787.62666666665</v>
      </c>
      <c r="BQ65" s="155">
        <f t="shared" si="15"/>
        <v>162787.62666666665</v>
      </c>
      <c r="BR65" s="158">
        <v>151579.71911111113</v>
      </c>
      <c r="BS65" s="155">
        <f t="shared" si="16"/>
        <v>151579.71911111113</v>
      </c>
      <c r="BT65" s="194">
        <v>195803.32799999998</v>
      </c>
      <c r="BU65" s="194"/>
      <c r="BV65" s="348">
        <f t="shared" si="21"/>
        <v>195803.32799999998</v>
      </c>
      <c r="BW65" s="195">
        <f t="shared" si="17"/>
        <v>148949.87733333334</v>
      </c>
      <c r="BX65" s="157">
        <f t="shared" si="22"/>
        <v>37237.469333333334</v>
      </c>
      <c r="BY65" s="157">
        <f>IF(E65*$CJ$10*'Year 7 Payments'!$L$20*IF(B65="",1,0.8)&lt;=(BW65-(J65*350)),E65*$CJ$10*'Year 7 Payments'!$L$20*IF(B65="",1,0.8),BW65-(IF(B65="",1,0.8)*J65*350))</f>
        <v>118040.15604622226</v>
      </c>
      <c r="BZ65" s="157">
        <f t="shared" si="23"/>
        <v>29510.039011555564</v>
      </c>
      <c r="CA65" s="157">
        <f t="shared" si="24"/>
        <v>30909.721287111082</v>
      </c>
      <c r="CB65" s="157">
        <f t="shared" si="25"/>
        <v>7727.4303217777706</v>
      </c>
      <c r="CC65" s="157">
        <f t="shared" si="26"/>
        <v>123638.88514844433</v>
      </c>
      <c r="CD65" s="201">
        <f t="shared" si="27"/>
        <v>30909.721287111082</v>
      </c>
      <c r="CE65" s="155">
        <f t="shared" si="28"/>
        <v>30909.721287111082</v>
      </c>
    </row>
    <row r="66" spans="1:83" x14ac:dyDescent="0.2">
      <c r="A66" s="147" t="s">
        <v>529</v>
      </c>
      <c r="B66" s="57"/>
      <c r="C66" s="57" t="s">
        <v>461</v>
      </c>
      <c r="D66" s="148" t="s">
        <v>94</v>
      </c>
      <c r="E66" s="197">
        <v>8590.7777777777774</v>
      </c>
      <c r="F66" s="147">
        <f t="shared" si="18"/>
        <v>6864</v>
      </c>
      <c r="G66" s="342">
        <v>48</v>
      </c>
      <c r="H66" s="149">
        <f t="shared" si="2"/>
        <v>23</v>
      </c>
      <c r="I66" s="346">
        <v>0</v>
      </c>
      <c r="J66" s="150">
        <v>1</v>
      </c>
      <c r="K66"/>
      <c r="L66" s="151">
        <v>9</v>
      </c>
      <c r="M66" s="151">
        <v>302</v>
      </c>
      <c r="N66" s="151">
        <v>660</v>
      </c>
      <c r="O66" s="151">
        <v>858</v>
      </c>
      <c r="P66" s="151">
        <v>2695</v>
      </c>
      <c r="Q66" s="151">
        <v>1124</v>
      </c>
      <c r="R66" s="151">
        <v>1054</v>
      </c>
      <c r="S66" s="151">
        <v>162</v>
      </c>
      <c r="T66" s="151">
        <v>6864</v>
      </c>
      <c r="U66" s="147"/>
      <c r="V66" s="152">
        <f t="shared" si="19"/>
        <v>1.3111888111888112E-3</v>
      </c>
      <c r="W66" s="152">
        <f t="shared" si="3"/>
        <v>4.3997668997669E-2</v>
      </c>
      <c r="X66" s="152">
        <f t="shared" si="4"/>
        <v>9.6153846153846159E-2</v>
      </c>
      <c r="Y66" s="152">
        <f t="shared" si="5"/>
        <v>0.125</v>
      </c>
      <c r="Z66" s="152">
        <f t="shared" si="6"/>
        <v>0.39262820512820512</v>
      </c>
      <c r="AA66" s="152">
        <f t="shared" si="7"/>
        <v>0.16375291375291376</v>
      </c>
      <c r="AB66" s="152">
        <f t="shared" si="8"/>
        <v>0.15355477855477856</v>
      </c>
      <c r="AC66" s="152">
        <f t="shared" si="9"/>
        <v>2.36013986013986E-2</v>
      </c>
      <c r="AD66" s="152"/>
      <c r="AE66" s="221">
        <v>0</v>
      </c>
      <c r="AF66" s="221">
        <v>0</v>
      </c>
      <c r="AG66" s="221">
        <v>1</v>
      </c>
      <c r="AH66" s="221">
        <v>1</v>
      </c>
      <c r="AI66" s="221">
        <v>10</v>
      </c>
      <c r="AJ66" s="221">
        <v>9</v>
      </c>
      <c r="AK66" s="221">
        <v>5</v>
      </c>
      <c r="AL66" s="221">
        <v>1</v>
      </c>
      <c r="AM66" s="221">
        <v>27</v>
      </c>
      <c r="AN66" s="147"/>
      <c r="AO66" s="221">
        <v>0</v>
      </c>
      <c r="AP66" s="221">
        <v>0</v>
      </c>
      <c r="AQ66" s="221">
        <v>-2</v>
      </c>
      <c r="AR66" s="221">
        <v>3</v>
      </c>
      <c r="AS66" s="221">
        <v>-6</v>
      </c>
      <c r="AT66" s="221">
        <v>5</v>
      </c>
      <c r="AU66" s="221">
        <v>3</v>
      </c>
      <c r="AV66" s="221">
        <v>1</v>
      </c>
      <c r="AW66" s="221">
        <v>4</v>
      </c>
      <c r="AX66" s="56">
        <f t="shared" si="29"/>
        <v>0</v>
      </c>
      <c r="AY66" s="56">
        <f t="shared" si="29"/>
        <v>0</v>
      </c>
      <c r="AZ66" s="56">
        <f t="shared" si="29"/>
        <v>2</v>
      </c>
      <c r="BA66" s="56">
        <f t="shared" si="29"/>
        <v>-3</v>
      </c>
      <c r="BB66" s="56">
        <f t="shared" si="29"/>
        <v>6</v>
      </c>
      <c r="BC66" s="56">
        <f t="shared" si="30"/>
        <v>-5</v>
      </c>
      <c r="BD66" s="56">
        <f t="shared" si="30"/>
        <v>-3</v>
      </c>
      <c r="BE66" s="56">
        <f t="shared" si="30"/>
        <v>-1</v>
      </c>
      <c r="BF66" s="56">
        <f t="shared" si="30"/>
        <v>-4</v>
      </c>
      <c r="BH66">
        <f t="shared" si="11"/>
        <v>1</v>
      </c>
      <c r="BI66">
        <f t="shared" si="20"/>
        <v>0</v>
      </c>
      <c r="BJ66" s="154">
        <v>242908.35333333333</v>
      </c>
      <c r="BK66" s="155">
        <f t="shared" si="12"/>
        <v>242908.35333333333</v>
      </c>
      <c r="BL66" s="156">
        <v>24788.461111111108</v>
      </c>
      <c r="BM66" s="155">
        <f t="shared" si="13"/>
        <v>24788.461111111108</v>
      </c>
      <c r="BN66" s="158">
        <v>135645.92555555556</v>
      </c>
      <c r="BO66" s="155">
        <f t="shared" si="14"/>
        <v>135645.92555555556</v>
      </c>
      <c r="BP66" s="158">
        <v>441529.46666666662</v>
      </c>
      <c r="BQ66" s="155">
        <f t="shared" si="15"/>
        <v>441529.46666666662</v>
      </c>
      <c r="BR66" s="158">
        <v>471044.7888888889</v>
      </c>
      <c r="BS66" s="155">
        <f t="shared" si="16"/>
        <v>471044.7888888889</v>
      </c>
      <c r="BT66" s="194">
        <v>412319.75555555552</v>
      </c>
      <c r="BU66" s="194"/>
      <c r="BV66" s="348">
        <f t="shared" si="21"/>
        <v>412319.75555555552</v>
      </c>
      <c r="BW66" s="195">
        <f t="shared" si="17"/>
        <v>45217.093333333345</v>
      </c>
      <c r="BX66" s="157" t="str">
        <f t="shared" si="22"/>
        <v>0</v>
      </c>
      <c r="BY66" s="157">
        <f>IF(E66*$CJ$10*'Year 7 Payments'!$L$20*IF(B66="",1,0.8)&lt;=(BW66-(J66*350)),E66*$CJ$10*'Year 7 Payments'!$L$20*IF(B66="",1,0.8),BW66-(IF(B66="",1,0.8)*J66*350))</f>
        <v>44867.093333333345</v>
      </c>
      <c r="BZ66" s="157" t="str">
        <f t="shared" si="23"/>
        <v>0</v>
      </c>
      <c r="CA66" s="157">
        <f t="shared" si="24"/>
        <v>350</v>
      </c>
      <c r="CB66" s="157">
        <f t="shared" si="25"/>
        <v>0</v>
      </c>
      <c r="CC66" s="157">
        <f t="shared" si="26"/>
        <v>1400</v>
      </c>
      <c r="CD66" s="201">
        <f t="shared" si="27"/>
        <v>0</v>
      </c>
      <c r="CE66" s="155">
        <f t="shared" si="28"/>
        <v>350</v>
      </c>
    </row>
    <row r="67" spans="1:83" x14ac:dyDescent="0.2">
      <c r="A67" s="147" t="s">
        <v>530</v>
      </c>
      <c r="B67" s="57" t="s">
        <v>467</v>
      </c>
      <c r="C67" s="57" t="s">
        <v>459</v>
      </c>
      <c r="D67" s="148" t="s">
        <v>95</v>
      </c>
      <c r="E67" s="197">
        <v>73576.333333333328</v>
      </c>
      <c r="F67" s="147">
        <f t="shared" si="18"/>
        <v>79621</v>
      </c>
      <c r="G67" s="342">
        <v>494</v>
      </c>
      <c r="H67" s="149">
        <f t="shared" si="2"/>
        <v>766</v>
      </c>
      <c r="I67" s="346">
        <v>451.47244444444453</v>
      </c>
      <c r="J67" s="150">
        <v>149</v>
      </c>
      <c r="K67"/>
      <c r="L67" s="151">
        <v>9190</v>
      </c>
      <c r="M67" s="151">
        <v>21647</v>
      </c>
      <c r="N67" s="151">
        <v>20003</v>
      </c>
      <c r="O67" s="151">
        <v>14263</v>
      </c>
      <c r="P67" s="151">
        <v>8196</v>
      </c>
      <c r="Q67" s="151">
        <v>3825</v>
      </c>
      <c r="R67" s="151">
        <v>2333</v>
      </c>
      <c r="S67" s="151">
        <v>164</v>
      </c>
      <c r="T67" s="151">
        <v>79621</v>
      </c>
      <c r="U67" s="147"/>
      <c r="V67" s="152">
        <f t="shared" si="19"/>
        <v>0.11542181082880144</v>
      </c>
      <c r="W67" s="152">
        <f t="shared" si="3"/>
        <v>0.27187551022971329</v>
      </c>
      <c r="X67" s="152">
        <f t="shared" si="4"/>
        <v>0.25122769118699839</v>
      </c>
      <c r="Y67" s="152">
        <f t="shared" si="5"/>
        <v>0.17913615754637596</v>
      </c>
      <c r="Z67" s="152">
        <f t="shared" si="6"/>
        <v>0.10293766719835219</v>
      </c>
      <c r="AA67" s="152">
        <f t="shared" si="7"/>
        <v>4.8040089926024543E-2</v>
      </c>
      <c r="AB67" s="152">
        <f t="shared" si="8"/>
        <v>2.9301314979716407E-2</v>
      </c>
      <c r="AC67" s="152">
        <f t="shared" si="9"/>
        <v>2.059758104017784E-3</v>
      </c>
      <c r="AD67" s="152"/>
      <c r="AE67" s="221">
        <v>40</v>
      </c>
      <c r="AF67" s="221">
        <v>206</v>
      </c>
      <c r="AG67" s="221">
        <v>166</v>
      </c>
      <c r="AH67" s="221">
        <v>215</v>
      </c>
      <c r="AI67" s="221">
        <v>71</v>
      </c>
      <c r="AJ67" s="221">
        <v>47</v>
      </c>
      <c r="AK67" s="221">
        <v>28</v>
      </c>
      <c r="AL67" s="221">
        <v>0</v>
      </c>
      <c r="AM67" s="221">
        <v>773</v>
      </c>
      <c r="AN67" s="147"/>
      <c r="AO67" s="221">
        <v>4</v>
      </c>
      <c r="AP67" s="221">
        <v>-5</v>
      </c>
      <c r="AQ67" s="221">
        <v>2</v>
      </c>
      <c r="AR67" s="221">
        <v>7</v>
      </c>
      <c r="AS67" s="221">
        <v>2</v>
      </c>
      <c r="AT67" s="221">
        <v>0</v>
      </c>
      <c r="AU67" s="221">
        <v>-3</v>
      </c>
      <c r="AV67" s="221">
        <v>0</v>
      </c>
      <c r="AW67" s="221">
        <v>7</v>
      </c>
      <c r="AX67" s="56">
        <f t="shared" si="29"/>
        <v>-4</v>
      </c>
      <c r="AY67" s="56">
        <f t="shared" si="29"/>
        <v>5</v>
      </c>
      <c r="AZ67" s="56">
        <f t="shared" si="29"/>
        <v>-2</v>
      </c>
      <c r="BA67" s="56">
        <f t="shared" si="29"/>
        <v>-7</v>
      </c>
      <c r="BB67" s="56">
        <f t="shared" si="29"/>
        <v>-2</v>
      </c>
      <c r="BC67" s="56">
        <f t="shared" si="30"/>
        <v>0</v>
      </c>
      <c r="BD67" s="56">
        <f t="shared" si="30"/>
        <v>3</v>
      </c>
      <c r="BE67" s="56">
        <f t="shared" si="30"/>
        <v>0</v>
      </c>
      <c r="BF67" s="56">
        <f t="shared" si="30"/>
        <v>-7</v>
      </c>
      <c r="BH67">
        <f t="shared" si="11"/>
        <v>0.8</v>
      </c>
      <c r="BI67">
        <f t="shared" si="20"/>
        <v>0.19999999999999996</v>
      </c>
      <c r="BJ67" s="154">
        <v>723831.71200000006</v>
      </c>
      <c r="BK67" s="155">
        <f t="shared" si="12"/>
        <v>723831.71200000006</v>
      </c>
      <c r="BL67" s="156">
        <v>801019.24266666675</v>
      </c>
      <c r="BM67" s="155">
        <f t="shared" si="13"/>
        <v>801019.24266666675</v>
      </c>
      <c r="BN67" s="158">
        <v>1091291.0462222223</v>
      </c>
      <c r="BO67" s="155">
        <f t="shared" si="14"/>
        <v>1091291.0462222223</v>
      </c>
      <c r="BP67" s="158">
        <v>793763.83999999997</v>
      </c>
      <c r="BQ67" s="155">
        <f t="shared" si="15"/>
        <v>793763.83999999997</v>
      </c>
      <c r="BR67" s="158">
        <v>1205113.456</v>
      </c>
      <c r="BS67" s="155">
        <f t="shared" si="16"/>
        <v>1205113.456</v>
      </c>
      <c r="BT67" s="194">
        <v>1098579.2533333332</v>
      </c>
      <c r="BU67" s="194"/>
      <c r="BV67" s="348">
        <f t="shared" si="21"/>
        <v>1098579.2533333332</v>
      </c>
      <c r="BW67" s="195">
        <f t="shared" si="17"/>
        <v>954289.48622222233</v>
      </c>
      <c r="BX67" s="157">
        <f t="shared" si="22"/>
        <v>238572.37155555558</v>
      </c>
      <c r="BY67" s="157">
        <f>IF(E67*$CJ$10*'Year 7 Payments'!$L$20*IF(B67="",1,0.8)&lt;=(BW67-(J67*350)),E67*$CJ$10*'Year 7 Payments'!$L$20*IF(B67="",1,0.8),BW67-(IF(B67="",1,0.8)*J67*350))</f>
        <v>360126.13252266665</v>
      </c>
      <c r="BZ67" s="157">
        <f t="shared" si="23"/>
        <v>90031.533130666663</v>
      </c>
      <c r="CA67" s="157">
        <f t="shared" si="24"/>
        <v>594163.35369955562</v>
      </c>
      <c r="CB67" s="157">
        <f t="shared" si="25"/>
        <v>148540.83842488891</v>
      </c>
      <c r="CC67" s="157">
        <f t="shared" si="26"/>
        <v>2376653.4147982225</v>
      </c>
      <c r="CD67" s="201">
        <f t="shared" si="27"/>
        <v>594163.35369955562</v>
      </c>
      <c r="CE67" s="155">
        <f t="shared" si="28"/>
        <v>594163.35369955562</v>
      </c>
    </row>
    <row r="68" spans="1:83" x14ac:dyDescent="0.2">
      <c r="A68" s="147" t="s">
        <v>531</v>
      </c>
      <c r="B68" s="57" t="s">
        <v>445</v>
      </c>
      <c r="C68" s="57" t="s">
        <v>446</v>
      </c>
      <c r="D68" s="148" t="s">
        <v>96</v>
      </c>
      <c r="E68" s="197">
        <v>25584.888888888887</v>
      </c>
      <c r="F68" s="147">
        <f t="shared" si="18"/>
        <v>33438</v>
      </c>
      <c r="G68" s="342">
        <v>724</v>
      </c>
      <c r="H68" s="149">
        <f t="shared" si="2"/>
        <v>101</v>
      </c>
      <c r="I68" s="346">
        <v>0</v>
      </c>
      <c r="J68" s="150">
        <v>15</v>
      </c>
      <c r="K68"/>
      <c r="L68" s="151">
        <v>19258</v>
      </c>
      <c r="M68" s="151">
        <v>4605</v>
      </c>
      <c r="N68" s="151">
        <v>4089</v>
      </c>
      <c r="O68" s="151">
        <v>3118</v>
      </c>
      <c r="P68" s="151">
        <v>1826</v>
      </c>
      <c r="Q68" s="151">
        <v>437</v>
      </c>
      <c r="R68" s="151">
        <v>87</v>
      </c>
      <c r="S68" s="151">
        <v>18</v>
      </c>
      <c r="T68" s="151">
        <v>33438</v>
      </c>
      <c r="U68" s="147"/>
      <c r="V68" s="152">
        <f t="shared" si="19"/>
        <v>0.57593157485495539</v>
      </c>
      <c r="W68" s="152">
        <f t="shared" si="3"/>
        <v>0.13771756684012201</v>
      </c>
      <c r="X68" s="152">
        <f t="shared" si="4"/>
        <v>0.12228602189126143</v>
      </c>
      <c r="Y68" s="152">
        <f t="shared" si="5"/>
        <v>9.3247203780130392E-2</v>
      </c>
      <c r="Z68" s="152">
        <f t="shared" si="6"/>
        <v>5.4608529218254681E-2</v>
      </c>
      <c r="AA68" s="152">
        <f t="shared" si="7"/>
        <v>1.3068963454752079E-2</v>
      </c>
      <c r="AB68" s="152">
        <f t="shared" si="8"/>
        <v>2.6018302530055625E-3</v>
      </c>
      <c r="AC68" s="152">
        <f t="shared" si="9"/>
        <v>5.3830970751839223E-4</v>
      </c>
      <c r="AD68" s="152"/>
      <c r="AE68" s="221">
        <v>11</v>
      </c>
      <c r="AF68" s="221">
        <v>44</v>
      </c>
      <c r="AG68" s="221">
        <v>15</v>
      </c>
      <c r="AH68" s="221">
        <v>48</v>
      </c>
      <c r="AI68" s="221">
        <v>18</v>
      </c>
      <c r="AJ68" s="221">
        <v>-1</v>
      </c>
      <c r="AK68" s="221">
        <v>-2</v>
      </c>
      <c r="AL68" s="221">
        <v>0</v>
      </c>
      <c r="AM68" s="221">
        <v>133</v>
      </c>
      <c r="AN68" s="147"/>
      <c r="AO68" s="221">
        <v>-21</v>
      </c>
      <c r="AP68" s="221">
        <v>22</v>
      </c>
      <c r="AQ68" s="221">
        <v>19</v>
      </c>
      <c r="AR68" s="221">
        <v>16</v>
      </c>
      <c r="AS68" s="221">
        <v>-4</v>
      </c>
      <c r="AT68" s="221">
        <v>0</v>
      </c>
      <c r="AU68" s="221">
        <v>0</v>
      </c>
      <c r="AV68" s="221">
        <v>0</v>
      </c>
      <c r="AW68" s="221">
        <v>32</v>
      </c>
      <c r="AX68" s="56">
        <f t="shared" si="29"/>
        <v>21</v>
      </c>
      <c r="AY68" s="56">
        <f t="shared" si="29"/>
        <v>-22</v>
      </c>
      <c r="AZ68" s="56">
        <f t="shared" si="29"/>
        <v>-19</v>
      </c>
      <c r="BA68" s="56">
        <f t="shared" si="29"/>
        <v>-16</v>
      </c>
      <c r="BB68" s="56">
        <f t="shared" si="29"/>
        <v>4</v>
      </c>
      <c r="BC68" s="56">
        <f t="shared" si="30"/>
        <v>0</v>
      </c>
      <c r="BD68" s="56">
        <f t="shared" si="30"/>
        <v>0</v>
      </c>
      <c r="BE68" s="56">
        <f t="shared" si="30"/>
        <v>0</v>
      </c>
      <c r="BF68" s="56">
        <f t="shared" si="30"/>
        <v>-32</v>
      </c>
      <c r="BH68">
        <f t="shared" si="11"/>
        <v>0.8</v>
      </c>
      <c r="BI68">
        <f t="shared" si="20"/>
        <v>0.19999999999999996</v>
      </c>
      <c r="BJ68" s="154">
        <v>14967.888000000006</v>
      </c>
      <c r="BK68" s="155">
        <f t="shared" si="12"/>
        <v>14967.888000000006</v>
      </c>
      <c r="BL68" s="156">
        <v>18477.915555555548</v>
      </c>
      <c r="BM68" s="155">
        <f t="shared" si="13"/>
        <v>18477.915555555548</v>
      </c>
      <c r="BN68" s="158">
        <v>183935.6</v>
      </c>
      <c r="BO68" s="155">
        <f t="shared" si="14"/>
        <v>183935.6</v>
      </c>
      <c r="BP68" s="158">
        <v>254506.55999999997</v>
      </c>
      <c r="BQ68" s="155">
        <f t="shared" si="15"/>
        <v>254506.55999999997</v>
      </c>
      <c r="BR68" s="158">
        <v>136717.65511111109</v>
      </c>
      <c r="BS68" s="155">
        <f t="shared" si="16"/>
        <v>136717.65511111109</v>
      </c>
      <c r="BT68" s="194">
        <v>84944.38400000002</v>
      </c>
      <c r="BU68" s="194"/>
      <c r="BV68" s="348">
        <f t="shared" si="21"/>
        <v>84944.38400000002</v>
      </c>
      <c r="BW68" s="195">
        <f t="shared" si="17"/>
        <v>113104.67200000002</v>
      </c>
      <c r="BX68" s="157">
        <f t="shared" si="22"/>
        <v>28276.168000000005</v>
      </c>
      <c r="BY68" s="157">
        <f>IF(E68*$CJ$10*'Year 7 Payments'!$L$20*IF(B68="",1,0.8)&lt;=(BW68-(J68*350)),E68*$CJ$10*'Year 7 Payments'!$L$20*IF(B68="",1,0.8),BW68-(IF(B68="",1,0.8)*J68*350))</f>
        <v>108904.67200000002</v>
      </c>
      <c r="BZ68" s="157">
        <f t="shared" si="23"/>
        <v>27226.168000000005</v>
      </c>
      <c r="CA68" s="157">
        <f t="shared" si="24"/>
        <v>4200</v>
      </c>
      <c r="CB68" s="157">
        <f t="shared" si="25"/>
        <v>1050</v>
      </c>
      <c r="CC68" s="157">
        <f t="shared" si="26"/>
        <v>16800</v>
      </c>
      <c r="CD68" s="201">
        <f t="shared" si="27"/>
        <v>4200</v>
      </c>
      <c r="CE68" s="155">
        <f t="shared" si="28"/>
        <v>4200</v>
      </c>
    </row>
    <row r="69" spans="1:83" x14ac:dyDescent="0.2">
      <c r="A69" s="147" t="s">
        <v>532</v>
      </c>
      <c r="B69" s="57" t="s">
        <v>533</v>
      </c>
      <c r="C69" s="57" t="s">
        <v>449</v>
      </c>
      <c r="D69" s="148" t="s">
        <v>97</v>
      </c>
      <c r="E69" s="197">
        <v>22281.666666666668</v>
      </c>
      <c r="F69" s="147">
        <f t="shared" si="18"/>
        <v>28568</v>
      </c>
      <c r="G69" s="342">
        <v>9</v>
      </c>
      <c r="H69" s="149">
        <f t="shared" si="2"/>
        <v>433</v>
      </c>
      <c r="I69" s="346">
        <v>312.65111111111111</v>
      </c>
      <c r="J69" s="150">
        <v>113</v>
      </c>
      <c r="K69"/>
      <c r="L69" s="151">
        <v>13774</v>
      </c>
      <c r="M69" s="151">
        <v>6364</v>
      </c>
      <c r="N69" s="151">
        <v>3819</v>
      </c>
      <c r="O69" s="151">
        <v>2757</v>
      </c>
      <c r="P69" s="151">
        <v>1413</v>
      </c>
      <c r="Q69" s="151">
        <v>275</v>
      </c>
      <c r="R69" s="151">
        <v>149</v>
      </c>
      <c r="S69" s="151">
        <v>17</v>
      </c>
      <c r="T69" s="151">
        <v>28568</v>
      </c>
      <c r="U69" s="147"/>
      <c r="V69" s="152">
        <f t="shared" si="19"/>
        <v>0.48214785774292918</v>
      </c>
      <c r="W69" s="152">
        <f t="shared" si="3"/>
        <v>0.22276673200784095</v>
      </c>
      <c r="X69" s="152">
        <f t="shared" si="4"/>
        <v>0.133681041725007</v>
      </c>
      <c r="Y69" s="152">
        <f t="shared" si="5"/>
        <v>9.6506580789694763E-2</v>
      </c>
      <c r="Z69" s="152">
        <f t="shared" si="6"/>
        <v>4.946093531223747E-2</v>
      </c>
      <c r="AA69" s="152">
        <f t="shared" si="7"/>
        <v>9.6261551386166346E-3</v>
      </c>
      <c r="AB69" s="152">
        <f t="shared" si="8"/>
        <v>5.2156258751050125E-3</v>
      </c>
      <c r="AC69" s="152">
        <f t="shared" si="9"/>
        <v>5.950714085690283E-4</v>
      </c>
      <c r="AD69" s="152"/>
      <c r="AE69" s="221">
        <v>18</v>
      </c>
      <c r="AF69" s="221">
        <v>152</v>
      </c>
      <c r="AG69" s="221">
        <v>106</v>
      </c>
      <c r="AH69" s="221">
        <v>81</v>
      </c>
      <c r="AI69" s="221">
        <v>71</v>
      </c>
      <c r="AJ69" s="221">
        <v>7</v>
      </c>
      <c r="AK69" s="221">
        <v>1</v>
      </c>
      <c r="AL69" s="221">
        <v>0</v>
      </c>
      <c r="AM69" s="221">
        <v>436</v>
      </c>
      <c r="AN69" s="147"/>
      <c r="AO69" s="221">
        <v>3</v>
      </c>
      <c r="AP69" s="221">
        <v>-1</v>
      </c>
      <c r="AQ69" s="221">
        <v>0</v>
      </c>
      <c r="AR69" s="221">
        <v>1</v>
      </c>
      <c r="AS69" s="221">
        <v>0</v>
      </c>
      <c r="AT69" s="221">
        <v>0</v>
      </c>
      <c r="AU69" s="221">
        <v>0</v>
      </c>
      <c r="AV69" s="221">
        <v>0</v>
      </c>
      <c r="AW69" s="221">
        <v>3</v>
      </c>
      <c r="AX69" s="56">
        <f t="shared" si="29"/>
        <v>-3</v>
      </c>
      <c r="AY69" s="56">
        <f t="shared" si="29"/>
        <v>1</v>
      </c>
      <c r="AZ69" s="56">
        <f t="shared" si="29"/>
        <v>0</v>
      </c>
      <c r="BA69" s="56">
        <f t="shared" si="29"/>
        <v>-1</v>
      </c>
      <c r="BB69" s="56">
        <f t="shared" si="29"/>
        <v>0</v>
      </c>
      <c r="BC69" s="56">
        <f t="shared" si="30"/>
        <v>0</v>
      </c>
      <c r="BD69" s="56">
        <f t="shared" si="30"/>
        <v>0</v>
      </c>
      <c r="BE69" s="56">
        <f t="shared" si="30"/>
        <v>0</v>
      </c>
      <c r="BF69" s="56">
        <f t="shared" si="30"/>
        <v>-3</v>
      </c>
      <c r="BH69">
        <f t="shared" si="11"/>
        <v>0.8</v>
      </c>
      <c r="BI69">
        <f t="shared" si="20"/>
        <v>0.19999999999999996</v>
      </c>
      <c r="BJ69" s="154">
        <v>415135.01333333337</v>
      </c>
      <c r="BK69" s="155">
        <f t="shared" si="12"/>
        <v>415135.01333333337</v>
      </c>
      <c r="BL69" s="156">
        <v>651254.48088888894</v>
      </c>
      <c r="BM69" s="155">
        <f t="shared" si="13"/>
        <v>651254.48088888894</v>
      </c>
      <c r="BN69" s="158">
        <v>534430.70844444446</v>
      </c>
      <c r="BO69" s="155">
        <f t="shared" si="14"/>
        <v>534430.70844444446</v>
      </c>
      <c r="BP69" s="158">
        <v>542087.57333333325</v>
      </c>
      <c r="BQ69" s="155">
        <f t="shared" si="15"/>
        <v>542087.57333333325</v>
      </c>
      <c r="BR69" s="158">
        <v>504895.3777777779</v>
      </c>
      <c r="BS69" s="155">
        <f t="shared" si="16"/>
        <v>504895.3777777779</v>
      </c>
      <c r="BT69" s="194">
        <v>488194.43555555551</v>
      </c>
      <c r="BU69" s="194"/>
      <c r="BV69" s="348">
        <f t="shared" si="21"/>
        <v>488194.43555555551</v>
      </c>
      <c r="BW69" s="195">
        <f t="shared" si="17"/>
        <v>523274.57422222226</v>
      </c>
      <c r="BX69" s="157">
        <f t="shared" si="22"/>
        <v>130818.64355555557</v>
      </c>
      <c r="BY69" s="157">
        <f>IF(E69*$CJ$10*'Year 7 Payments'!$L$20*IF(B69="",1,0.8)&lt;=(BW69-(J69*350)),E69*$CJ$10*'Year 7 Payments'!$L$20*IF(B69="",1,0.8),BW69-(IF(B69="",1,0.8)*J69*350))</f>
        <v>109059.66741333334</v>
      </c>
      <c r="BZ69" s="157">
        <f t="shared" si="23"/>
        <v>27264.916853333336</v>
      </c>
      <c r="CA69" s="157">
        <f t="shared" si="24"/>
        <v>414214.90680888889</v>
      </c>
      <c r="CB69" s="157">
        <f t="shared" si="25"/>
        <v>103553.72670222222</v>
      </c>
      <c r="CC69" s="157">
        <f t="shared" si="26"/>
        <v>1656859.6272355556</v>
      </c>
      <c r="CD69" s="201">
        <f t="shared" si="27"/>
        <v>414214.90680888889</v>
      </c>
      <c r="CE69" s="155">
        <f t="shared" si="28"/>
        <v>414214.90680888889</v>
      </c>
    </row>
    <row r="70" spans="1:83" x14ac:dyDescent="0.2">
      <c r="A70" s="147" t="s">
        <v>534</v>
      </c>
      <c r="B70" s="57"/>
      <c r="C70" s="57" t="s">
        <v>472</v>
      </c>
      <c r="D70" s="148" t="s">
        <v>98</v>
      </c>
      <c r="E70" s="197">
        <v>231001.33333333331</v>
      </c>
      <c r="F70" s="147">
        <f t="shared" si="18"/>
        <v>266331</v>
      </c>
      <c r="G70" s="342">
        <v>3230</v>
      </c>
      <c r="H70" s="149">
        <f t="shared" ref="H70:H133" si="31">AM70+BF70</f>
        <v>2725</v>
      </c>
      <c r="I70" s="346">
        <v>1551.5502222222224</v>
      </c>
      <c r="J70" s="150">
        <v>719</v>
      </c>
      <c r="K70"/>
      <c r="L70" s="151">
        <v>62438</v>
      </c>
      <c r="M70" s="151">
        <v>68342</v>
      </c>
      <c r="N70" s="151">
        <v>56667</v>
      </c>
      <c r="O70" s="151">
        <v>41613</v>
      </c>
      <c r="P70" s="151">
        <v>24181</v>
      </c>
      <c r="Q70" s="151">
        <v>8659</v>
      </c>
      <c r="R70" s="151">
        <v>4054</v>
      </c>
      <c r="S70" s="151">
        <v>377</v>
      </c>
      <c r="T70" s="151">
        <v>266331</v>
      </c>
      <c r="U70" s="147"/>
      <c r="V70" s="152">
        <f t="shared" si="19"/>
        <v>0.23443759832689398</v>
      </c>
      <c r="W70" s="152">
        <f t="shared" ref="W70:W133" si="32">M70/T70</f>
        <v>0.25660550217586386</v>
      </c>
      <c r="X70" s="152">
        <f t="shared" ref="X70:X133" si="33">N70/T70</f>
        <v>0.21276907307072779</v>
      </c>
      <c r="Y70" s="152">
        <f t="shared" ref="Y70:Y133" si="34">O70/T70</f>
        <v>0.15624542392736857</v>
      </c>
      <c r="Z70" s="152">
        <f t="shared" ref="Z70:Z133" si="35">P70/T70</f>
        <v>9.0793035733729835E-2</v>
      </c>
      <c r="AA70" s="152">
        <f t="shared" ref="AA70:AA133" si="36">Q70/T70</f>
        <v>3.2512174699903501E-2</v>
      </c>
      <c r="AB70" s="152">
        <f t="shared" ref="AB70:AB133" si="37">R70/T70</f>
        <v>1.522166026485839E-2</v>
      </c>
      <c r="AC70" s="152">
        <f t="shared" ref="AC70:AC133" si="38">S70/T70</f>
        <v>1.4155318006540732E-3</v>
      </c>
      <c r="AD70" s="152"/>
      <c r="AE70" s="221">
        <v>555</v>
      </c>
      <c r="AF70" s="221">
        <v>658</v>
      </c>
      <c r="AG70" s="221">
        <v>710</v>
      </c>
      <c r="AH70" s="221">
        <v>393</v>
      </c>
      <c r="AI70" s="221">
        <v>287</v>
      </c>
      <c r="AJ70" s="221">
        <v>126</v>
      </c>
      <c r="AK70" s="221">
        <v>44</v>
      </c>
      <c r="AL70" s="221">
        <v>12</v>
      </c>
      <c r="AM70" s="221">
        <v>2785</v>
      </c>
      <c r="AN70" s="147"/>
      <c r="AO70" s="221">
        <v>4</v>
      </c>
      <c r="AP70" s="221">
        <v>-5</v>
      </c>
      <c r="AQ70" s="221">
        <v>60</v>
      </c>
      <c r="AR70" s="221">
        <v>-14</v>
      </c>
      <c r="AS70" s="221">
        <v>-11</v>
      </c>
      <c r="AT70" s="221">
        <v>28</v>
      </c>
      <c r="AU70" s="221">
        <v>2</v>
      </c>
      <c r="AV70" s="221">
        <v>-4</v>
      </c>
      <c r="AW70" s="221">
        <v>60</v>
      </c>
      <c r="AX70" s="56">
        <f t="shared" ref="AX70:BE113" si="39">AO70*$AW$3</f>
        <v>-4</v>
      </c>
      <c r="AY70" s="56">
        <f t="shared" si="39"/>
        <v>5</v>
      </c>
      <c r="AZ70" s="56">
        <f t="shared" si="39"/>
        <v>-60</v>
      </c>
      <c r="BA70" s="56">
        <f t="shared" si="39"/>
        <v>14</v>
      </c>
      <c r="BB70" s="56">
        <f t="shared" si="39"/>
        <v>11</v>
      </c>
      <c r="BC70" s="56">
        <f t="shared" si="30"/>
        <v>-28</v>
      </c>
      <c r="BD70" s="56">
        <f t="shared" si="30"/>
        <v>-2</v>
      </c>
      <c r="BE70" s="56">
        <f t="shared" si="30"/>
        <v>4</v>
      </c>
      <c r="BF70" s="56">
        <f t="shared" si="30"/>
        <v>-60</v>
      </c>
      <c r="BH70">
        <f t="shared" ref="BH70:BH133" si="40">IF(B70="",1,0.8)</f>
        <v>1</v>
      </c>
      <c r="BI70">
        <f t="shared" si="20"/>
        <v>0</v>
      </c>
      <c r="BJ70" s="154">
        <v>1997957.186666667</v>
      </c>
      <c r="BK70" s="155">
        <f t="shared" ref="BK70:BK133" si="41">BJ70</f>
        <v>1997957.186666667</v>
      </c>
      <c r="BL70" s="156">
        <v>3134920.1744444445</v>
      </c>
      <c r="BM70" s="155">
        <f t="shared" ref="BM70:BM133" si="42">BL70</f>
        <v>3134920.1744444445</v>
      </c>
      <c r="BN70" s="158">
        <v>4485031.7988888901</v>
      </c>
      <c r="BO70" s="155">
        <f t="shared" ref="BO70:BO133" si="43">BN70</f>
        <v>4485031.7988888901</v>
      </c>
      <c r="BP70" s="158">
        <v>2878417.8666666662</v>
      </c>
      <c r="BQ70" s="155">
        <f t="shared" ref="BQ70:BQ133" si="44">BP70</f>
        <v>2878417.8666666662</v>
      </c>
      <c r="BR70" s="158">
        <v>3657347.1977777774</v>
      </c>
      <c r="BS70" s="155">
        <f t="shared" ref="BS70:BS133" si="45">BR70</f>
        <v>3657347.1977777774</v>
      </c>
      <c r="BT70" s="194">
        <v>3416759.6088888887</v>
      </c>
      <c r="BU70" s="194"/>
      <c r="BV70" s="348">
        <f t="shared" si="21"/>
        <v>3416759.6088888887</v>
      </c>
      <c r="BW70" s="195">
        <f t="shared" ref="BW70:BW133" si="46">IF(B70="",1,0.8)*(IF(SUMPRODUCT($CG$10:$CN$10,AE70:AL70)+SUMPRODUCT($CG$10:$CN$10,AX70:BE70)&gt;0,SUMPRODUCT($CG$10:$CN$10,AE70:AL70)+SUMPRODUCT($CG$10:$CN$10,AX70:BE70),0)+J70*350)</f>
        <v>4038160.7555555552</v>
      </c>
      <c r="BX70" s="157" t="str">
        <f t="shared" si="22"/>
        <v>0</v>
      </c>
      <c r="BY70" s="157">
        <f>IF(E70*$CJ$10*'Year 7 Payments'!$L$20*IF(B70="",1,0.8)&lt;=(BW70-(J70*350)),E70*$CJ$10*'Year 7 Payments'!$L$20*IF(B70="",1,0.8),BW70-(IF(B70="",1,0.8)*J70*350))</f>
        <v>1413321.5976533333</v>
      </c>
      <c r="BZ70" s="157" t="str">
        <f t="shared" si="23"/>
        <v>0</v>
      </c>
      <c r="CA70" s="157">
        <f t="shared" si="24"/>
        <v>2624839.1579022221</v>
      </c>
      <c r="CB70" s="157">
        <f t="shared" si="25"/>
        <v>0</v>
      </c>
      <c r="CC70" s="157">
        <f t="shared" si="26"/>
        <v>10499356.631608889</v>
      </c>
      <c r="CD70" s="201">
        <f t="shared" si="27"/>
        <v>0</v>
      </c>
      <c r="CE70" s="155">
        <f t="shared" si="28"/>
        <v>2624839.1579022221</v>
      </c>
    </row>
    <row r="71" spans="1:83" x14ac:dyDescent="0.2">
      <c r="A71" s="147" t="s">
        <v>535</v>
      </c>
      <c r="B71" s="57" t="s">
        <v>518</v>
      </c>
      <c r="C71" s="57" t="s">
        <v>472</v>
      </c>
      <c r="D71" s="148" t="s">
        <v>99</v>
      </c>
      <c r="E71" s="197">
        <v>44452.555555555555</v>
      </c>
      <c r="F71" s="147">
        <f t="shared" ref="F71:F134" si="47">T71</f>
        <v>41964</v>
      </c>
      <c r="G71" s="342">
        <v>313</v>
      </c>
      <c r="H71" s="149">
        <f t="shared" si="31"/>
        <v>602</v>
      </c>
      <c r="I71" s="346">
        <v>517.18977777777775</v>
      </c>
      <c r="J71" s="150">
        <v>59</v>
      </c>
      <c r="K71"/>
      <c r="L71" s="151">
        <v>3508</v>
      </c>
      <c r="M71" s="151">
        <v>5050</v>
      </c>
      <c r="N71" s="151">
        <v>10605</v>
      </c>
      <c r="O71" s="151">
        <v>7065</v>
      </c>
      <c r="P71" s="151">
        <v>6128</v>
      </c>
      <c r="Q71" s="151">
        <v>4553</v>
      </c>
      <c r="R71" s="151">
        <v>4366</v>
      </c>
      <c r="S71" s="151">
        <v>689</v>
      </c>
      <c r="T71" s="151">
        <v>41964</v>
      </c>
      <c r="U71" s="147"/>
      <c r="V71" s="152">
        <f t="shared" ref="V71:V134" si="48">L71/T71</f>
        <v>8.3595462777618909E-2</v>
      </c>
      <c r="W71" s="152">
        <f t="shared" si="32"/>
        <v>0.12034124487656087</v>
      </c>
      <c r="X71" s="152">
        <f t="shared" si="33"/>
        <v>0.25271661424077779</v>
      </c>
      <c r="Y71" s="152">
        <f t="shared" si="34"/>
        <v>0.16835859307978268</v>
      </c>
      <c r="Z71" s="152">
        <f t="shared" si="35"/>
        <v>0.14602993041654752</v>
      </c>
      <c r="AA71" s="152">
        <f t="shared" si="36"/>
        <v>0.10849775998474884</v>
      </c>
      <c r="AB71" s="152">
        <f t="shared" si="37"/>
        <v>0.104041559431894</v>
      </c>
      <c r="AC71" s="152">
        <f t="shared" si="38"/>
        <v>1.6418835192069391E-2</v>
      </c>
      <c r="AD71" s="152"/>
      <c r="AE71" s="221">
        <v>49</v>
      </c>
      <c r="AF71" s="221">
        <v>22</v>
      </c>
      <c r="AG71" s="221">
        <v>148</v>
      </c>
      <c r="AH71" s="221">
        <v>108</v>
      </c>
      <c r="AI71" s="221">
        <v>151</v>
      </c>
      <c r="AJ71" s="221">
        <v>81</v>
      </c>
      <c r="AK71" s="221">
        <v>60</v>
      </c>
      <c r="AL71" s="221">
        <v>5</v>
      </c>
      <c r="AM71" s="221">
        <v>624</v>
      </c>
      <c r="AN71" s="147"/>
      <c r="AO71" s="221">
        <v>14</v>
      </c>
      <c r="AP71" s="221">
        <v>5</v>
      </c>
      <c r="AQ71" s="221">
        <v>-1</v>
      </c>
      <c r="AR71" s="221">
        <v>21</v>
      </c>
      <c r="AS71" s="221">
        <v>-3</v>
      </c>
      <c r="AT71" s="221">
        <v>-4</v>
      </c>
      <c r="AU71" s="221">
        <v>-6</v>
      </c>
      <c r="AV71" s="221">
        <v>-4</v>
      </c>
      <c r="AW71" s="221">
        <v>22</v>
      </c>
      <c r="AX71" s="56">
        <f t="shared" si="39"/>
        <v>-14</v>
      </c>
      <c r="AY71" s="56">
        <f t="shared" si="39"/>
        <v>-5</v>
      </c>
      <c r="AZ71" s="56">
        <f t="shared" si="39"/>
        <v>1</v>
      </c>
      <c r="BA71" s="56">
        <f t="shared" si="39"/>
        <v>-21</v>
      </c>
      <c r="BB71" s="56">
        <f t="shared" si="39"/>
        <v>3</v>
      </c>
      <c r="BC71" s="56">
        <f t="shared" si="30"/>
        <v>4</v>
      </c>
      <c r="BD71" s="56">
        <f t="shared" si="30"/>
        <v>6</v>
      </c>
      <c r="BE71" s="56">
        <f t="shared" si="30"/>
        <v>4</v>
      </c>
      <c r="BF71" s="56">
        <f t="shared" si="30"/>
        <v>-22</v>
      </c>
      <c r="BH71">
        <f t="shared" si="40"/>
        <v>0.8</v>
      </c>
      <c r="BI71">
        <f t="shared" ref="BI71:BI134" si="49">1-BH71</f>
        <v>0.19999999999999996</v>
      </c>
      <c r="BJ71" s="154">
        <v>240381.72266666667</v>
      </c>
      <c r="BK71" s="155">
        <f t="shared" si="41"/>
        <v>240381.72266666667</v>
      </c>
      <c r="BL71" s="156">
        <v>503782.22488888889</v>
      </c>
      <c r="BM71" s="155">
        <f t="shared" si="42"/>
        <v>503782.22488888889</v>
      </c>
      <c r="BN71" s="158">
        <v>630007.94666666677</v>
      </c>
      <c r="BO71" s="155">
        <f t="shared" si="43"/>
        <v>630007.94666666677</v>
      </c>
      <c r="BP71" s="158">
        <v>575659.30666666664</v>
      </c>
      <c r="BQ71" s="155">
        <f t="shared" si="44"/>
        <v>575659.30666666664</v>
      </c>
      <c r="BR71" s="158">
        <v>614958.304</v>
      </c>
      <c r="BS71" s="155">
        <f t="shared" si="45"/>
        <v>614958.304</v>
      </c>
      <c r="BT71" s="194">
        <v>685825.88977777772</v>
      </c>
      <c r="BU71" s="194"/>
      <c r="BV71" s="348">
        <f t="shared" ref="BV71:BV134" si="50">BT71+BU71</f>
        <v>685825.88977777772</v>
      </c>
      <c r="BW71" s="195">
        <f t="shared" si="46"/>
        <v>866955.36000000022</v>
      </c>
      <c r="BX71" s="157">
        <f t="shared" ref="BX71:BX134" si="51">IF($B71="","0",(25%*BW71))</f>
        <v>216738.84000000005</v>
      </c>
      <c r="BY71" s="157">
        <f>IF(E71*$CJ$10*'Year 7 Payments'!$L$20*IF(B71="",1,0.8)&lt;=(BW71-(J71*350)),E71*$CJ$10*'Year 7 Payments'!$L$20*IF(B71="",1,0.8),BW71-(IF(B71="",1,0.8)*J71*350))</f>
        <v>217577.12280177779</v>
      </c>
      <c r="BZ71" s="157">
        <f t="shared" ref="BZ71:BZ134" si="52">IF($B71="","0",(25%*BY71))</f>
        <v>54394.280700444448</v>
      </c>
      <c r="CA71" s="157">
        <f t="shared" ref="CA71:CA134" si="53">BW71-BY71</f>
        <v>649378.23719822243</v>
      </c>
      <c r="CB71" s="157">
        <f t="shared" ref="CB71:CB134" si="54">BX71-BZ71</f>
        <v>162344.55929955561</v>
      </c>
      <c r="CC71" s="157">
        <f t="shared" ref="CC71:CC134" si="55">CA71*4</f>
        <v>2597512.9487928897</v>
      </c>
      <c r="CD71" s="201">
        <f t="shared" ref="CD71:CD134" si="56">CB71*4</f>
        <v>649378.23719822243</v>
      </c>
      <c r="CE71" s="155">
        <f t="shared" ref="CE71:CE134" si="57">CA71</f>
        <v>649378.23719822243</v>
      </c>
    </row>
    <row r="72" spans="1:83" x14ac:dyDescent="0.2">
      <c r="A72" s="147" t="s">
        <v>536</v>
      </c>
      <c r="B72" s="57"/>
      <c r="C72" s="57" t="s">
        <v>476</v>
      </c>
      <c r="D72" s="148" t="s">
        <v>100</v>
      </c>
      <c r="E72" s="197">
        <v>110219.55555555555</v>
      </c>
      <c r="F72" s="147">
        <f t="shared" si="47"/>
        <v>139892</v>
      </c>
      <c r="G72" s="342">
        <v>1150</v>
      </c>
      <c r="H72" s="149">
        <f t="shared" si="31"/>
        <v>1236</v>
      </c>
      <c r="I72" s="346">
        <v>633.89955555555548</v>
      </c>
      <c r="J72" s="150">
        <v>241</v>
      </c>
      <c r="K72"/>
      <c r="L72" s="151">
        <v>57159</v>
      </c>
      <c r="M72" s="151">
        <v>41580</v>
      </c>
      <c r="N72" s="151">
        <v>23263</v>
      </c>
      <c r="O72" s="151">
        <v>9350</v>
      </c>
      <c r="P72" s="151">
        <v>4638</v>
      </c>
      <c r="Q72" s="151">
        <v>2340</v>
      </c>
      <c r="R72" s="151">
        <v>1392</v>
      </c>
      <c r="S72" s="151">
        <v>170</v>
      </c>
      <c r="T72" s="151">
        <v>139892</v>
      </c>
      <c r="U72" s="147"/>
      <c r="V72" s="152">
        <f t="shared" si="48"/>
        <v>0.40859377233866123</v>
      </c>
      <c r="W72" s="152">
        <f t="shared" si="32"/>
        <v>0.29722929116747204</v>
      </c>
      <c r="X72" s="152">
        <f t="shared" si="33"/>
        <v>0.16629256855288366</v>
      </c>
      <c r="Y72" s="152">
        <f t="shared" si="34"/>
        <v>6.6837274468875996E-2</v>
      </c>
      <c r="Z72" s="152">
        <f t="shared" si="35"/>
        <v>3.3154147485202873E-2</v>
      </c>
      <c r="AA72" s="152">
        <f t="shared" si="36"/>
        <v>1.672718954622137E-2</v>
      </c>
      <c r="AB72" s="152">
        <f t="shared" si="37"/>
        <v>9.95053326852143E-3</v>
      </c>
      <c r="AC72" s="152">
        <f t="shared" si="38"/>
        <v>1.2152231721613816E-3</v>
      </c>
      <c r="AD72" s="152"/>
      <c r="AE72" s="221">
        <v>272</v>
      </c>
      <c r="AF72" s="221">
        <v>301</v>
      </c>
      <c r="AG72" s="221">
        <v>365</v>
      </c>
      <c r="AH72" s="221">
        <v>267</v>
      </c>
      <c r="AI72" s="221">
        <v>84</v>
      </c>
      <c r="AJ72" s="221">
        <v>12</v>
      </c>
      <c r="AK72" s="221">
        <v>1</v>
      </c>
      <c r="AL72" s="221">
        <v>4</v>
      </c>
      <c r="AM72" s="221">
        <v>1306</v>
      </c>
      <c r="AN72" s="147"/>
      <c r="AO72" s="221">
        <v>67</v>
      </c>
      <c r="AP72" s="221">
        <v>-24</v>
      </c>
      <c r="AQ72" s="221">
        <v>5</v>
      </c>
      <c r="AR72" s="221">
        <v>3</v>
      </c>
      <c r="AS72" s="221">
        <v>4</v>
      </c>
      <c r="AT72" s="221">
        <v>7</v>
      </c>
      <c r="AU72" s="221">
        <v>8</v>
      </c>
      <c r="AV72" s="221">
        <v>0</v>
      </c>
      <c r="AW72" s="221">
        <v>70</v>
      </c>
      <c r="AX72" s="56">
        <f t="shared" si="39"/>
        <v>-67</v>
      </c>
      <c r="AY72" s="56">
        <f t="shared" si="39"/>
        <v>24</v>
      </c>
      <c r="AZ72" s="56">
        <f t="shared" si="39"/>
        <v>-5</v>
      </c>
      <c r="BA72" s="56">
        <f t="shared" si="39"/>
        <v>-3</v>
      </c>
      <c r="BB72" s="56">
        <f t="shared" si="39"/>
        <v>-4</v>
      </c>
      <c r="BC72" s="56">
        <f t="shared" si="30"/>
        <v>-7</v>
      </c>
      <c r="BD72" s="56">
        <f t="shared" si="30"/>
        <v>-8</v>
      </c>
      <c r="BE72" s="56">
        <f t="shared" si="30"/>
        <v>0</v>
      </c>
      <c r="BF72" s="56">
        <f t="shared" si="30"/>
        <v>-70</v>
      </c>
      <c r="BH72">
        <f t="shared" si="40"/>
        <v>1</v>
      </c>
      <c r="BI72">
        <f t="shared" si="49"/>
        <v>0</v>
      </c>
      <c r="BJ72" s="154">
        <v>1372696.0533333335</v>
      </c>
      <c r="BK72" s="155">
        <f t="shared" si="41"/>
        <v>1372696.0533333335</v>
      </c>
      <c r="BL72" s="156">
        <v>1479360.894444444</v>
      </c>
      <c r="BM72" s="155">
        <f t="shared" si="42"/>
        <v>1479360.894444444</v>
      </c>
      <c r="BN72" s="158">
        <v>1553529.5222222225</v>
      </c>
      <c r="BO72" s="155">
        <f t="shared" si="43"/>
        <v>1553529.5222222225</v>
      </c>
      <c r="BP72" s="158">
        <v>1306429.5999999999</v>
      </c>
      <c r="BQ72" s="155">
        <f t="shared" si="44"/>
        <v>1306429.5999999999</v>
      </c>
      <c r="BR72" s="158">
        <v>1372349.3333333335</v>
      </c>
      <c r="BS72" s="155">
        <f t="shared" si="45"/>
        <v>1372349.3333333335</v>
      </c>
      <c r="BT72" s="194">
        <v>2328562.6</v>
      </c>
      <c r="BU72" s="194"/>
      <c r="BV72" s="348">
        <f t="shared" si="50"/>
        <v>2328562.6</v>
      </c>
      <c r="BW72" s="195">
        <f t="shared" si="46"/>
        <v>1728287.0977777776</v>
      </c>
      <c r="BX72" s="157" t="str">
        <f t="shared" si="51"/>
        <v>0</v>
      </c>
      <c r="BY72" s="157">
        <f>IF(E72*$CJ$10*'Year 7 Payments'!$L$20*IF(B72="",1,0.8)&lt;=(BW72-(J72*350)),E72*$CJ$10*'Year 7 Payments'!$L$20*IF(B72="",1,0.8),BW72-(IF(B72="",1,0.8)*J72*350))</f>
        <v>674349.6935822221</v>
      </c>
      <c r="BZ72" s="157" t="str">
        <f t="shared" si="52"/>
        <v>0</v>
      </c>
      <c r="CA72" s="157">
        <f t="shared" si="53"/>
        <v>1053937.4041955555</v>
      </c>
      <c r="CB72" s="157">
        <f t="shared" si="54"/>
        <v>0</v>
      </c>
      <c r="CC72" s="157">
        <f t="shared" si="55"/>
        <v>4215749.6167822219</v>
      </c>
      <c r="CD72" s="201">
        <f t="shared" si="56"/>
        <v>0</v>
      </c>
      <c r="CE72" s="155">
        <f t="shared" si="57"/>
        <v>1053937.4041955555</v>
      </c>
    </row>
    <row r="73" spans="1:83" x14ac:dyDescent="0.2">
      <c r="A73" s="147" t="s">
        <v>537</v>
      </c>
      <c r="B73" s="57" t="s">
        <v>538</v>
      </c>
      <c r="C73" s="57" t="s">
        <v>464</v>
      </c>
      <c r="D73" s="148" t="s">
        <v>101</v>
      </c>
      <c r="E73" s="197">
        <v>25785.555555555555</v>
      </c>
      <c r="F73" s="147">
        <f t="shared" si="47"/>
        <v>27181</v>
      </c>
      <c r="G73" s="342">
        <v>333</v>
      </c>
      <c r="H73" s="149">
        <f t="shared" si="31"/>
        <v>180</v>
      </c>
      <c r="I73" s="346">
        <v>92.968888888888898</v>
      </c>
      <c r="J73" s="150">
        <v>65</v>
      </c>
      <c r="K73"/>
      <c r="L73" s="151">
        <v>4293</v>
      </c>
      <c r="M73" s="151">
        <v>6138</v>
      </c>
      <c r="N73" s="151">
        <v>5894</v>
      </c>
      <c r="O73" s="151">
        <v>4273</v>
      </c>
      <c r="P73" s="151">
        <v>3208</v>
      </c>
      <c r="Q73" s="151">
        <v>1989</v>
      </c>
      <c r="R73" s="151">
        <v>1281</v>
      </c>
      <c r="S73" s="151">
        <v>105</v>
      </c>
      <c r="T73" s="151">
        <v>27181</v>
      </c>
      <c r="U73" s="147"/>
      <c r="V73" s="152">
        <f t="shared" si="48"/>
        <v>0.15794120893271035</v>
      </c>
      <c r="W73" s="152">
        <f t="shared" si="32"/>
        <v>0.22581950627276406</v>
      </c>
      <c r="X73" s="152">
        <f t="shared" si="33"/>
        <v>0.21684264743754827</v>
      </c>
      <c r="Y73" s="152">
        <f t="shared" si="34"/>
        <v>0.15720540083146314</v>
      </c>
      <c r="Z73" s="152">
        <f t="shared" si="35"/>
        <v>0.11802361944005003</v>
      </c>
      <c r="AA73" s="152">
        <f t="shared" si="36"/>
        <v>7.3176115669033523E-2</v>
      </c>
      <c r="AB73" s="152">
        <f t="shared" si="37"/>
        <v>4.7128508884882819E-2</v>
      </c>
      <c r="AC73" s="152">
        <f t="shared" si="38"/>
        <v>3.8629925315477724E-3</v>
      </c>
      <c r="AD73" s="152"/>
      <c r="AE73" s="221">
        <v>-15</v>
      </c>
      <c r="AF73" s="221">
        <v>59</v>
      </c>
      <c r="AG73" s="221">
        <v>22</v>
      </c>
      <c r="AH73" s="221">
        <v>64</v>
      </c>
      <c r="AI73" s="221">
        <v>56</v>
      </c>
      <c r="AJ73" s="221">
        <v>7</v>
      </c>
      <c r="AK73" s="221">
        <v>2</v>
      </c>
      <c r="AL73" s="221">
        <v>-3</v>
      </c>
      <c r="AM73" s="221">
        <v>192</v>
      </c>
      <c r="AN73" s="147"/>
      <c r="AO73" s="221">
        <v>20</v>
      </c>
      <c r="AP73" s="221">
        <v>-8</v>
      </c>
      <c r="AQ73" s="221">
        <v>10</v>
      </c>
      <c r="AR73" s="221">
        <v>2</v>
      </c>
      <c r="AS73" s="221">
        <v>-5</v>
      </c>
      <c r="AT73" s="221">
        <v>0</v>
      </c>
      <c r="AU73" s="221">
        <v>-4</v>
      </c>
      <c r="AV73" s="221">
        <v>-3</v>
      </c>
      <c r="AW73" s="221">
        <v>12</v>
      </c>
      <c r="AX73" s="56">
        <f t="shared" si="39"/>
        <v>-20</v>
      </c>
      <c r="AY73" s="56">
        <f t="shared" si="39"/>
        <v>8</v>
      </c>
      <c r="AZ73" s="56">
        <f t="shared" si="39"/>
        <v>-10</v>
      </c>
      <c r="BA73" s="56">
        <f t="shared" si="39"/>
        <v>-2</v>
      </c>
      <c r="BB73" s="56">
        <f t="shared" si="39"/>
        <v>5</v>
      </c>
      <c r="BC73" s="56">
        <f t="shared" si="30"/>
        <v>0</v>
      </c>
      <c r="BD73" s="56">
        <f t="shared" si="30"/>
        <v>4</v>
      </c>
      <c r="BE73" s="56">
        <f t="shared" si="30"/>
        <v>3</v>
      </c>
      <c r="BF73" s="56">
        <f t="shared" si="30"/>
        <v>-12</v>
      </c>
      <c r="BH73">
        <f t="shared" si="40"/>
        <v>0.8</v>
      </c>
      <c r="BI73">
        <f t="shared" si="49"/>
        <v>0.19999999999999996</v>
      </c>
      <c r="BJ73" s="154">
        <v>229123.82399999999</v>
      </c>
      <c r="BK73" s="155">
        <f t="shared" si="41"/>
        <v>229123.82399999999</v>
      </c>
      <c r="BL73" s="156">
        <v>172750.96533333336</v>
      </c>
      <c r="BM73" s="155">
        <f t="shared" si="42"/>
        <v>172750.96533333336</v>
      </c>
      <c r="BN73" s="158">
        <v>186452.35733333335</v>
      </c>
      <c r="BO73" s="155">
        <f t="shared" si="43"/>
        <v>186452.35733333335</v>
      </c>
      <c r="BP73" s="158">
        <v>203105.70666666667</v>
      </c>
      <c r="BQ73" s="155">
        <f t="shared" si="44"/>
        <v>203105.70666666667</v>
      </c>
      <c r="BR73" s="158">
        <v>2520</v>
      </c>
      <c r="BS73" s="155">
        <f t="shared" si="45"/>
        <v>2520</v>
      </c>
      <c r="BT73" s="194">
        <v>292540.65244444448</v>
      </c>
      <c r="BU73" s="194"/>
      <c r="BV73" s="348">
        <f t="shared" si="50"/>
        <v>292540.65244444448</v>
      </c>
      <c r="BW73" s="195">
        <f t="shared" si="46"/>
        <v>258170.96888888889</v>
      </c>
      <c r="BX73" s="157">
        <f t="shared" si="51"/>
        <v>64542.742222222223</v>
      </c>
      <c r="BY73" s="157">
        <f>IF(E73*$CJ$10*'Year 7 Payments'!$L$20*IF(B73="",1,0.8)&lt;=(BW73-(J73*350)),E73*$CJ$10*'Year 7 Payments'!$L$20*IF(B73="",1,0.8),BW73-(IF(B73="",1,0.8)*J73*350))</f>
        <v>126209.77393777776</v>
      </c>
      <c r="BZ73" s="157">
        <f t="shared" si="52"/>
        <v>31552.44348444444</v>
      </c>
      <c r="CA73" s="157">
        <f t="shared" si="53"/>
        <v>131961.19495111113</v>
      </c>
      <c r="CB73" s="157">
        <f t="shared" si="54"/>
        <v>32990.298737777783</v>
      </c>
      <c r="CC73" s="157">
        <f t="shared" si="55"/>
        <v>527844.77980444452</v>
      </c>
      <c r="CD73" s="201">
        <f t="shared" si="56"/>
        <v>131961.19495111113</v>
      </c>
      <c r="CE73" s="155">
        <f t="shared" si="57"/>
        <v>131961.19495111113</v>
      </c>
    </row>
    <row r="74" spans="1:83" x14ac:dyDescent="0.2">
      <c r="A74" s="147" t="s">
        <v>539</v>
      </c>
      <c r="B74" s="57" t="s">
        <v>442</v>
      </c>
      <c r="C74" s="57" t="s">
        <v>443</v>
      </c>
      <c r="D74" s="148" t="s">
        <v>102</v>
      </c>
      <c r="E74" s="197">
        <v>41459.777777777781</v>
      </c>
      <c r="F74" s="147">
        <f t="shared" si="47"/>
        <v>44151</v>
      </c>
      <c r="G74" s="342">
        <v>40</v>
      </c>
      <c r="H74" s="149">
        <f t="shared" si="31"/>
        <v>639</v>
      </c>
      <c r="I74" s="346">
        <v>369.04977777777776</v>
      </c>
      <c r="J74" s="150">
        <v>112</v>
      </c>
      <c r="K74"/>
      <c r="L74" s="151">
        <v>1091</v>
      </c>
      <c r="M74" s="151">
        <v>6813</v>
      </c>
      <c r="N74" s="151">
        <v>21305</v>
      </c>
      <c r="O74" s="151">
        <v>8532</v>
      </c>
      <c r="P74" s="151">
        <v>3740</v>
      </c>
      <c r="Q74" s="151">
        <v>2196</v>
      </c>
      <c r="R74" s="151">
        <v>465</v>
      </c>
      <c r="S74" s="151">
        <v>9</v>
      </c>
      <c r="T74" s="151">
        <v>44151</v>
      </c>
      <c r="U74" s="147"/>
      <c r="V74" s="152">
        <f t="shared" si="48"/>
        <v>2.4710652080360582E-2</v>
      </c>
      <c r="W74" s="152">
        <f t="shared" si="32"/>
        <v>0.15431134062648638</v>
      </c>
      <c r="X74" s="152">
        <f t="shared" si="33"/>
        <v>0.48254852664718806</v>
      </c>
      <c r="Y74" s="152">
        <f t="shared" si="34"/>
        <v>0.19324590609499218</v>
      </c>
      <c r="Z74" s="152">
        <f t="shared" si="35"/>
        <v>8.4709293107743874E-2</v>
      </c>
      <c r="AA74" s="152">
        <f t="shared" si="36"/>
        <v>4.9738397771284908E-2</v>
      </c>
      <c r="AB74" s="152">
        <f t="shared" si="37"/>
        <v>1.0532037779438744E-2</v>
      </c>
      <c r="AC74" s="152">
        <f t="shared" si="38"/>
        <v>2.0384589250526601E-4</v>
      </c>
      <c r="AD74" s="152"/>
      <c r="AE74" s="221">
        <v>223</v>
      </c>
      <c r="AF74" s="221">
        <v>83</v>
      </c>
      <c r="AG74" s="221">
        <v>215</v>
      </c>
      <c r="AH74" s="221">
        <v>95</v>
      </c>
      <c r="AI74" s="221">
        <v>13</v>
      </c>
      <c r="AJ74" s="221">
        <v>12</v>
      </c>
      <c r="AK74" s="221">
        <v>6</v>
      </c>
      <c r="AL74" s="221">
        <v>0</v>
      </c>
      <c r="AM74" s="221">
        <v>647</v>
      </c>
      <c r="AN74" s="147"/>
      <c r="AO74" s="221">
        <v>4</v>
      </c>
      <c r="AP74" s="221">
        <v>2</v>
      </c>
      <c r="AQ74" s="221">
        <v>2</v>
      </c>
      <c r="AR74" s="221">
        <v>-2</v>
      </c>
      <c r="AS74" s="221">
        <v>-1</v>
      </c>
      <c r="AT74" s="221">
        <v>2</v>
      </c>
      <c r="AU74" s="221">
        <v>0</v>
      </c>
      <c r="AV74" s="221">
        <v>1</v>
      </c>
      <c r="AW74" s="221">
        <v>8</v>
      </c>
      <c r="AX74" s="56">
        <f t="shared" si="39"/>
        <v>-4</v>
      </c>
      <c r="AY74" s="56">
        <f t="shared" si="39"/>
        <v>-2</v>
      </c>
      <c r="AZ74" s="56">
        <f t="shared" si="39"/>
        <v>-2</v>
      </c>
      <c r="BA74" s="56">
        <f t="shared" si="39"/>
        <v>2</v>
      </c>
      <c r="BB74" s="56">
        <f t="shared" si="39"/>
        <v>1</v>
      </c>
      <c r="BC74" s="56">
        <f t="shared" si="30"/>
        <v>-2</v>
      </c>
      <c r="BD74" s="56">
        <f t="shared" si="30"/>
        <v>0</v>
      </c>
      <c r="BE74" s="56">
        <f t="shared" si="30"/>
        <v>-1</v>
      </c>
      <c r="BF74" s="56">
        <f t="shared" si="30"/>
        <v>-8</v>
      </c>
      <c r="BH74">
        <f t="shared" si="40"/>
        <v>0.8</v>
      </c>
      <c r="BI74">
        <f t="shared" si="49"/>
        <v>0.19999999999999996</v>
      </c>
      <c r="BJ74" s="154">
        <v>477309.31733333343</v>
      </c>
      <c r="BK74" s="155">
        <f t="shared" si="41"/>
        <v>477309.31733333343</v>
      </c>
      <c r="BL74" s="156">
        <v>454296.46933333337</v>
      </c>
      <c r="BM74" s="155">
        <f t="shared" si="42"/>
        <v>454296.46933333337</v>
      </c>
      <c r="BN74" s="158">
        <v>183969.2826666667</v>
      </c>
      <c r="BO74" s="155">
        <f t="shared" si="43"/>
        <v>183969.2826666667</v>
      </c>
      <c r="BP74" s="158">
        <v>201201.28</v>
      </c>
      <c r="BQ74" s="155">
        <f t="shared" si="44"/>
        <v>201201.28</v>
      </c>
      <c r="BR74" s="158">
        <v>256643.39022222222</v>
      </c>
      <c r="BS74" s="155">
        <f t="shared" si="45"/>
        <v>256643.39022222222</v>
      </c>
      <c r="BT74" s="194">
        <v>307142.42844444443</v>
      </c>
      <c r="BU74" s="194"/>
      <c r="BV74" s="348">
        <f t="shared" si="50"/>
        <v>307142.42844444443</v>
      </c>
      <c r="BW74" s="195">
        <f t="shared" si="46"/>
        <v>685875.71911111102</v>
      </c>
      <c r="BX74" s="157">
        <f t="shared" si="51"/>
        <v>171468.92977777775</v>
      </c>
      <c r="BY74" s="157">
        <f>IF(E74*$CJ$10*'Year 7 Payments'!$L$20*IF(B74="",1,0.8)&lt;=(BW74-(J74*350)),E74*$CJ$10*'Year 7 Payments'!$L$20*IF(B74="",1,0.8),BW74-(IF(B74="",1,0.8)*J74*350))</f>
        <v>202928.6966328889</v>
      </c>
      <c r="BZ74" s="157">
        <f t="shared" si="52"/>
        <v>50732.174158222224</v>
      </c>
      <c r="CA74" s="157">
        <f t="shared" si="53"/>
        <v>482947.02247822215</v>
      </c>
      <c r="CB74" s="157">
        <f t="shared" si="54"/>
        <v>120736.75561955554</v>
      </c>
      <c r="CC74" s="157">
        <f t="shared" si="55"/>
        <v>1931788.0899128886</v>
      </c>
      <c r="CD74" s="201">
        <f t="shared" si="56"/>
        <v>482947.02247822215</v>
      </c>
      <c r="CE74" s="155">
        <f t="shared" si="57"/>
        <v>482947.02247822215</v>
      </c>
    </row>
    <row r="75" spans="1:83" x14ac:dyDescent="0.2">
      <c r="A75" s="147" t="s">
        <v>540</v>
      </c>
      <c r="B75" s="57"/>
      <c r="C75" s="57" t="s">
        <v>461</v>
      </c>
      <c r="D75" s="148" t="s">
        <v>103</v>
      </c>
      <c r="E75" s="197">
        <v>155015.44444444447</v>
      </c>
      <c r="F75" s="147">
        <f t="shared" si="47"/>
        <v>153224</v>
      </c>
      <c r="G75" s="342">
        <v>1216</v>
      </c>
      <c r="H75" s="149">
        <f t="shared" si="31"/>
        <v>1347</v>
      </c>
      <c r="I75" s="346">
        <v>585.2715555555551</v>
      </c>
      <c r="J75" s="150">
        <v>273</v>
      </c>
      <c r="K75"/>
      <c r="L75" s="151">
        <v>3516</v>
      </c>
      <c r="M75" s="151">
        <v>22111</v>
      </c>
      <c r="N75" s="151">
        <v>47812</v>
      </c>
      <c r="O75" s="151">
        <v>38357</v>
      </c>
      <c r="P75" s="151">
        <v>21873</v>
      </c>
      <c r="Q75" s="151">
        <v>11492</v>
      </c>
      <c r="R75" s="151">
        <v>7428</v>
      </c>
      <c r="S75" s="151">
        <v>635</v>
      </c>
      <c r="T75" s="151">
        <v>153224</v>
      </c>
      <c r="U75" s="147"/>
      <c r="V75" s="152">
        <f t="shared" si="48"/>
        <v>2.2946796846447032E-2</v>
      </c>
      <c r="W75" s="152">
        <f t="shared" si="32"/>
        <v>0.14430506970187437</v>
      </c>
      <c r="X75" s="152">
        <f t="shared" si="33"/>
        <v>0.31203988931237925</v>
      </c>
      <c r="Y75" s="152">
        <f t="shared" si="34"/>
        <v>0.25033284602934264</v>
      </c>
      <c r="Z75" s="152">
        <f t="shared" si="35"/>
        <v>0.14275178823160861</v>
      </c>
      <c r="AA75" s="152">
        <f t="shared" si="36"/>
        <v>7.500130527854644E-2</v>
      </c>
      <c r="AB75" s="152">
        <f t="shared" si="37"/>
        <v>4.8478045214848851E-2</v>
      </c>
      <c r="AC75" s="152">
        <f t="shared" si="38"/>
        <v>4.1442593849527493E-3</v>
      </c>
      <c r="AD75" s="152"/>
      <c r="AE75" s="221">
        <v>310</v>
      </c>
      <c r="AF75" s="221">
        <v>276</v>
      </c>
      <c r="AG75" s="221">
        <v>493</v>
      </c>
      <c r="AH75" s="221">
        <v>245</v>
      </c>
      <c r="AI75" s="221">
        <v>172</v>
      </c>
      <c r="AJ75" s="221">
        <v>31</v>
      </c>
      <c r="AK75" s="221">
        <v>13</v>
      </c>
      <c r="AL75" s="221">
        <v>1</v>
      </c>
      <c r="AM75" s="221">
        <v>1541</v>
      </c>
      <c r="AN75" s="147"/>
      <c r="AO75" s="221">
        <v>56</v>
      </c>
      <c r="AP75" s="221">
        <v>46</v>
      </c>
      <c r="AQ75" s="221">
        <v>16</v>
      </c>
      <c r="AR75" s="221">
        <v>36</v>
      </c>
      <c r="AS75" s="221">
        <v>22</v>
      </c>
      <c r="AT75" s="221">
        <v>12</v>
      </c>
      <c r="AU75" s="221">
        <v>5</v>
      </c>
      <c r="AV75" s="221">
        <v>1</v>
      </c>
      <c r="AW75" s="221">
        <v>194</v>
      </c>
      <c r="AX75" s="56">
        <f t="shared" si="39"/>
        <v>-56</v>
      </c>
      <c r="AY75" s="56">
        <f t="shared" si="39"/>
        <v>-46</v>
      </c>
      <c r="AZ75" s="56">
        <f t="shared" si="39"/>
        <v>-16</v>
      </c>
      <c r="BA75" s="56">
        <f t="shared" si="39"/>
        <v>-36</v>
      </c>
      <c r="BB75" s="56">
        <f t="shared" si="39"/>
        <v>-22</v>
      </c>
      <c r="BC75" s="56">
        <f t="shared" si="30"/>
        <v>-12</v>
      </c>
      <c r="BD75" s="56">
        <f t="shared" si="30"/>
        <v>-5</v>
      </c>
      <c r="BE75" s="56">
        <f t="shared" si="30"/>
        <v>-1</v>
      </c>
      <c r="BF75" s="56">
        <f t="shared" si="30"/>
        <v>-194</v>
      </c>
      <c r="BH75">
        <f t="shared" si="40"/>
        <v>1</v>
      </c>
      <c r="BI75">
        <f t="shared" si="49"/>
        <v>0</v>
      </c>
      <c r="BJ75" s="154">
        <v>2201846.6866666665</v>
      </c>
      <c r="BK75" s="155">
        <f t="shared" si="41"/>
        <v>2201846.6866666665</v>
      </c>
      <c r="BL75" s="156">
        <v>2022731.111111111</v>
      </c>
      <c r="BM75" s="155">
        <f t="shared" si="42"/>
        <v>2022731.111111111</v>
      </c>
      <c r="BN75" s="158">
        <v>1215087.4244444445</v>
      </c>
      <c r="BO75" s="155">
        <f t="shared" si="43"/>
        <v>1215087.4244444445</v>
      </c>
      <c r="BP75" s="158">
        <v>2872593.4666666659</v>
      </c>
      <c r="BQ75" s="155">
        <f t="shared" si="44"/>
        <v>2872593.4666666659</v>
      </c>
      <c r="BR75" s="158">
        <v>1337708.7866666666</v>
      </c>
      <c r="BS75" s="155">
        <f t="shared" si="45"/>
        <v>1337708.7866666666</v>
      </c>
      <c r="BT75" s="194">
        <v>2100750.3844444444</v>
      </c>
      <c r="BU75" s="194"/>
      <c r="BV75" s="348">
        <f t="shared" si="50"/>
        <v>2100750.3844444444</v>
      </c>
      <c r="BW75" s="195">
        <f t="shared" si="46"/>
        <v>1939179.6533333333</v>
      </c>
      <c r="BX75" s="157" t="str">
        <f t="shared" si="51"/>
        <v>0</v>
      </c>
      <c r="BY75" s="157">
        <f>IF(E75*$CJ$10*'Year 7 Payments'!$L$20*IF(B75="",1,0.8)&lt;=(BW75-(J75*350)),E75*$CJ$10*'Year 7 Payments'!$L$20*IF(B75="",1,0.8),BW75-(IF(B75="",1,0.8)*J75*350))</f>
        <v>948421.69281777786</v>
      </c>
      <c r="BZ75" s="157" t="str">
        <f t="shared" si="52"/>
        <v>0</v>
      </c>
      <c r="CA75" s="157">
        <f t="shared" si="53"/>
        <v>990757.96051555546</v>
      </c>
      <c r="CB75" s="157">
        <f t="shared" si="54"/>
        <v>0</v>
      </c>
      <c r="CC75" s="157">
        <f t="shared" si="55"/>
        <v>3963031.8420622218</v>
      </c>
      <c r="CD75" s="201">
        <f t="shared" si="56"/>
        <v>0</v>
      </c>
      <c r="CE75" s="155">
        <f t="shared" si="57"/>
        <v>990757.96051555546</v>
      </c>
    </row>
    <row r="76" spans="1:83" x14ac:dyDescent="0.2">
      <c r="A76" s="147" t="s">
        <v>541</v>
      </c>
      <c r="B76" s="57" t="s">
        <v>500</v>
      </c>
      <c r="C76" s="57" t="s">
        <v>459</v>
      </c>
      <c r="D76" s="148" t="s">
        <v>104</v>
      </c>
      <c r="E76" s="197">
        <v>66195</v>
      </c>
      <c r="F76" s="147">
        <f t="shared" si="47"/>
        <v>63138</v>
      </c>
      <c r="G76" s="342">
        <v>318</v>
      </c>
      <c r="H76" s="149">
        <f t="shared" si="31"/>
        <v>583</v>
      </c>
      <c r="I76" s="346">
        <v>357.66444444444431</v>
      </c>
      <c r="J76" s="150">
        <v>186</v>
      </c>
      <c r="K76"/>
      <c r="L76" s="151">
        <v>1217</v>
      </c>
      <c r="M76" s="151">
        <v>8005</v>
      </c>
      <c r="N76" s="151">
        <v>19111</v>
      </c>
      <c r="O76" s="151">
        <v>15110</v>
      </c>
      <c r="P76" s="151">
        <v>8651</v>
      </c>
      <c r="Q76" s="151">
        <v>5470</v>
      </c>
      <c r="R76" s="151">
        <v>4826</v>
      </c>
      <c r="S76" s="151">
        <v>748</v>
      </c>
      <c r="T76" s="151">
        <v>63138</v>
      </c>
      <c r="U76" s="147"/>
      <c r="V76" s="152">
        <f t="shared" si="48"/>
        <v>1.9275238366752195E-2</v>
      </c>
      <c r="W76" s="152">
        <f t="shared" si="32"/>
        <v>0.12678577085115145</v>
      </c>
      <c r="X76" s="152">
        <f t="shared" si="33"/>
        <v>0.30268617947986948</v>
      </c>
      <c r="Y76" s="152">
        <f t="shared" si="34"/>
        <v>0.23931705153790112</v>
      </c>
      <c r="Z76" s="152">
        <f t="shared" si="35"/>
        <v>0.13701732712471096</v>
      </c>
      <c r="AA76" s="152">
        <f t="shared" si="36"/>
        <v>8.6635623554753086E-2</v>
      </c>
      <c r="AB76" s="152">
        <f t="shared" si="37"/>
        <v>7.6435743926003358E-2</v>
      </c>
      <c r="AC76" s="152">
        <f t="shared" si="38"/>
        <v>1.1847065158858373E-2</v>
      </c>
      <c r="AD76" s="152"/>
      <c r="AE76" s="221">
        <v>4</v>
      </c>
      <c r="AF76" s="221">
        <v>56</v>
      </c>
      <c r="AG76" s="221">
        <v>203</v>
      </c>
      <c r="AH76" s="221">
        <v>193</v>
      </c>
      <c r="AI76" s="221">
        <v>82</v>
      </c>
      <c r="AJ76" s="221">
        <v>41</v>
      </c>
      <c r="AK76" s="221">
        <v>45</v>
      </c>
      <c r="AL76" s="221">
        <v>7</v>
      </c>
      <c r="AM76" s="221">
        <v>631</v>
      </c>
      <c r="AN76" s="147"/>
      <c r="AO76" s="221">
        <v>-2</v>
      </c>
      <c r="AP76" s="221">
        <v>7</v>
      </c>
      <c r="AQ76" s="221">
        <v>28</v>
      </c>
      <c r="AR76" s="221">
        <v>10</v>
      </c>
      <c r="AS76" s="221">
        <v>5</v>
      </c>
      <c r="AT76" s="221">
        <v>-4</v>
      </c>
      <c r="AU76" s="221">
        <v>5</v>
      </c>
      <c r="AV76" s="221">
        <v>-1</v>
      </c>
      <c r="AW76" s="221">
        <v>48</v>
      </c>
      <c r="AX76" s="56">
        <f t="shared" si="39"/>
        <v>2</v>
      </c>
      <c r="AY76" s="56">
        <f t="shared" si="39"/>
        <v>-7</v>
      </c>
      <c r="AZ76" s="56">
        <f t="shared" si="39"/>
        <v>-28</v>
      </c>
      <c r="BA76" s="56">
        <f t="shared" si="39"/>
        <v>-10</v>
      </c>
      <c r="BB76" s="56">
        <f t="shared" si="39"/>
        <v>-5</v>
      </c>
      <c r="BC76" s="56">
        <f t="shared" si="30"/>
        <v>4</v>
      </c>
      <c r="BD76" s="56">
        <f t="shared" si="30"/>
        <v>-5</v>
      </c>
      <c r="BE76" s="56">
        <f t="shared" si="30"/>
        <v>1</v>
      </c>
      <c r="BF76" s="56">
        <f t="shared" si="30"/>
        <v>-48</v>
      </c>
      <c r="BH76">
        <f t="shared" si="40"/>
        <v>0.8</v>
      </c>
      <c r="BI76">
        <f t="shared" si="49"/>
        <v>0.19999999999999996</v>
      </c>
      <c r="BJ76" s="154">
        <v>324943.89333333331</v>
      </c>
      <c r="BK76" s="155">
        <f t="shared" si="41"/>
        <v>324943.89333333331</v>
      </c>
      <c r="BL76" s="156">
        <v>556988.6755555555</v>
      </c>
      <c r="BM76" s="155">
        <f t="shared" si="42"/>
        <v>556988.6755555555</v>
      </c>
      <c r="BN76" s="158">
        <v>624903.82400000014</v>
      </c>
      <c r="BO76" s="155">
        <f t="shared" si="43"/>
        <v>624903.82400000014</v>
      </c>
      <c r="BP76" s="158">
        <v>627628.37333333341</v>
      </c>
      <c r="BQ76" s="155">
        <f t="shared" si="44"/>
        <v>627628.37333333341</v>
      </c>
      <c r="BR76" s="158">
        <v>476318.70044444449</v>
      </c>
      <c r="BS76" s="155">
        <f t="shared" si="45"/>
        <v>476318.70044444449</v>
      </c>
      <c r="BT76" s="194">
        <v>880671.74222222238</v>
      </c>
      <c r="BU76" s="194"/>
      <c r="BV76" s="348">
        <f t="shared" si="50"/>
        <v>880671.74222222238</v>
      </c>
      <c r="BW76" s="195">
        <f t="shared" si="46"/>
        <v>813732.89955555554</v>
      </c>
      <c r="BX76" s="157">
        <f t="shared" si="51"/>
        <v>203433.22488888889</v>
      </c>
      <c r="BY76" s="157">
        <f>IF(E76*$CJ$10*'Year 7 Payments'!$L$20*IF(B76="",1,0.8)&lt;=(BW76-(J76*350)),E76*$CJ$10*'Year 7 Payments'!$L$20*IF(B76="",1,0.8),BW76-(IF(B76="",1,0.8)*J76*350))</f>
        <v>323997.51744000008</v>
      </c>
      <c r="BZ76" s="157">
        <f t="shared" si="52"/>
        <v>80999.379360000021</v>
      </c>
      <c r="CA76" s="157">
        <f t="shared" si="53"/>
        <v>489735.38211555546</v>
      </c>
      <c r="CB76" s="157">
        <f t="shared" si="54"/>
        <v>122433.84552888887</v>
      </c>
      <c r="CC76" s="157">
        <f t="shared" si="55"/>
        <v>1958941.5284622218</v>
      </c>
      <c r="CD76" s="201">
        <f t="shared" si="56"/>
        <v>489735.38211555546</v>
      </c>
      <c r="CE76" s="155">
        <f t="shared" si="57"/>
        <v>489735.38211555546</v>
      </c>
    </row>
    <row r="77" spans="1:83" x14ac:dyDescent="0.2">
      <c r="A77" s="147" t="s">
        <v>542</v>
      </c>
      <c r="B77" s="57"/>
      <c r="C77" s="57" t="s">
        <v>543</v>
      </c>
      <c r="D77" s="148" t="s">
        <v>105</v>
      </c>
      <c r="E77" s="197">
        <v>40148.888888888891</v>
      </c>
      <c r="F77" s="147">
        <f t="shared" si="47"/>
        <v>49855</v>
      </c>
      <c r="G77" s="342">
        <v>572</v>
      </c>
      <c r="H77" s="149">
        <f t="shared" si="31"/>
        <v>265</v>
      </c>
      <c r="I77" s="346">
        <v>90.182222222222236</v>
      </c>
      <c r="J77" s="150">
        <v>59</v>
      </c>
      <c r="K77"/>
      <c r="L77" s="151">
        <v>22695</v>
      </c>
      <c r="M77" s="151">
        <v>10153</v>
      </c>
      <c r="N77" s="151">
        <v>7106</v>
      </c>
      <c r="O77" s="151">
        <v>5172</v>
      </c>
      <c r="P77" s="151">
        <v>2940</v>
      </c>
      <c r="Q77" s="151">
        <v>1194</v>
      </c>
      <c r="R77" s="151">
        <v>543</v>
      </c>
      <c r="S77" s="151">
        <v>52</v>
      </c>
      <c r="T77" s="151">
        <v>49855</v>
      </c>
      <c r="U77" s="147"/>
      <c r="V77" s="152">
        <f t="shared" si="48"/>
        <v>0.45522013840136394</v>
      </c>
      <c r="W77" s="152">
        <f t="shared" si="32"/>
        <v>0.20365058670143416</v>
      </c>
      <c r="X77" s="152">
        <f t="shared" si="33"/>
        <v>0.14253334670544579</v>
      </c>
      <c r="Y77" s="152">
        <f t="shared" si="34"/>
        <v>0.10374084846053555</v>
      </c>
      <c r="Z77" s="152">
        <f t="shared" si="35"/>
        <v>5.8971015946244106E-2</v>
      </c>
      <c r="AA77" s="152">
        <f t="shared" si="36"/>
        <v>2.3949453414903218E-2</v>
      </c>
      <c r="AB77" s="152">
        <f t="shared" si="37"/>
        <v>1.0891585598234881E-2</v>
      </c>
      <c r="AC77" s="152">
        <f t="shared" si="38"/>
        <v>1.0430247718383311E-3</v>
      </c>
      <c r="AD77" s="152"/>
      <c r="AE77" s="221">
        <v>30</v>
      </c>
      <c r="AF77" s="221">
        <v>100</v>
      </c>
      <c r="AG77" s="221">
        <v>65</v>
      </c>
      <c r="AH77" s="221">
        <v>45</v>
      </c>
      <c r="AI77" s="221">
        <v>38</v>
      </c>
      <c r="AJ77" s="221">
        <v>10</v>
      </c>
      <c r="AK77" s="221">
        <v>8</v>
      </c>
      <c r="AL77" s="221">
        <v>1</v>
      </c>
      <c r="AM77" s="221">
        <v>297</v>
      </c>
      <c r="AN77" s="147"/>
      <c r="AO77" s="221">
        <v>5</v>
      </c>
      <c r="AP77" s="221">
        <v>28</v>
      </c>
      <c r="AQ77" s="221">
        <v>-2</v>
      </c>
      <c r="AR77" s="221">
        <v>-3</v>
      </c>
      <c r="AS77" s="221">
        <v>3</v>
      </c>
      <c r="AT77" s="221">
        <v>0</v>
      </c>
      <c r="AU77" s="221">
        <v>0</v>
      </c>
      <c r="AV77" s="221">
        <v>1</v>
      </c>
      <c r="AW77" s="221">
        <v>32</v>
      </c>
      <c r="AX77" s="56">
        <f t="shared" si="39"/>
        <v>-5</v>
      </c>
      <c r="AY77" s="56">
        <f t="shared" si="39"/>
        <v>-28</v>
      </c>
      <c r="AZ77" s="56">
        <f t="shared" si="39"/>
        <v>2</v>
      </c>
      <c r="BA77" s="56">
        <f t="shared" si="39"/>
        <v>3</v>
      </c>
      <c r="BB77" s="56">
        <f t="shared" si="39"/>
        <v>-3</v>
      </c>
      <c r="BC77" s="56">
        <f t="shared" si="30"/>
        <v>0</v>
      </c>
      <c r="BD77" s="56">
        <f t="shared" si="30"/>
        <v>0</v>
      </c>
      <c r="BE77" s="56">
        <f t="shared" si="30"/>
        <v>-1</v>
      </c>
      <c r="BF77" s="56">
        <f t="shared" si="30"/>
        <v>-32</v>
      </c>
      <c r="BH77">
        <f t="shared" si="40"/>
        <v>1</v>
      </c>
      <c r="BI77">
        <f t="shared" si="49"/>
        <v>0</v>
      </c>
      <c r="BJ77" s="154">
        <v>274411.28000000003</v>
      </c>
      <c r="BK77" s="155">
        <f t="shared" si="41"/>
        <v>274411.28000000003</v>
      </c>
      <c r="BL77" s="156">
        <v>306080.39222222223</v>
      </c>
      <c r="BM77" s="155">
        <f t="shared" si="42"/>
        <v>306080.39222222223</v>
      </c>
      <c r="BN77" s="158">
        <v>289089.61444444448</v>
      </c>
      <c r="BO77" s="155">
        <f t="shared" si="43"/>
        <v>289089.61444444448</v>
      </c>
      <c r="BP77" s="158">
        <v>401672.2666666666</v>
      </c>
      <c r="BQ77" s="155">
        <f t="shared" si="44"/>
        <v>401672.2666666666</v>
      </c>
      <c r="BR77" s="158">
        <v>541704.60444444441</v>
      </c>
      <c r="BS77" s="155">
        <f t="shared" si="45"/>
        <v>541704.60444444441</v>
      </c>
      <c r="BT77" s="194">
        <v>837549.56444444449</v>
      </c>
      <c r="BV77" s="348">
        <f t="shared" si="50"/>
        <v>837549.56444444449</v>
      </c>
      <c r="BW77" s="195">
        <f t="shared" si="46"/>
        <v>404229.65777777776</v>
      </c>
      <c r="BX77" s="157" t="str">
        <f t="shared" si="51"/>
        <v>0</v>
      </c>
      <c r="BY77" s="157">
        <f>IF(E77*$CJ$10*'Year 7 Payments'!$L$20*IF(B77="",1,0.8)&lt;=(BW77-(J77*350)),E77*$CJ$10*'Year 7 Payments'!$L$20*IF(B77="",1,0.8),BW77-(IF(B77="",1,0.8)*J77*350))</f>
        <v>245640.53795555557</v>
      </c>
      <c r="BZ77" s="157" t="str">
        <f t="shared" si="52"/>
        <v>0</v>
      </c>
      <c r="CA77" s="157">
        <f t="shared" si="53"/>
        <v>158589.11982222219</v>
      </c>
      <c r="CB77" s="157">
        <f t="shared" si="54"/>
        <v>0</v>
      </c>
      <c r="CC77" s="157">
        <f t="shared" si="55"/>
        <v>634356.47928888875</v>
      </c>
      <c r="CD77" s="201">
        <f t="shared" si="56"/>
        <v>0</v>
      </c>
      <c r="CE77" s="155">
        <f t="shared" si="57"/>
        <v>158589.11982222219</v>
      </c>
    </row>
    <row r="78" spans="1:83" x14ac:dyDescent="0.2">
      <c r="A78" s="147" t="s">
        <v>544</v>
      </c>
      <c r="B78" s="57" t="s">
        <v>454</v>
      </c>
      <c r="C78" s="57" t="s">
        <v>443</v>
      </c>
      <c r="D78" s="148" t="s">
        <v>106</v>
      </c>
      <c r="E78" s="197">
        <v>41957.888888888891</v>
      </c>
      <c r="F78" s="147">
        <f t="shared" si="47"/>
        <v>43504</v>
      </c>
      <c r="G78" s="342">
        <v>188</v>
      </c>
      <c r="H78" s="149">
        <f t="shared" si="31"/>
        <v>804</v>
      </c>
      <c r="I78" s="346">
        <v>693.94622222222233</v>
      </c>
      <c r="J78" s="150">
        <v>123</v>
      </c>
      <c r="K78"/>
      <c r="L78" s="151">
        <v>1635</v>
      </c>
      <c r="M78" s="151">
        <v>6753</v>
      </c>
      <c r="N78" s="151">
        <v>14476</v>
      </c>
      <c r="O78" s="151">
        <v>11267</v>
      </c>
      <c r="P78" s="151">
        <v>5752</v>
      </c>
      <c r="Q78" s="151">
        <v>2542</v>
      </c>
      <c r="R78" s="151">
        <v>1021</v>
      </c>
      <c r="S78" s="151">
        <v>58</v>
      </c>
      <c r="T78" s="151">
        <v>43504</v>
      </c>
      <c r="U78" s="147"/>
      <c r="V78" s="152">
        <f t="shared" si="48"/>
        <v>3.7582751011401253E-2</v>
      </c>
      <c r="W78" s="152">
        <f t="shared" si="32"/>
        <v>0.15522710555351232</v>
      </c>
      <c r="X78" s="152">
        <f t="shared" si="33"/>
        <v>0.33275101140125046</v>
      </c>
      <c r="Y78" s="152">
        <f t="shared" si="34"/>
        <v>0.25898767929385802</v>
      </c>
      <c r="Z78" s="152">
        <f t="shared" si="35"/>
        <v>0.13221772710555352</v>
      </c>
      <c r="AA78" s="152">
        <f t="shared" si="36"/>
        <v>5.8431408606105184E-2</v>
      </c>
      <c r="AB78" s="152">
        <f t="shared" si="37"/>
        <v>2.3469106289076867E-2</v>
      </c>
      <c r="AC78" s="152">
        <f t="shared" si="38"/>
        <v>1.3332107392423685E-3</v>
      </c>
      <c r="AD78" s="152"/>
      <c r="AE78" s="221">
        <v>4</v>
      </c>
      <c r="AF78" s="221">
        <v>18</v>
      </c>
      <c r="AG78" s="221">
        <v>57</v>
      </c>
      <c r="AH78" s="221">
        <v>501</v>
      </c>
      <c r="AI78" s="221">
        <v>182</v>
      </c>
      <c r="AJ78" s="221">
        <v>36</v>
      </c>
      <c r="AK78" s="221">
        <v>17</v>
      </c>
      <c r="AL78" s="221">
        <v>1</v>
      </c>
      <c r="AM78" s="221">
        <v>816</v>
      </c>
      <c r="AN78" s="147"/>
      <c r="AO78" s="221">
        <v>-4</v>
      </c>
      <c r="AP78" s="221">
        <v>2</v>
      </c>
      <c r="AQ78" s="221">
        <v>8</v>
      </c>
      <c r="AR78" s="221">
        <v>5</v>
      </c>
      <c r="AS78" s="221">
        <v>4</v>
      </c>
      <c r="AT78" s="221">
        <v>-2</v>
      </c>
      <c r="AU78" s="221">
        <v>-1</v>
      </c>
      <c r="AV78" s="221">
        <v>0</v>
      </c>
      <c r="AW78" s="221">
        <v>12</v>
      </c>
      <c r="AX78" s="56">
        <f t="shared" si="39"/>
        <v>4</v>
      </c>
      <c r="AY78" s="56">
        <f t="shared" si="39"/>
        <v>-2</v>
      </c>
      <c r="AZ78" s="56">
        <f t="shared" si="39"/>
        <v>-8</v>
      </c>
      <c r="BA78" s="56">
        <f t="shared" si="39"/>
        <v>-5</v>
      </c>
      <c r="BB78" s="56">
        <f t="shared" si="39"/>
        <v>-4</v>
      </c>
      <c r="BC78" s="56">
        <f t="shared" si="30"/>
        <v>2</v>
      </c>
      <c r="BD78" s="56">
        <f t="shared" si="30"/>
        <v>1</v>
      </c>
      <c r="BE78" s="56">
        <f t="shared" si="30"/>
        <v>0</v>
      </c>
      <c r="BF78" s="56">
        <f t="shared" si="30"/>
        <v>-12</v>
      </c>
      <c r="BH78">
        <f t="shared" si="40"/>
        <v>0.8</v>
      </c>
      <c r="BI78">
        <f t="shared" si="49"/>
        <v>0.19999999999999996</v>
      </c>
      <c r="BJ78" s="154">
        <v>239102.41600000003</v>
      </c>
      <c r="BK78" s="155">
        <f t="shared" si="41"/>
        <v>239102.41600000003</v>
      </c>
      <c r="BL78" s="156">
        <v>534198.4035555555</v>
      </c>
      <c r="BM78" s="155">
        <f t="shared" si="42"/>
        <v>534198.4035555555</v>
      </c>
      <c r="BN78" s="158">
        <v>552440.52888888901</v>
      </c>
      <c r="BO78" s="155">
        <f t="shared" si="43"/>
        <v>552440.52888888901</v>
      </c>
      <c r="BP78" s="158">
        <v>613279.57333333325</v>
      </c>
      <c r="BQ78" s="155">
        <f t="shared" si="44"/>
        <v>613279.57333333325</v>
      </c>
      <c r="BR78" s="158">
        <v>717306.33066666673</v>
      </c>
      <c r="BS78" s="155">
        <f t="shared" si="45"/>
        <v>717306.33066666673</v>
      </c>
      <c r="BT78" s="194">
        <v>903670.2453333335</v>
      </c>
      <c r="BU78" s="194"/>
      <c r="BV78" s="348">
        <f t="shared" si="50"/>
        <v>903670.2453333335</v>
      </c>
      <c r="BW78" s="195">
        <f t="shared" si="46"/>
        <v>1088952.6542222225</v>
      </c>
      <c r="BX78" s="157">
        <f t="shared" si="51"/>
        <v>272238.16355555563</v>
      </c>
      <c r="BY78" s="157">
        <f>IF(E78*$CJ$10*'Year 7 Payments'!$L$20*IF(B78="",1,0.8)&lt;=(BW78-(J78*350)),E78*$CJ$10*'Year 7 Payments'!$L$20*IF(B78="",1,0.8),BW78-(IF(B78="",1,0.8)*J78*350))</f>
        <v>205366.74729244446</v>
      </c>
      <c r="BZ78" s="157">
        <f t="shared" si="52"/>
        <v>51341.686823111115</v>
      </c>
      <c r="CA78" s="157">
        <f t="shared" si="53"/>
        <v>883585.90692977805</v>
      </c>
      <c r="CB78" s="157">
        <f t="shared" si="54"/>
        <v>220896.47673244451</v>
      </c>
      <c r="CC78" s="157">
        <f t="shared" si="55"/>
        <v>3534343.6277191122</v>
      </c>
      <c r="CD78" s="201">
        <f t="shared" si="56"/>
        <v>883585.90692977805</v>
      </c>
      <c r="CE78" s="155">
        <f t="shared" si="57"/>
        <v>883585.90692977805</v>
      </c>
    </row>
    <row r="79" spans="1:83" x14ac:dyDescent="0.2">
      <c r="A79" s="147" t="s">
        <v>545</v>
      </c>
      <c r="B79" s="57" t="s">
        <v>533</v>
      </c>
      <c r="C79" s="57" t="s">
        <v>449</v>
      </c>
      <c r="D79" s="148" t="s">
        <v>107</v>
      </c>
      <c r="E79" s="197">
        <v>33473.333333333336</v>
      </c>
      <c r="F79" s="147">
        <f t="shared" si="47"/>
        <v>34485</v>
      </c>
      <c r="G79" s="342">
        <v>80</v>
      </c>
      <c r="H79" s="149">
        <f t="shared" si="31"/>
        <v>697</v>
      </c>
      <c r="I79" s="346">
        <v>649.8844444444444</v>
      </c>
      <c r="J79" s="150">
        <v>71</v>
      </c>
      <c r="K79"/>
      <c r="L79" s="151">
        <v>3728</v>
      </c>
      <c r="M79" s="151">
        <v>8375</v>
      </c>
      <c r="N79" s="151">
        <v>7691</v>
      </c>
      <c r="O79" s="151">
        <v>5258</v>
      </c>
      <c r="P79" s="151">
        <v>4323</v>
      </c>
      <c r="Q79" s="151">
        <v>2742</v>
      </c>
      <c r="R79" s="151">
        <v>2223</v>
      </c>
      <c r="S79" s="151">
        <v>145</v>
      </c>
      <c r="T79" s="151">
        <v>34485</v>
      </c>
      <c r="U79" s="147"/>
      <c r="V79" s="152">
        <f t="shared" si="48"/>
        <v>0.10810497317674352</v>
      </c>
      <c r="W79" s="152">
        <f t="shared" si="32"/>
        <v>0.24285921415108017</v>
      </c>
      <c r="X79" s="152">
        <f t="shared" si="33"/>
        <v>0.22302450340727853</v>
      </c>
      <c r="Y79" s="152">
        <f t="shared" si="34"/>
        <v>0.15247208931419456</v>
      </c>
      <c r="Z79" s="152">
        <f t="shared" si="35"/>
        <v>0.12535885167464114</v>
      </c>
      <c r="AA79" s="152">
        <f t="shared" si="36"/>
        <v>7.9512831665941711E-2</v>
      </c>
      <c r="AB79" s="152">
        <f t="shared" si="37"/>
        <v>6.4462809917355368E-2</v>
      </c>
      <c r="AC79" s="152">
        <f t="shared" si="38"/>
        <v>4.2047266927649702E-3</v>
      </c>
      <c r="AD79" s="152"/>
      <c r="AE79" s="221">
        <v>31</v>
      </c>
      <c r="AF79" s="221">
        <v>59</v>
      </c>
      <c r="AG79" s="221">
        <v>159</v>
      </c>
      <c r="AH79" s="221">
        <v>101</v>
      </c>
      <c r="AI79" s="221">
        <v>134</v>
      </c>
      <c r="AJ79" s="221">
        <v>122</v>
      </c>
      <c r="AK79" s="221">
        <v>60</v>
      </c>
      <c r="AL79" s="221">
        <v>2</v>
      </c>
      <c r="AM79" s="221">
        <v>668</v>
      </c>
      <c r="AN79" s="147"/>
      <c r="AO79" s="221">
        <v>-3</v>
      </c>
      <c r="AP79" s="221">
        <v>-7</v>
      </c>
      <c r="AQ79" s="221">
        <v>-2</v>
      </c>
      <c r="AR79" s="221">
        <v>-7</v>
      </c>
      <c r="AS79" s="221">
        <v>-3</v>
      </c>
      <c r="AT79" s="221">
        <v>-3</v>
      </c>
      <c r="AU79" s="221">
        <v>-4</v>
      </c>
      <c r="AV79" s="221">
        <v>0</v>
      </c>
      <c r="AW79" s="221">
        <v>-29</v>
      </c>
      <c r="AX79" s="56">
        <f t="shared" si="39"/>
        <v>3</v>
      </c>
      <c r="AY79" s="56">
        <f t="shared" si="39"/>
        <v>7</v>
      </c>
      <c r="AZ79" s="56">
        <f t="shared" si="39"/>
        <v>2</v>
      </c>
      <c r="BA79" s="56">
        <f t="shared" si="39"/>
        <v>7</v>
      </c>
      <c r="BB79" s="56">
        <f t="shared" si="39"/>
        <v>3</v>
      </c>
      <c r="BC79" s="56">
        <f t="shared" si="30"/>
        <v>3</v>
      </c>
      <c r="BD79" s="56">
        <f t="shared" si="30"/>
        <v>4</v>
      </c>
      <c r="BE79" s="56">
        <f t="shared" si="30"/>
        <v>0</v>
      </c>
      <c r="BF79" s="56">
        <f t="shared" si="30"/>
        <v>29</v>
      </c>
      <c r="BH79">
        <f t="shared" si="40"/>
        <v>0.8</v>
      </c>
      <c r="BI79">
        <f t="shared" si="49"/>
        <v>0.19999999999999996</v>
      </c>
      <c r="BJ79" s="154">
        <v>169763.99466666669</v>
      </c>
      <c r="BK79" s="155">
        <f t="shared" si="41"/>
        <v>169763.99466666669</v>
      </c>
      <c r="BL79" s="156">
        <v>219424.11555555556</v>
      </c>
      <c r="BM79" s="155">
        <f t="shared" si="42"/>
        <v>219424.11555555556</v>
      </c>
      <c r="BN79" s="158">
        <v>218257.77155555558</v>
      </c>
      <c r="BO79" s="155">
        <f t="shared" si="43"/>
        <v>218257.77155555558</v>
      </c>
      <c r="BP79" s="158">
        <v>125713.28000000001</v>
      </c>
      <c r="BQ79" s="155">
        <f t="shared" si="44"/>
        <v>125713.28000000001</v>
      </c>
      <c r="BR79" s="158">
        <v>491938.9297777777</v>
      </c>
      <c r="BS79" s="155">
        <f t="shared" si="45"/>
        <v>491938.9297777777</v>
      </c>
      <c r="BT79" s="194">
        <v>504292.3075555556</v>
      </c>
      <c r="BU79" s="194"/>
      <c r="BV79" s="348">
        <f t="shared" si="50"/>
        <v>504292.3075555556</v>
      </c>
      <c r="BW79" s="195">
        <f t="shared" si="46"/>
        <v>978948.11022222217</v>
      </c>
      <c r="BX79" s="157">
        <f t="shared" si="51"/>
        <v>244737.02755555554</v>
      </c>
      <c r="BY79" s="157">
        <f>IF(E79*$CJ$10*'Year 7 Payments'!$L$20*IF(B79="",1,0.8)&lt;=(BW79-(J79*350)),E79*$CJ$10*'Year 7 Payments'!$L$20*IF(B79="",1,0.8),BW79-(IF(B79="",1,0.8)*J79*350))</f>
        <v>163838.30954666669</v>
      </c>
      <c r="BZ79" s="157">
        <f t="shared" si="52"/>
        <v>40959.577386666671</v>
      </c>
      <c r="CA79" s="157">
        <f t="shared" si="53"/>
        <v>815109.80067555548</v>
      </c>
      <c r="CB79" s="157">
        <f t="shared" si="54"/>
        <v>203777.45016888887</v>
      </c>
      <c r="CC79" s="157">
        <f t="shared" si="55"/>
        <v>3260439.2027022219</v>
      </c>
      <c r="CD79" s="201">
        <f t="shared" si="56"/>
        <v>815109.80067555548</v>
      </c>
      <c r="CE79" s="155">
        <f t="shared" si="57"/>
        <v>815109.80067555548</v>
      </c>
    </row>
    <row r="80" spans="1:83" x14ac:dyDescent="0.2">
      <c r="A80" s="147" t="s">
        <v>546</v>
      </c>
      <c r="B80" s="57"/>
      <c r="C80" s="57" t="s">
        <v>449</v>
      </c>
      <c r="D80" s="148" t="s">
        <v>108</v>
      </c>
      <c r="E80" s="197">
        <v>84898.888888888876</v>
      </c>
      <c r="F80" s="147">
        <f t="shared" si="47"/>
        <v>108894</v>
      </c>
      <c r="G80" s="342">
        <v>1007</v>
      </c>
      <c r="H80" s="149">
        <f t="shared" si="31"/>
        <v>566</v>
      </c>
      <c r="I80" s="346">
        <v>144.62666666666678</v>
      </c>
      <c r="J80" s="150">
        <v>35</v>
      </c>
      <c r="K80"/>
      <c r="L80" s="151">
        <v>56190</v>
      </c>
      <c r="M80" s="151">
        <v>20881</v>
      </c>
      <c r="N80" s="151">
        <v>16283</v>
      </c>
      <c r="O80" s="151">
        <v>8320</v>
      </c>
      <c r="P80" s="151">
        <v>4284</v>
      </c>
      <c r="Q80" s="151">
        <v>2246</v>
      </c>
      <c r="R80" s="151">
        <v>642</v>
      </c>
      <c r="S80" s="151">
        <v>48</v>
      </c>
      <c r="T80" s="151">
        <v>108894</v>
      </c>
      <c r="U80" s="147"/>
      <c r="V80" s="152">
        <f t="shared" si="48"/>
        <v>0.51600639153672379</v>
      </c>
      <c r="W80" s="152">
        <f t="shared" si="32"/>
        <v>0.19175528495601227</v>
      </c>
      <c r="X80" s="152">
        <f t="shared" si="33"/>
        <v>0.14953073631237718</v>
      </c>
      <c r="Y80" s="152">
        <f t="shared" si="34"/>
        <v>7.6404576928021745E-2</v>
      </c>
      <c r="Z80" s="152">
        <f t="shared" si="35"/>
        <v>3.9341010523995815E-2</v>
      </c>
      <c r="AA80" s="152">
        <f t="shared" si="36"/>
        <v>2.0625562473598178E-2</v>
      </c>
      <c r="AB80" s="152">
        <f t="shared" si="37"/>
        <v>5.895641633147832E-3</v>
      </c>
      <c r="AC80" s="152">
        <f t="shared" si="38"/>
        <v>4.4079563612320236E-4</v>
      </c>
      <c r="AD80" s="152"/>
      <c r="AE80" s="221">
        <v>212</v>
      </c>
      <c r="AF80" s="221">
        <v>140</v>
      </c>
      <c r="AG80" s="221">
        <v>88</v>
      </c>
      <c r="AH80" s="221">
        <v>65</v>
      </c>
      <c r="AI80" s="221">
        <v>25</v>
      </c>
      <c r="AJ80" s="221">
        <v>22</v>
      </c>
      <c r="AK80" s="221">
        <v>11</v>
      </c>
      <c r="AL80" s="221">
        <v>2</v>
      </c>
      <c r="AM80" s="221">
        <v>565</v>
      </c>
      <c r="AN80" s="147"/>
      <c r="AO80" s="221">
        <v>-15</v>
      </c>
      <c r="AP80" s="221">
        <v>16</v>
      </c>
      <c r="AQ80" s="221">
        <v>-1</v>
      </c>
      <c r="AR80" s="221">
        <v>13</v>
      </c>
      <c r="AS80" s="221">
        <v>-3</v>
      </c>
      <c r="AT80" s="221">
        <v>-6</v>
      </c>
      <c r="AU80" s="221">
        <v>-5</v>
      </c>
      <c r="AV80" s="221">
        <v>0</v>
      </c>
      <c r="AW80" s="221">
        <v>-1</v>
      </c>
      <c r="AX80" s="56">
        <f t="shared" si="39"/>
        <v>15</v>
      </c>
      <c r="AY80" s="56">
        <f t="shared" si="39"/>
        <v>-16</v>
      </c>
      <c r="AZ80" s="56">
        <f t="shared" si="39"/>
        <v>1</v>
      </c>
      <c r="BA80" s="56">
        <f t="shared" si="39"/>
        <v>-13</v>
      </c>
      <c r="BB80" s="56">
        <f t="shared" si="39"/>
        <v>3</v>
      </c>
      <c r="BC80" s="56">
        <f t="shared" si="30"/>
        <v>6</v>
      </c>
      <c r="BD80" s="56">
        <f t="shared" si="30"/>
        <v>5</v>
      </c>
      <c r="BE80" s="56">
        <f t="shared" si="30"/>
        <v>0</v>
      </c>
      <c r="BF80" s="56">
        <f t="shared" si="30"/>
        <v>1</v>
      </c>
      <c r="BH80">
        <f t="shared" si="40"/>
        <v>1</v>
      </c>
      <c r="BI80">
        <f t="shared" si="49"/>
        <v>0</v>
      </c>
      <c r="BJ80" s="154">
        <v>1004575.56</v>
      </c>
      <c r="BK80" s="155">
        <f t="shared" si="41"/>
        <v>1004575.56</v>
      </c>
      <c r="BL80" s="156">
        <v>934470.95333333325</v>
      </c>
      <c r="BM80" s="155">
        <f t="shared" si="42"/>
        <v>934470.95333333325</v>
      </c>
      <c r="BN80" s="158">
        <v>605300.98666666669</v>
      </c>
      <c r="BO80" s="155">
        <f t="shared" si="43"/>
        <v>605300.98666666669</v>
      </c>
      <c r="BP80" s="158">
        <v>765813.46666666656</v>
      </c>
      <c r="BQ80" s="155">
        <f t="shared" si="44"/>
        <v>765813.46666666656</v>
      </c>
      <c r="BR80" s="158">
        <v>462919.42888888891</v>
      </c>
      <c r="BS80" s="155">
        <f t="shared" si="45"/>
        <v>462919.42888888891</v>
      </c>
      <c r="BT80" s="194">
        <v>880923.38444444456</v>
      </c>
      <c r="BU80" s="194"/>
      <c r="BV80" s="348">
        <f t="shared" si="50"/>
        <v>880923.38444444456</v>
      </c>
      <c r="BW80" s="195">
        <f t="shared" si="46"/>
        <v>752896.9422222221</v>
      </c>
      <c r="BX80" s="157" t="str">
        <f t="shared" si="51"/>
        <v>0</v>
      </c>
      <c r="BY80" s="157">
        <f>IF(E80*$CJ$10*'Year 7 Payments'!$L$20*IF(B80="",1,0.8)&lt;=(BW80-(J80*350)),E80*$CJ$10*'Year 7 Payments'!$L$20*IF(B80="",1,0.8),BW80-(IF(B80="",1,0.8)*J80*350))</f>
        <v>519431.77795555547</v>
      </c>
      <c r="BZ80" s="157" t="str">
        <f t="shared" si="52"/>
        <v>0</v>
      </c>
      <c r="CA80" s="157">
        <f t="shared" si="53"/>
        <v>233465.16426666663</v>
      </c>
      <c r="CB80" s="157">
        <f t="shared" si="54"/>
        <v>0</v>
      </c>
      <c r="CC80" s="157">
        <f t="shared" si="55"/>
        <v>933860.65706666652</v>
      </c>
      <c r="CD80" s="201">
        <f t="shared" si="56"/>
        <v>0</v>
      </c>
      <c r="CE80" s="155">
        <f t="shared" si="57"/>
        <v>233465.16426666663</v>
      </c>
    </row>
    <row r="81" spans="1:83" x14ac:dyDescent="0.2">
      <c r="A81" s="147" t="s">
        <v>547</v>
      </c>
      <c r="B81" s="57" t="s">
        <v>448</v>
      </c>
      <c r="C81" s="57" t="s">
        <v>449</v>
      </c>
      <c r="D81" s="148" t="s">
        <v>109</v>
      </c>
      <c r="E81" s="197">
        <v>33163.666666666664</v>
      </c>
      <c r="F81" s="147">
        <f t="shared" si="47"/>
        <v>33663</v>
      </c>
      <c r="G81" s="342">
        <v>643</v>
      </c>
      <c r="H81" s="149">
        <f t="shared" si="31"/>
        <v>190</v>
      </c>
      <c r="I81" s="346">
        <v>74.123111111111115</v>
      </c>
      <c r="J81" s="150">
        <v>15</v>
      </c>
      <c r="K81"/>
      <c r="L81" s="151">
        <v>3510</v>
      </c>
      <c r="M81" s="151">
        <v>7248</v>
      </c>
      <c r="N81" s="151">
        <v>7366</v>
      </c>
      <c r="O81" s="151">
        <v>5566</v>
      </c>
      <c r="P81" s="151">
        <v>4824</v>
      </c>
      <c r="Q81" s="151">
        <v>2953</v>
      </c>
      <c r="R81" s="151">
        <v>2066</v>
      </c>
      <c r="S81" s="151">
        <v>130</v>
      </c>
      <c r="T81" s="151">
        <v>33663</v>
      </c>
      <c r="U81" s="147"/>
      <c r="V81" s="152">
        <f t="shared" si="48"/>
        <v>0.10426878174850726</v>
      </c>
      <c r="W81" s="152">
        <f t="shared" si="32"/>
        <v>0.21531057837982354</v>
      </c>
      <c r="X81" s="152">
        <f t="shared" si="33"/>
        <v>0.21881591064373349</v>
      </c>
      <c r="Y81" s="152">
        <f t="shared" si="34"/>
        <v>0.16534474051629386</v>
      </c>
      <c r="Z81" s="152">
        <f t="shared" si="35"/>
        <v>0.1433027359415382</v>
      </c>
      <c r="AA81" s="152">
        <f t="shared" si="36"/>
        <v>8.7722425214627336E-2</v>
      </c>
      <c r="AB81" s="152">
        <f t="shared" si="37"/>
        <v>6.1373020824050141E-2</v>
      </c>
      <c r="AC81" s="152">
        <f t="shared" si="38"/>
        <v>3.861806731426195E-3</v>
      </c>
      <c r="AD81" s="152"/>
      <c r="AE81" s="221">
        <v>18</v>
      </c>
      <c r="AF81" s="221">
        <v>39</v>
      </c>
      <c r="AG81" s="221">
        <v>27</v>
      </c>
      <c r="AH81" s="221">
        <v>36</v>
      </c>
      <c r="AI81" s="221">
        <v>52</v>
      </c>
      <c r="AJ81" s="221">
        <v>20</v>
      </c>
      <c r="AK81" s="221">
        <v>4</v>
      </c>
      <c r="AL81" s="221">
        <v>-1</v>
      </c>
      <c r="AM81" s="221">
        <v>195</v>
      </c>
      <c r="AN81" s="147"/>
      <c r="AO81" s="221">
        <v>12</v>
      </c>
      <c r="AP81" s="221">
        <v>17</v>
      </c>
      <c r="AQ81" s="221">
        <v>-5</v>
      </c>
      <c r="AR81" s="221">
        <v>-9</v>
      </c>
      <c r="AS81" s="221">
        <v>-4</v>
      </c>
      <c r="AT81" s="221">
        <v>-2</v>
      </c>
      <c r="AU81" s="221">
        <v>-2</v>
      </c>
      <c r="AV81" s="221">
        <v>-2</v>
      </c>
      <c r="AW81" s="221">
        <v>5</v>
      </c>
      <c r="AX81" s="56">
        <f t="shared" si="39"/>
        <v>-12</v>
      </c>
      <c r="AY81" s="56">
        <f t="shared" si="39"/>
        <v>-17</v>
      </c>
      <c r="AZ81" s="56">
        <f t="shared" si="39"/>
        <v>5</v>
      </c>
      <c r="BA81" s="56">
        <f t="shared" si="39"/>
        <v>9</v>
      </c>
      <c r="BB81" s="56">
        <f t="shared" si="39"/>
        <v>4</v>
      </c>
      <c r="BC81" s="56">
        <f t="shared" si="30"/>
        <v>2</v>
      </c>
      <c r="BD81" s="56">
        <f t="shared" si="30"/>
        <v>2</v>
      </c>
      <c r="BE81" s="56">
        <f t="shared" si="30"/>
        <v>2</v>
      </c>
      <c r="BF81" s="56">
        <f t="shared" si="30"/>
        <v>-5</v>
      </c>
      <c r="BH81">
        <f t="shared" si="40"/>
        <v>0.8</v>
      </c>
      <c r="BI81">
        <f t="shared" si="49"/>
        <v>0.19999999999999996</v>
      </c>
      <c r="BJ81" s="154">
        <v>169252.272</v>
      </c>
      <c r="BK81" s="155">
        <f t="shared" si="41"/>
        <v>169252.272</v>
      </c>
      <c r="BL81" s="156">
        <v>146852.50399999999</v>
      </c>
      <c r="BM81" s="155">
        <f t="shared" si="42"/>
        <v>146852.50399999999</v>
      </c>
      <c r="BN81" s="158">
        <v>219434.72</v>
      </c>
      <c r="BO81" s="155">
        <f t="shared" si="43"/>
        <v>219434.72</v>
      </c>
      <c r="BP81" s="158">
        <v>160235.19999999998</v>
      </c>
      <c r="BQ81" s="155">
        <f t="shared" si="44"/>
        <v>160235.19999999998</v>
      </c>
      <c r="BR81" s="158">
        <v>170353.35822222222</v>
      </c>
      <c r="BS81" s="155">
        <f t="shared" si="45"/>
        <v>170353.35822222222</v>
      </c>
      <c r="BT81" s="194">
        <v>136331.96266666669</v>
      </c>
      <c r="BU81" s="194"/>
      <c r="BV81" s="348">
        <f t="shared" si="50"/>
        <v>136331.96266666669</v>
      </c>
      <c r="BW81" s="195">
        <f t="shared" si="46"/>
        <v>257223.21422222222</v>
      </c>
      <c r="BX81" s="157">
        <f t="shared" si="51"/>
        <v>64305.803555555554</v>
      </c>
      <c r="BY81" s="157">
        <f>IF(E81*$CJ$10*'Year 7 Payments'!$L$20*IF(B81="",1,0.8)&lt;=(BW81-(J81*350)),E81*$CJ$10*'Year 7 Payments'!$L$20*IF(B81="",1,0.8),BW81-(IF(B81="",1,0.8)*J81*350))</f>
        <v>162322.61755733335</v>
      </c>
      <c r="BZ81" s="157">
        <f t="shared" si="52"/>
        <v>40580.654389333336</v>
      </c>
      <c r="CA81" s="157">
        <f t="shared" si="53"/>
        <v>94900.596664888872</v>
      </c>
      <c r="CB81" s="157">
        <f t="shared" si="54"/>
        <v>23725.149166222218</v>
      </c>
      <c r="CC81" s="157">
        <f t="shared" si="55"/>
        <v>379602.38665955549</v>
      </c>
      <c r="CD81" s="201">
        <f t="shared" si="56"/>
        <v>94900.596664888872</v>
      </c>
      <c r="CE81" s="155">
        <f t="shared" si="57"/>
        <v>94900.596664888872</v>
      </c>
    </row>
    <row r="82" spans="1:83" x14ac:dyDescent="0.2">
      <c r="A82" s="147" t="s">
        <v>548</v>
      </c>
      <c r="B82" s="57"/>
      <c r="C82" s="57" t="s">
        <v>464</v>
      </c>
      <c r="D82" s="148" t="s">
        <v>110</v>
      </c>
      <c r="E82" s="197">
        <v>101648.11111111111</v>
      </c>
      <c r="F82" s="147">
        <f t="shared" si="47"/>
        <v>134765</v>
      </c>
      <c r="G82" s="342">
        <v>1614</v>
      </c>
      <c r="H82" s="149">
        <f t="shared" si="31"/>
        <v>984</v>
      </c>
      <c r="I82" s="346">
        <v>502.29644444444449</v>
      </c>
      <c r="J82" s="150">
        <v>158</v>
      </c>
      <c r="K82"/>
      <c r="L82" s="151">
        <v>79716</v>
      </c>
      <c r="M82" s="151">
        <v>24206</v>
      </c>
      <c r="N82" s="151">
        <v>14631</v>
      </c>
      <c r="O82" s="151">
        <v>8868</v>
      </c>
      <c r="P82" s="151">
        <v>4355</v>
      </c>
      <c r="Q82" s="151">
        <v>1991</v>
      </c>
      <c r="R82" s="151">
        <v>874</v>
      </c>
      <c r="S82" s="151">
        <v>124</v>
      </c>
      <c r="T82" s="151">
        <v>134765</v>
      </c>
      <c r="U82" s="147"/>
      <c r="V82" s="152">
        <f t="shared" si="48"/>
        <v>0.59151856936148106</v>
      </c>
      <c r="W82" s="152">
        <f t="shared" si="32"/>
        <v>0.17961636923533558</v>
      </c>
      <c r="X82" s="152">
        <f t="shared" si="33"/>
        <v>0.10856676436760286</v>
      </c>
      <c r="Y82" s="152">
        <f t="shared" si="34"/>
        <v>6.5803435610136157E-2</v>
      </c>
      <c r="Z82" s="152">
        <f t="shared" si="35"/>
        <v>3.231551218788261E-2</v>
      </c>
      <c r="AA82" s="152">
        <f t="shared" si="36"/>
        <v>1.4773865617927503E-2</v>
      </c>
      <c r="AB82" s="152">
        <f t="shared" si="37"/>
        <v>6.4853634103810339E-3</v>
      </c>
      <c r="AC82" s="152">
        <f t="shared" si="38"/>
        <v>9.201202092531444E-4</v>
      </c>
      <c r="AD82" s="152"/>
      <c r="AE82" s="221">
        <v>221</v>
      </c>
      <c r="AF82" s="221">
        <v>272</v>
      </c>
      <c r="AG82" s="221">
        <v>160</v>
      </c>
      <c r="AH82" s="221">
        <v>127</v>
      </c>
      <c r="AI82" s="221">
        <v>95</v>
      </c>
      <c r="AJ82" s="221">
        <v>89</v>
      </c>
      <c r="AK82" s="221">
        <v>34</v>
      </c>
      <c r="AL82" s="221">
        <v>-1</v>
      </c>
      <c r="AM82" s="221">
        <v>997</v>
      </c>
      <c r="AN82" s="147"/>
      <c r="AO82" s="221">
        <v>-50</v>
      </c>
      <c r="AP82" s="221">
        <v>38</v>
      </c>
      <c r="AQ82" s="221">
        <v>12</v>
      </c>
      <c r="AR82" s="221">
        <v>10</v>
      </c>
      <c r="AS82" s="221">
        <v>6</v>
      </c>
      <c r="AT82" s="221">
        <v>0</v>
      </c>
      <c r="AU82" s="221">
        <v>-1</v>
      </c>
      <c r="AV82" s="221">
        <v>-2</v>
      </c>
      <c r="AW82" s="221">
        <v>13</v>
      </c>
      <c r="AX82" s="56">
        <f t="shared" si="39"/>
        <v>50</v>
      </c>
      <c r="AY82" s="56">
        <f t="shared" si="39"/>
        <v>-38</v>
      </c>
      <c r="AZ82" s="56">
        <f t="shared" si="39"/>
        <v>-12</v>
      </c>
      <c r="BA82" s="56">
        <f t="shared" si="39"/>
        <v>-10</v>
      </c>
      <c r="BB82" s="56">
        <f t="shared" si="39"/>
        <v>-6</v>
      </c>
      <c r="BC82" s="56">
        <f t="shared" si="30"/>
        <v>0</v>
      </c>
      <c r="BD82" s="56">
        <f t="shared" si="30"/>
        <v>1</v>
      </c>
      <c r="BE82" s="56">
        <f t="shared" si="30"/>
        <v>2</v>
      </c>
      <c r="BF82" s="56">
        <f t="shared" si="30"/>
        <v>-13</v>
      </c>
      <c r="BH82">
        <f t="shared" si="40"/>
        <v>1</v>
      </c>
      <c r="BI82">
        <f t="shared" si="49"/>
        <v>0</v>
      </c>
      <c r="BJ82" s="154">
        <v>403301.42666666664</v>
      </c>
      <c r="BK82" s="155">
        <f t="shared" si="41"/>
        <v>403301.42666666664</v>
      </c>
      <c r="BL82" s="156">
        <v>525104.95444444451</v>
      </c>
      <c r="BM82" s="155">
        <f t="shared" si="42"/>
        <v>525104.95444444451</v>
      </c>
      <c r="BN82" s="158">
        <v>385288.69555555563</v>
      </c>
      <c r="BO82" s="155">
        <f t="shared" si="43"/>
        <v>385288.69555555563</v>
      </c>
      <c r="BP82" s="158">
        <v>1116494.4000000001</v>
      </c>
      <c r="BQ82" s="155">
        <f t="shared" si="44"/>
        <v>1116494.4000000001</v>
      </c>
      <c r="BR82" s="158">
        <v>1048375.1111111111</v>
      </c>
      <c r="BS82" s="155">
        <f t="shared" si="45"/>
        <v>1048375.1111111111</v>
      </c>
      <c r="BT82" s="194">
        <v>1572624.5266666666</v>
      </c>
      <c r="BU82" s="194"/>
      <c r="BV82" s="348">
        <f t="shared" si="50"/>
        <v>1572624.5266666666</v>
      </c>
      <c r="BW82" s="195">
        <f t="shared" si="46"/>
        <v>1445500.0888888887</v>
      </c>
      <c r="BX82" s="157" t="str">
        <f t="shared" si="51"/>
        <v>0</v>
      </c>
      <c r="BY82" s="157">
        <f>IF(E82*$CJ$10*'Year 7 Payments'!$L$20*IF(B82="",1,0.8)&lt;=(BW82-(J82*350)),E82*$CJ$10*'Year 7 Payments'!$L$20*IF(B82="",1,0.8),BW82-(IF(B82="",1,0.8)*J82*350))</f>
        <v>621907.53932444437</v>
      </c>
      <c r="BZ82" s="157" t="str">
        <f t="shared" si="52"/>
        <v>0</v>
      </c>
      <c r="CA82" s="157">
        <f t="shared" si="53"/>
        <v>823592.54956444434</v>
      </c>
      <c r="CB82" s="157">
        <f t="shared" si="54"/>
        <v>0</v>
      </c>
      <c r="CC82" s="157">
        <f t="shared" si="55"/>
        <v>3294370.1982577774</v>
      </c>
      <c r="CD82" s="201">
        <f t="shared" si="56"/>
        <v>0</v>
      </c>
      <c r="CE82" s="155">
        <f t="shared" si="57"/>
        <v>823592.54956444434</v>
      </c>
    </row>
    <row r="83" spans="1:83" x14ac:dyDescent="0.2">
      <c r="A83" s="147" t="s">
        <v>549</v>
      </c>
      <c r="B83" s="57" t="s">
        <v>454</v>
      </c>
      <c r="C83" s="57" t="s">
        <v>443</v>
      </c>
      <c r="D83" s="148" t="s">
        <v>111</v>
      </c>
      <c r="E83" s="197">
        <v>46231.222222222219</v>
      </c>
      <c r="F83" s="147">
        <f t="shared" si="47"/>
        <v>51802</v>
      </c>
      <c r="G83" s="342">
        <v>624</v>
      </c>
      <c r="H83" s="149">
        <f t="shared" si="31"/>
        <v>539</v>
      </c>
      <c r="I83" s="346">
        <v>311.63066666666668</v>
      </c>
      <c r="J83" s="150">
        <v>122</v>
      </c>
      <c r="K83"/>
      <c r="L83" s="151">
        <v>6986</v>
      </c>
      <c r="M83" s="151">
        <v>16312</v>
      </c>
      <c r="N83" s="151">
        <v>13633</v>
      </c>
      <c r="O83" s="151">
        <v>6911</v>
      </c>
      <c r="P83" s="151">
        <v>4195</v>
      </c>
      <c r="Q83" s="151">
        <v>2286</v>
      </c>
      <c r="R83" s="151">
        <v>1409</v>
      </c>
      <c r="S83" s="151">
        <v>70</v>
      </c>
      <c r="T83" s="151">
        <v>51802</v>
      </c>
      <c r="U83" s="147"/>
      <c r="V83" s="152">
        <f t="shared" si="48"/>
        <v>0.13485965792826532</v>
      </c>
      <c r="W83" s="152">
        <f t="shared" si="32"/>
        <v>0.31489131693757</v>
      </c>
      <c r="X83" s="152">
        <f t="shared" si="33"/>
        <v>0.2631751669819698</v>
      </c>
      <c r="Y83" s="152">
        <f t="shared" si="34"/>
        <v>0.13341183738079609</v>
      </c>
      <c r="Z83" s="152">
        <f t="shared" si="35"/>
        <v>8.0981429288444456E-2</v>
      </c>
      <c r="AA83" s="152">
        <f t="shared" si="36"/>
        <v>4.4129570286861514E-2</v>
      </c>
      <c r="AB83" s="152">
        <f t="shared" si="37"/>
        <v>2.7199722018454886E-2</v>
      </c>
      <c r="AC83" s="152">
        <f t="shared" si="38"/>
        <v>1.3512991776379291E-3</v>
      </c>
      <c r="AD83" s="152"/>
      <c r="AE83" s="221">
        <v>93</v>
      </c>
      <c r="AF83" s="221">
        <v>127</v>
      </c>
      <c r="AG83" s="221">
        <v>236</v>
      </c>
      <c r="AH83" s="221">
        <v>121</v>
      </c>
      <c r="AI83" s="221">
        <v>50</v>
      </c>
      <c r="AJ83" s="221">
        <v>45</v>
      </c>
      <c r="AK83" s="221">
        <v>12</v>
      </c>
      <c r="AL83" s="221">
        <v>1</v>
      </c>
      <c r="AM83" s="221">
        <v>685</v>
      </c>
      <c r="AN83" s="147"/>
      <c r="AO83" s="221">
        <v>19</v>
      </c>
      <c r="AP83" s="221">
        <v>37</v>
      </c>
      <c r="AQ83" s="221">
        <v>36</v>
      </c>
      <c r="AR83" s="221">
        <v>14</v>
      </c>
      <c r="AS83" s="221">
        <v>20</v>
      </c>
      <c r="AT83" s="221">
        <v>11</v>
      </c>
      <c r="AU83" s="221">
        <v>8</v>
      </c>
      <c r="AV83" s="221">
        <v>1</v>
      </c>
      <c r="AW83" s="221">
        <v>146</v>
      </c>
      <c r="AX83" s="56">
        <f t="shared" si="39"/>
        <v>-19</v>
      </c>
      <c r="AY83" s="56">
        <f t="shared" si="39"/>
        <v>-37</v>
      </c>
      <c r="AZ83" s="56">
        <f t="shared" si="39"/>
        <v>-36</v>
      </c>
      <c r="BA83" s="56">
        <f t="shared" si="39"/>
        <v>-14</v>
      </c>
      <c r="BB83" s="56">
        <f t="shared" si="39"/>
        <v>-20</v>
      </c>
      <c r="BC83" s="56">
        <f t="shared" si="30"/>
        <v>-11</v>
      </c>
      <c r="BD83" s="56">
        <f t="shared" si="30"/>
        <v>-8</v>
      </c>
      <c r="BE83" s="56">
        <f t="shared" si="30"/>
        <v>-1</v>
      </c>
      <c r="BF83" s="56">
        <f t="shared" si="30"/>
        <v>-146</v>
      </c>
      <c r="BH83">
        <f t="shared" si="40"/>
        <v>0.8</v>
      </c>
      <c r="BI83">
        <f t="shared" si="49"/>
        <v>0.19999999999999996</v>
      </c>
      <c r="BJ83" s="154">
        <v>294112.60266666667</v>
      </c>
      <c r="BK83" s="155">
        <f t="shared" si="41"/>
        <v>294112.60266666667</v>
      </c>
      <c r="BL83" s="156">
        <v>154954.73688888887</v>
      </c>
      <c r="BM83" s="155">
        <f t="shared" si="42"/>
        <v>154954.73688888887</v>
      </c>
      <c r="BN83" s="158">
        <v>450400.02488888893</v>
      </c>
      <c r="BO83" s="155">
        <f t="shared" si="43"/>
        <v>450400.02488888893</v>
      </c>
      <c r="BP83" s="158">
        <v>396429.54666666669</v>
      </c>
      <c r="BQ83" s="155">
        <f t="shared" si="44"/>
        <v>396429.54666666669</v>
      </c>
      <c r="BR83" s="158">
        <v>274680.75555555557</v>
      </c>
      <c r="BS83" s="155">
        <f t="shared" si="45"/>
        <v>274680.75555555557</v>
      </c>
      <c r="BT83" s="194">
        <v>328323.4951111112</v>
      </c>
      <c r="BU83" s="194"/>
      <c r="BV83" s="348">
        <f t="shared" si="50"/>
        <v>328323.4951111112</v>
      </c>
      <c r="BW83" s="195">
        <f t="shared" si="46"/>
        <v>641769.21244444442</v>
      </c>
      <c r="BX83" s="157">
        <f t="shared" si="51"/>
        <v>160442.3031111111</v>
      </c>
      <c r="BY83" s="157">
        <f>IF(E83*$CJ$10*'Year 7 Payments'!$L$20*IF(B83="",1,0.8)&lt;=(BW83-(J83*350)),E83*$CJ$10*'Year 7 Payments'!$L$20*IF(B83="",1,0.8),BW83-(IF(B83="",1,0.8)*J83*350))</f>
        <v>226282.97043911112</v>
      </c>
      <c r="BZ83" s="157">
        <f t="shared" si="52"/>
        <v>56570.742609777779</v>
      </c>
      <c r="CA83" s="157">
        <f t="shared" si="53"/>
        <v>415486.2420053333</v>
      </c>
      <c r="CB83" s="157">
        <f t="shared" si="54"/>
        <v>103871.56050133333</v>
      </c>
      <c r="CC83" s="157">
        <f t="shared" si="55"/>
        <v>1661944.9680213332</v>
      </c>
      <c r="CD83" s="201">
        <f t="shared" si="56"/>
        <v>415486.2420053333</v>
      </c>
      <c r="CE83" s="155">
        <f t="shared" si="57"/>
        <v>415486.2420053333</v>
      </c>
    </row>
    <row r="84" spans="1:83" x14ac:dyDescent="0.2">
      <c r="A84" s="147" t="s">
        <v>550</v>
      </c>
      <c r="B84" s="57"/>
      <c r="C84" s="57" t="s">
        <v>476</v>
      </c>
      <c r="D84" s="148" t="s">
        <v>112</v>
      </c>
      <c r="E84" s="197">
        <v>112930.11111111112</v>
      </c>
      <c r="F84" s="147">
        <f t="shared" si="47"/>
        <v>137228</v>
      </c>
      <c r="G84" s="342">
        <v>1005</v>
      </c>
      <c r="H84" s="149">
        <f t="shared" si="31"/>
        <v>960</v>
      </c>
      <c r="I84" s="346">
        <v>388.16844444444428</v>
      </c>
      <c r="J84" s="150">
        <v>24</v>
      </c>
      <c r="K84"/>
      <c r="L84" s="151">
        <v>42442</v>
      </c>
      <c r="M84" s="151">
        <v>38530</v>
      </c>
      <c r="N84" s="151">
        <v>30106</v>
      </c>
      <c r="O84" s="151">
        <v>15872</v>
      </c>
      <c r="P84" s="151">
        <v>6745</v>
      </c>
      <c r="Q84" s="151">
        <v>2429</v>
      </c>
      <c r="R84" s="151">
        <v>965</v>
      </c>
      <c r="S84" s="151">
        <v>139</v>
      </c>
      <c r="T84" s="151">
        <v>137228</v>
      </c>
      <c r="U84" s="147"/>
      <c r="V84" s="152">
        <f t="shared" si="48"/>
        <v>0.30928090477162096</v>
      </c>
      <c r="W84" s="152">
        <f t="shared" si="32"/>
        <v>0.28077360305477017</v>
      </c>
      <c r="X84" s="152">
        <f t="shared" si="33"/>
        <v>0.21938671408167429</v>
      </c>
      <c r="Y84" s="152">
        <f t="shared" si="34"/>
        <v>0.11566152680211035</v>
      </c>
      <c r="Z84" s="152">
        <f t="shared" si="35"/>
        <v>4.9151776605357508E-2</v>
      </c>
      <c r="AA84" s="152">
        <f t="shared" si="36"/>
        <v>1.7700469291981227E-2</v>
      </c>
      <c r="AB84" s="152">
        <f t="shared" si="37"/>
        <v>7.032092575859154E-3</v>
      </c>
      <c r="AC84" s="152">
        <f t="shared" si="38"/>
        <v>1.0129128166263444E-3</v>
      </c>
      <c r="AD84" s="152"/>
      <c r="AE84" s="221">
        <v>159</v>
      </c>
      <c r="AF84" s="221">
        <v>218</v>
      </c>
      <c r="AG84" s="221">
        <v>216</v>
      </c>
      <c r="AH84" s="221">
        <v>43</v>
      </c>
      <c r="AI84" s="221">
        <v>90</v>
      </c>
      <c r="AJ84" s="221">
        <v>29</v>
      </c>
      <c r="AK84" s="221">
        <v>4</v>
      </c>
      <c r="AL84" s="221">
        <v>2</v>
      </c>
      <c r="AM84" s="221">
        <v>761</v>
      </c>
      <c r="AN84" s="147"/>
      <c r="AO84" s="221">
        <v>-87</v>
      </c>
      <c r="AP84" s="221">
        <v>-38</v>
      </c>
      <c r="AQ84" s="221">
        <v>-34</v>
      </c>
      <c r="AR84" s="221">
        <v>-26</v>
      </c>
      <c r="AS84" s="221">
        <v>0</v>
      </c>
      <c r="AT84" s="221">
        <v>-6</v>
      </c>
      <c r="AU84" s="221">
        <v>-5</v>
      </c>
      <c r="AV84" s="221">
        <v>-3</v>
      </c>
      <c r="AW84" s="221">
        <v>-199</v>
      </c>
      <c r="AX84" s="56">
        <f t="shared" si="39"/>
        <v>87</v>
      </c>
      <c r="AY84" s="56">
        <f t="shared" si="39"/>
        <v>38</v>
      </c>
      <c r="AZ84" s="56">
        <f t="shared" si="39"/>
        <v>34</v>
      </c>
      <c r="BA84" s="56">
        <f t="shared" si="39"/>
        <v>26</v>
      </c>
      <c r="BB84" s="56">
        <f t="shared" si="39"/>
        <v>0</v>
      </c>
      <c r="BC84" s="56">
        <f t="shared" si="30"/>
        <v>6</v>
      </c>
      <c r="BD84" s="56">
        <f t="shared" si="30"/>
        <v>5</v>
      </c>
      <c r="BE84" s="56">
        <f t="shared" si="30"/>
        <v>3</v>
      </c>
      <c r="BF84" s="56">
        <f t="shared" si="30"/>
        <v>199</v>
      </c>
      <c r="BH84">
        <f t="shared" si="40"/>
        <v>1</v>
      </c>
      <c r="BI84">
        <f t="shared" si="49"/>
        <v>0</v>
      </c>
      <c r="BJ84" s="154">
        <v>545784.20666666678</v>
      </c>
      <c r="BK84" s="155">
        <f t="shared" si="41"/>
        <v>545784.20666666678</v>
      </c>
      <c r="BL84" s="156">
        <v>1153363.2566666668</v>
      </c>
      <c r="BM84" s="155">
        <f t="shared" si="42"/>
        <v>1153363.2566666668</v>
      </c>
      <c r="BN84" s="158">
        <v>768655.93777777778</v>
      </c>
      <c r="BO84" s="155">
        <f t="shared" si="43"/>
        <v>768655.93777777778</v>
      </c>
      <c r="BP84" s="158">
        <v>955026.26666666649</v>
      </c>
      <c r="BQ84" s="155">
        <f t="shared" si="44"/>
        <v>955026.26666666649</v>
      </c>
      <c r="BR84" s="158">
        <v>675634.05111111107</v>
      </c>
      <c r="BS84" s="155">
        <f t="shared" si="45"/>
        <v>675634.05111111107</v>
      </c>
      <c r="BT84" s="194">
        <v>1316967.6022222221</v>
      </c>
      <c r="BU84" s="194"/>
      <c r="BV84" s="348">
        <f t="shared" si="50"/>
        <v>1316967.6022222221</v>
      </c>
      <c r="BW84" s="195">
        <f t="shared" si="46"/>
        <v>1293060.4488888888</v>
      </c>
      <c r="BX84" s="157" t="str">
        <f t="shared" si="51"/>
        <v>0</v>
      </c>
      <c r="BY84" s="157">
        <f>IF(E84*$CJ$10*'Year 7 Payments'!$L$20*IF(B84="",1,0.8)&lt;=(BW84-(J84*350)),E84*$CJ$10*'Year 7 Payments'!$L$20*IF(B84="",1,0.8),BW84-(IF(B84="",1,0.8)*J84*350))</f>
        <v>690933.52300444455</v>
      </c>
      <c r="BZ84" s="157" t="str">
        <f t="shared" si="52"/>
        <v>0</v>
      </c>
      <c r="CA84" s="157">
        <f t="shared" si="53"/>
        <v>602126.92588444427</v>
      </c>
      <c r="CB84" s="157">
        <f t="shared" si="54"/>
        <v>0</v>
      </c>
      <c r="CC84" s="157">
        <f t="shared" si="55"/>
        <v>2408507.7035377771</v>
      </c>
      <c r="CD84" s="201">
        <f t="shared" si="56"/>
        <v>0</v>
      </c>
      <c r="CE84" s="155">
        <f t="shared" si="57"/>
        <v>602126.92588444427</v>
      </c>
    </row>
    <row r="85" spans="1:83" x14ac:dyDescent="0.2">
      <c r="A85" s="147" t="s">
        <v>551</v>
      </c>
      <c r="B85" s="57"/>
      <c r="C85" s="57" t="s">
        <v>543</v>
      </c>
      <c r="D85" s="148" t="s">
        <v>113</v>
      </c>
      <c r="E85" s="197">
        <v>183847.99999999997</v>
      </c>
      <c r="F85" s="147">
        <f t="shared" si="47"/>
        <v>241112</v>
      </c>
      <c r="G85" s="342">
        <v>4459</v>
      </c>
      <c r="H85" s="149">
        <f t="shared" si="31"/>
        <v>1654</v>
      </c>
      <c r="I85" s="346">
        <v>793.49688888888898</v>
      </c>
      <c r="J85" s="150">
        <v>111</v>
      </c>
      <c r="K85"/>
      <c r="L85" s="151">
        <v>143358</v>
      </c>
      <c r="M85" s="151">
        <v>31448</v>
      </c>
      <c r="N85" s="151">
        <v>29632</v>
      </c>
      <c r="O85" s="151">
        <v>20457</v>
      </c>
      <c r="P85" s="151">
        <v>9968</v>
      </c>
      <c r="Q85" s="151">
        <v>3863</v>
      </c>
      <c r="R85" s="151">
        <v>2116</v>
      </c>
      <c r="S85" s="151">
        <v>270</v>
      </c>
      <c r="T85" s="151">
        <v>241112</v>
      </c>
      <c r="U85" s="147"/>
      <c r="V85" s="152">
        <f t="shared" si="48"/>
        <v>0.59457015826669768</v>
      </c>
      <c r="W85" s="152">
        <f t="shared" si="32"/>
        <v>0.13042901224327283</v>
      </c>
      <c r="X85" s="152">
        <f t="shared" si="33"/>
        <v>0.12289724277514184</v>
      </c>
      <c r="Y85" s="152">
        <f t="shared" si="34"/>
        <v>8.4844387670460195E-2</v>
      </c>
      <c r="Z85" s="152">
        <f t="shared" si="35"/>
        <v>4.1341783071767474E-2</v>
      </c>
      <c r="AA85" s="152">
        <f t="shared" si="36"/>
        <v>1.6021599920368956E-2</v>
      </c>
      <c r="AB85" s="152">
        <f t="shared" si="37"/>
        <v>8.7760045124257603E-3</v>
      </c>
      <c r="AC85" s="152">
        <f t="shared" si="38"/>
        <v>1.1198115398652908E-3</v>
      </c>
      <c r="AD85" s="152"/>
      <c r="AE85" s="221">
        <v>-168</v>
      </c>
      <c r="AF85" s="221">
        <v>599</v>
      </c>
      <c r="AG85" s="221">
        <v>359</v>
      </c>
      <c r="AH85" s="221">
        <v>289</v>
      </c>
      <c r="AI85" s="221">
        <v>141</v>
      </c>
      <c r="AJ85" s="221">
        <v>44</v>
      </c>
      <c r="AK85" s="221">
        <v>38</v>
      </c>
      <c r="AL85" s="221">
        <v>3</v>
      </c>
      <c r="AM85" s="221">
        <v>1305</v>
      </c>
      <c r="AN85" s="147"/>
      <c r="AO85" s="221">
        <v>-250</v>
      </c>
      <c r="AP85" s="221">
        <v>-46</v>
      </c>
      <c r="AQ85" s="221">
        <v>-20</v>
      </c>
      <c r="AR85" s="221">
        <v>-8</v>
      </c>
      <c r="AS85" s="221">
        <v>-19</v>
      </c>
      <c r="AT85" s="221">
        <v>-2</v>
      </c>
      <c r="AU85" s="221">
        <v>-2</v>
      </c>
      <c r="AV85" s="221">
        <v>-2</v>
      </c>
      <c r="AW85" s="221">
        <v>-349</v>
      </c>
      <c r="AX85" s="56">
        <f t="shared" si="39"/>
        <v>250</v>
      </c>
      <c r="AY85" s="56">
        <f t="shared" si="39"/>
        <v>46</v>
      </c>
      <c r="AZ85" s="56">
        <f t="shared" si="39"/>
        <v>20</v>
      </c>
      <c r="BA85" s="56">
        <f t="shared" si="39"/>
        <v>8</v>
      </c>
      <c r="BB85" s="56">
        <f t="shared" si="39"/>
        <v>19</v>
      </c>
      <c r="BC85" s="56">
        <f t="shared" si="30"/>
        <v>2</v>
      </c>
      <c r="BD85" s="56">
        <f t="shared" si="30"/>
        <v>2</v>
      </c>
      <c r="BE85" s="56">
        <f t="shared" si="30"/>
        <v>2</v>
      </c>
      <c r="BF85" s="56">
        <f t="shared" si="30"/>
        <v>349</v>
      </c>
      <c r="BH85">
        <f t="shared" si="40"/>
        <v>1</v>
      </c>
      <c r="BI85">
        <f t="shared" si="49"/>
        <v>0</v>
      </c>
      <c r="BJ85" s="154">
        <v>1299615.6599999999</v>
      </c>
      <c r="BK85" s="155">
        <f t="shared" si="41"/>
        <v>1299615.6599999999</v>
      </c>
      <c r="BL85" s="156">
        <v>1251468.2188888886</v>
      </c>
      <c r="BM85" s="155">
        <f t="shared" si="42"/>
        <v>1251468.2188888886</v>
      </c>
      <c r="BN85" s="158">
        <v>2248426.9122222224</v>
      </c>
      <c r="BO85" s="155">
        <f t="shared" si="43"/>
        <v>2248426.9122222224</v>
      </c>
      <c r="BP85" s="158">
        <v>1983472.0000000002</v>
      </c>
      <c r="BQ85" s="155">
        <f t="shared" si="44"/>
        <v>1983472.0000000002</v>
      </c>
      <c r="BR85" s="158">
        <v>1539797.3333333335</v>
      </c>
      <c r="BS85" s="155">
        <f t="shared" si="45"/>
        <v>1539797.3333333335</v>
      </c>
      <c r="BT85" s="194">
        <v>1858788.4466666665</v>
      </c>
      <c r="BU85" s="194"/>
      <c r="BV85" s="348">
        <f t="shared" si="50"/>
        <v>1858788.4466666665</v>
      </c>
      <c r="BW85" s="195">
        <f t="shared" si="46"/>
        <v>2377377.2888888884</v>
      </c>
      <c r="BX85" s="157" t="str">
        <f t="shared" si="51"/>
        <v>0</v>
      </c>
      <c r="BY85" s="157">
        <f>IF(E85*$CJ$10*'Year 7 Payments'!$L$20*IF(B85="",1,0.8)&lt;=(BW85-(J85*350)),E85*$CJ$10*'Year 7 Payments'!$L$20*IF(B85="",1,0.8),BW85-(IF(B85="",1,0.8)*J85*350))</f>
        <v>1124826.1875199997</v>
      </c>
      <c r="BZ85" s="157" t="str">
        <f t="shared" si="52"/>
        <v>0</v>
      </c>
      <c r="CA85" s="157">
        <f t="shared" si="53"/>
        <v>1252551.1013688887</v>
      </c>
      <c r="CB85" s="157">
        <f t="shared" si="54"/>
        <v>0</v>
      </c>
      <c r="CC85" s="157">
        <f t="shared" si="55"/>
        <v>5010204.405475555</v>
      </c>
      <c r="CD85" s="201">
        <f t="shared" si="56"/>
        <v>0</v>
      </c>
      <c r="CE85" s="155">
        <f t="shared" si="57"/>
        <v>1252551.1013688887</v>
      </c>
    </row>
    <row r="86" spans="1:83" x14ac:dyDescent="0.2">
      <c r="A86" s="147" t="s">
        <v>552</v>
      </c>
      <c r="B86" s="57"/>
      <c r="C86" s="57" t="s">
        <v>461</v>
      </c>
      <c r="D86" s="148" t="s">
        <v>114</v>
      </c>
      <c r="E86" s="197">
        <v>139060</v>
      </c>
      <c r="F86" s="147">
        <f t="shared" si="47"/>
        <v>133318</v>
      </c>
      <c r="G86" s="342">
        <v>695</v>
      </c>
      <c r="H86" s="149">
        <f t="shared" si="31"/>
        <v>605</v>
      </c>
      <c r="I86" s="346">
        <v>126.20444444444445</v>
      </c>
      <c r="J86" s="150">
        <v>98</v>
      </c>
      <c r="K86"/>
      <c r="L86" s="151">
        <v>4250</v>
      </c>
      <c r="M86" s="151">
        <v>12945</v>
      </c>
      <c r="N86" s="151">
        <v>31833</v>
      </c>
      <c r="O86" s="151">
        <v>43815</v>
      </c>
      <c r="P86" s="151">
        <v>22699</v>
      </c>
      <c r="Q86" s="151">
        <v>9909</v>
      </c>
      <c r="R86" s="151">
        <v>6897</v>
      </c>
      <c r="S86" s="151">
        <v>970</v>
      </c>
      <c r="T86" s="151">
        <v>133318</v>
      </c>
      <c r="U86" s="147"/>
      <c r="V86" s="152">
        <f t="shared" si="48"/>
        <v>3.1878666046595359E-2</v>
      </c>
      <c r="W86" s="152">
        <f t="shared" si="32"/>
        <v>9.7098666346629864E-2</v>
      </c>
      <c r="X86" s="152">
        <f t="shared" si="33"/>
        <v>0.23877495912029884</v>
      </c>
      <c r="Y86" s="152">
        <f t="shared" si="34"/>
        <v>0.32865029478390012</v>
      </c>
      <c r="Z86" s="152">
        <f t="shared" si="35"/>
        <v>0.17026208013921601</v>
      </c>
      <c r="AA86" s="152">
        <f t="shared" si="36"/>
        <v>7.4326047495461983E-2</v>
      </c>
      <c r="AB86" s="152">
        <f t="shared" si="37"/>
        <v>5.173344934667487E-2</v>
      </c>
      <c r="AC86" s="152">
        <f t="shared" si="38"/>
        <v>7.2758367212229407E-3</v>
      </c>
      <c r="AD86" s="152"/>
      <c r="AE86" s="221">
        <v>75</v>
      </c>
      <c r="AF86" s="221">
        <v>-155</v>
      </c>
      <c r="AG86" s="221">
        <v>188</v>
      </c>
      <c r="AH86" s="221">
        <v>162</v>
      </c>
      <c r="AI86" s="221">
        <v>227</v>
      </c>
      <c r="AJ86" s="221">
        <v>75</v>
      </c>
      <c r="AK86" s="221">
        <v>50</v>
      </c>
      <c r="AL86" s="221">
        <v>11</v>
      </c>
      <c r="AM86" s="221">
        <v>633</v>
      </c>
      <c r="AN86" s="147"/>
      <c r="AO86" s="221">
        <v>-12</v>
      </c>
      <c r="AP86" s="221">
        <v>-77</v>
      </c>
      <c r="AQ86" s="221">
        <v>29</v>
      </c>
      <c r="AR86" s="221">
        <v>26</v>
      </c>
      <c r="AS86" s="221">
        <v>35</v>
      </c>
      <c r="AT86" s="221">
        <v>20</v>
      </c>
      <c r="AU86" s="221">
        <v>7</v>
      </c>
      <c r="AV86" s="221">
        <v>0</v>
      </c>
      <c r="AW86" s="221">
        <v>28</v>
      </c>
      <c r="AX86" s="56">
        <f t="shared" si="39"/>
        <v>12</v>
      </c>
      <c r="AY86" s="56">
        <f t="shared" si="39"/>
        <v>77</v>
      </c>
      <c r="AZ86" s="56">
        <f t="shared" si="39"/>
        <v>-29</v>
      </c>
      <c r="BA86" s="56">
        <f t="shared" si="39"/>
        <v>-26</v>
      </c>
      <c r="BB86" s="56">
        <f t="shared" si="39"/>
        <v>-35</v>
      </c>
      <c r="BC86" s="56">
        <f t="shared" si="30"/>
        <v>-20</v>
      </c>
      <c r="BD86" s="56">
        <f t="shared" si="30"/>
        <v>-7</v>
      </c>
      <c r="BE86" s="56">
        <f t="shared" si="30"/>
        <v>0</v>
      </c>
      <c r="BF86" s="56">
        <f t="shared" si="30"/>
        <v>-28</v>
      </c>
      <c r="BH86">
        <f t="shared" si="40"/>
        <v>1</v>
      </c>
      <c r="BI86">
        <f t="shared" si="49"/>
        <v>0</v>
      </c>
      <c r="BJ86" s="154">
        <v>1120352.8133333335</v>
      </c>
      <c r="BK86" s="155">
        <f t="shared" si="41"/>
        <v>1120352.8133333335</v>
      </c>
      <c r="BL86" s="156">
        <v>1585573.7955555555</v>
      </c>
      <c r="BM86" s="155">
        <f t="shared" si="42"/>
        <v>1585573.7955555555</v>
      </c>
      <c r="BN86" s="158">
        <v>2438081.9211111111</v>
      </c>
      <c r="BO86" s="155">
        <f t="shared" si="43"/>
        <v>2438081.9211111111</v>
      </c>
      <c r="BP86" s="158">
        <v>1695234.2666666666</v>
      </c>
      <c r="BQ86" s="155">
        <f t="shared" si="44"/>
        <v>1695234.2666666666</v>
      </c>
      <c r="BR86" s="158">
        <v>1980076.0044444446</v>
      </c>
      <c r="BS86" s="155">
        <f t="shared" si="45"/>
        <v>1980076.0044444446</v>
      </c>
      <c r="BT86" s="194">
        <v>872016.32</v>
      </c>
      <c r="BU86" s="194"/>
      <c r="BV86" s="348">
        <f t="shared" si="50"/>
        <v>872016.32</v>
      </c>
      <c r="BW86" s="195">
        <f t="shared" si="46"/>
        <v>1078139.7244444445</v>
      </c>
      <c r="BX86" s="157" t="str">
        <f t="shared" si="51"/>
        <v>0</v>
      </c>
      <c r="BY86" s="157">
        <f>IF(E86*$CJ$10*'Year 7 Payments'!$L$20*IF(B86="",1,0.8)&lt;=(BW86-(J86*350)),E86*$CJ$10*'Year 7 Payments'!$L$20*IF(B86="",1,0.8),BW86-(IF(B86="",1,0.8)*J86*350))</f>
        <v>850802.45440000005</v>
      </c>
      <c r="BZ86" s="157" t="str">
        <f t="shared" si="52"/>
        <v>0</v>
      </c>
      <c r="CA86" s="157">
        <f t="shared" si="53"/>
        <v>227337.27004444448</v>
      </c>
      <c r="CB86" s="157">
        <f t="shared" si="54"/>
        <v>0</v>
      </c>
      <c r="CC86" s="157">
        <f t="shared" si="55"/>
        <v>909349.08017777791</v>
      </c>
      <c r="CD86" s="201">
        <f t="shared" si="56"/>
        <v>0</v>
      </c>
      <c r="CE86" s="155">
        <f t="shared" si="57"/>
        <v>227337.27004444448</v>
      </c>
    </row>
    <row r="87" spans="1:83" x14ac:dyDescent="0.2">
      <c r="A87" s="147" t="s">
        <v>553</v>
      </c>
      <c r="B87" s="57" t="s">
        <v>507</v>
      </c>
      <c r="C87" s="57" t="s">
        <v>459</v>
      </c>
      <c r="D87" s="148" t="s">
        <v>115</v>
      </c>
      <c r="E87" s="197">
        <v>34186.555555555555</v>
      </c>
      <c r="F87" s="147">
        <f t="shared" si="47"/>
        <v>36971</v>
      </c>
      <c r="G87" s="342">
        <v>244</v>
      </c>
      <c r="H87" s="149">
        <f t="shared" si="31"/>
        <v>188</v>
      </c>
      <c r="I87" s="346">
        <v>48.142666666666656</v>
      </c>
      <c r="J87" s="150">
        <v>8</v>
      </c>
      <c r="K87"/>
      <c r="L87" s="151">
        <v>4555</v>
      </c>
      <c r="M87" s="151">
        <v>10941</v>
      </c>
      <c r="N87" s="151">
        <v>7543</v>
      </c>
      <c r="O87" s="151">
        <v>6735</v>
      </c>
      <c r="P87" s="151">
        <v>4421</v>
      </c>
      <c r="Q87" s="151">
        <v>2010</v>
      </c>
      <c r="R87" s="151">
        <v>687</v>
      </c>
      <c r="S87" s="151">
        <v>79</v>
      </c>
      <c r="T87" s="151">
        <v>36971</v>
      </c>
      <c r="U87" s="147"/>
      <c r="V87" s="152">
        <f t="shared" si="48"/>
        <v>0.12320467393362365</v>
      </c>
      <c r="W87" s="152">
        <f t="shared" si="32"/>
        <v>0.29593465148359527</v>
      </c>
      <c r="X87" s="152">
        <f t="shared" si="33"/>
        <v>0.20402477617592166</v>
      </c>
      <c r="Y87" s="152">
        <f t="shared" si="34"/>
        <v>0.18216980876903519</v>
      </c>
      <c r="Z87" s="152">
        <f t="shared" si="35"/>
        <v>0.11958021151713505</v>
      </c>
      <c r="AA87" s="152">
        <f t="shared" si="36"/>
        <v>5.4366936247328988E-2</v>
      </c>
      <c r="AB87" s="152">
        <f t="shared" si="37"/>
        <v>1.8582131941251252E-2</v>
      </c>
      <c r="AC87" s="152">
        <f t="shared" si="38"/>
        <v>2.1368099321089503E-3</v>
      </c>
      <c r="AD87" s="152"/>
      <c r="AE87" s="221">
        <v>36</v>
      </c>
      <c r="AF87" s="221">
        <v>37</v>
      </c>
      <c r="AG87" s="221">
        <v>23</v>
      </c>
      <c r="AH87" s="221">
        <v>33</v>
      </c>
      <c r="AI87" s="221">
        <v>16</v>
      </c>
      <c r="AJ87" s="221">
        <v>31</v>
      </c>
      <c r="AK87" s="221">
        <v>11</v>
      </c>
      <c r="AL87" s="221">
        <v>-1</v>
      </c>
      <c r="AM87" s="221">
        <v>186</v>
      </c>
      <c r="AN87" s="147"/>
      <c r="AO87" s="221">
        <v>0</v>
      </c>
      <c r="AP87" s="221">
        <v>-3</v>
      </c>
      <c r="AQ87" s="221">
        <v>0</v>
      </c>
      <c r="AR87" s="221">
        <v>-4</v>
      </c>
      <c r="AS87" s="221">
        <v>5</v>
      </c>
      <c r="AT87" s="221">
        <v>-7</v>
      </c>
      <c r="AU87" s="221">
        <v>5</v>
      </c>
      <c r="AV87" s="221">
        <v>2</v>
      </c>
      <c r="AW87" s="221">
        <v>-2</v>
      </c>
      <c r="AX87" s="56">
        <f t="shared" si="39"/>
        <v>0</v>
      </c>
      <c r="AY87" s="56">
        <f t="shared" si="39"/>
        <v>3</v>
      </c>
      <c r="AZ87" s="56">
        <f t="shared" si="39"/>
        <v>0</v>
      </c>
      <c r="BA87" s="56">
        <f t="shared" si="39"/>
        <v>4</v>
      </c>
      <c r="BB87" s="56">
        <f t="shared" si="39"/>
        <v>-5</v>
      </c>
      <c r="BC87" s="56">
        <f t="shared" si="30"/>
        <v>7</v>
      </c>
      <c r="BD87" s="56">
        <f t="shared" si="30"/>
        <v>-5</v>
      </c>
      <c r="BE87" s="56">
        <f t="shared" si="30"/>
        <v>-2</v>
      </c>
      <c r="BF87" s="56">
        <f t="shared" si="30"/>
        <v>2</v>
      </c>
      <c r="BH87">
        <f t="shared" si="40"/>
        <v>0.8</v>
      </c>
      <c r="BI87">
        <f t="shared" si="49"/>
        <v>0.19999999999999996</v>
      </c>
      <c r="BJ87" s="154">
        <v>380082.01066666673</v>
      </c>
      <c r="BK87" s="155">
        <f t="shared" si="41"/>
        <v>380082.01066666673</v>
      </c>
      <c r="BL87" s="156">
        <v>371055.4782222223</v>
      </c>
      <c r="BM87" s="155">
        <f t="shared" si="42"/>
        <v>371055.4782222223</v>
      </c>
      <c r="BN87" s="158">
        <v>362208.57688888896</v>
      </c>
      <c r="BO87" s="155">
        <f t="shared" si="43"/>
        <v>362208.57688888896</v>
      </c>
      <c r="BP87" s="158">
        <v>316531.30666666664</v>
      </c>
      <c r="BQ87" s="155">
        <f t="shared" si="44"/>
        <v>316531.30666666664</v>
      </c>
      <c r="BR87" s="158">
        <v>320674.68266666669</v>
      </c>
      <c r="BS87" s="155">
        <f t="shared" si="45"/>
        <v>320674.68266666669</v>
      </c>
      <c r="BT87" s="194">
        <v>270165.74044444447</v>
      </c>
      <c r="BU87" s="194"/>
      <c r="BV87" s="348">
        <f t="shared" si="50"/>
        <v>270165.74044444447</v>
      </c>
      <c r="BW87" s="195">
        <f t="shared" si="46"/>
        <v>228478.91911111111</v>
      </c>
      <c r="BX87" s="157">
        <f t="shared" si="51"/>
        <v>57119.729777777779</v>
      </c>
      <c r="BY87" s="157">
        <f>IF(E87*$CJ$10*'Year 7 Payments'!$L$20*IF(B87="",1,0.8)&lt;=(BW87-(J87*350)),E87*$CJ$10*'Year 7 Payments'!$L$20*IF(B87="",1,0.8),BW87-(IF(B87="",1,0.8)*J87*350))</f>
        <v>167329.24132977778</v>
      </c>
      <c r="BZ87" s="157">
        <f t="shared" si="52"/>
        <v>41832.310332444446</v>
      </c>
      <c r="CA87" s="157">
        <f t="shared" si="53"/>
        <v>61149.677781333332</v>
      </c>
      <c r="CB87" s="157">
        <f t="shared" si="54"/>
        <v>15287.419445333333</v>
      </c>
      <c r="CC87" s="157">
        <f t="shared" si="55"/>
        <v>244598.71112533333</v>
      </c>
      <c r="CD87" s="201">
        <f t="shared" si="56"/>
        <v>61149.677781333332</v>
      </c>
      <c r="CE87" s="155">
        <f t="shared" si="57"/>
        <v>61149.677781333332</v>
      </c>
    </row>
    <row r="88" spans="1:83" x14ac:dyDescent="0.2">
      <c r="A88" s="147" t="s">
        <v>554</v>
      </c>
      <c r="B88" s="57" t="s">
        <v>555</v>
      </c>
      <c r="C88" s="57" t="s">
        <v>472</v>
      </c>
      <c r="D88" s="148" t="s">
        <v>116</v>
      </c>
      <c r="E88" s="197">
        <v>67419.444444444438</v>
      </c>
      <c r="F88" s="147">
        <f t="shared" si="47"/>
        <v>67685</v>
      </c>
      <c r="G88" s="342">
        <v>393</v>
      </c>
      <c r="H88" s="149">
        <f t="shared" si="31"/>
        <v>1066</v>
      </c>
      <c r="I88" s="346">
        <v>759.76666666666665</v>
      </c>
      <c r="J88" s="150">
        <v>135</v>
      </c>
      <c r="K88"/>
      <c r="L88" s="151">
        <v>6242</v>
      </c>
      <c r="M88" s="151">
        <v>13175</v>
      </c>
      <c r="N88" s="151">
        <v>15380</v>
      </c>
      <c r="O88" s="151">
        <v>12351</v>
      </c>
      <c r="P88" s="151">
        <v>10197</v>
      </c>
      <c r="Q88" s="151">
        <v>6152</v>
      </c>
      <c r="R88" s="151">
        <v>3991</v>
      </c>
      <c r="S88" s="151">
        <v>197</v>
      </c>
      <c r="T88" s="151">
        <v>67685</v>
      </c>
      <c r="U88" s="147"/>
      <c r="V88" s="152">
        <f t="shared" si="48"/>
        <v>9.2221319346974959E-2</v>
      </c>
      <c r="W88" s="152">
        <f t="shared" si="32"/>
        <v>0.19465169535347565</v>
      </c>
      <c r="X88" s="152">
        <f t="shared" si="33"/>
        <v>0.22722907586614463</v>
      </c>
      <c r="Y88" s="152">
        <f t="shared" si="34"/>
        <v>0.1824776538376302</v>
      </c>
      <c r="Z88" s="152">
        <f t="shared" si="35"/>
        <v>0.15065376375858758</v>
      </c>
      <c r="AA88" s="152">
        <f t="shared" si="36"/>
        <v>9.089163034645785E-2</v>
      </c>
      <c r="AB88" s="152">
        <f t="shared" si="37"/>
        <v>5.8964320011819456E-2</v>
      </c>
      <c r="AC88" s="152">
        <f t="shared" si="38"/>
        <v>2.910541478909655E-3</v>
      </c>
      <c r="AD88" s="152"/>
      <c r="AE88" s="221">
        <v>87</v>
      </c>
      <c r="AF88" s="221">
        <v>144</v>
      </c>
      <c r="AG88" s="221">
        <v>303</v>
      </c>
      <c r="AH88" s="221">
        <v>191</v>
      </c>
      <c r="AI88" s="221">
        <v>162</v>
      </c>
      <c r="AJ88" s="221">
        <v>60</v>
      </c>
      <c r="AK88" s="221">
        <v>15</v>
      </c>
      <c r="AL88" s="221">
        <v>-1</v>
      </c>
      <c r="AM88" s="221">
        <v>961</v>
      </c>
      <c r="AN88" s="147"/>
      <c r="AO88" s="221">
        <v>-18</v>
      </c>
      <c r="AP88" s="221">
        <v>-26</v>
      </c>
      <c r="AQ88" s="221">
        <v>-41</v>
      </c>
      <c r="AR88" s="221">
        <v>-10</v>
      </c>
      <c r="AS88" s="221">
        <v>-9</v>
      </c>
      <c r="AT88" s="221">
        <v>-1</v>
      </c>
      <c r="AU88" s="221">
        <v>1</v>
      </c>
      <c r="AV88" s="221">
        <v>-1</v>
      </c>
      <c r="AW88" s="221">
        <v>-105</v>
      </c>
      <c r="AX88" s="56">
        <f t="shared" si="39"/>
        <v>18</v>
      </c>
      <c r="AY88" s="56">
        <f t="shared" si="39"/>
        <v>26</v>
      </c>
      <c r="AZ88" s="56">
        <f t="shared" si="39"/>
        <v>41</v>
      </c>
      <c r="BA88" s="56">
        <f t="shared" si="39"/>
        <v>10</v>
      </c>
      <c r="BB88" s="56">
        <f t="shared" si="39"/>
        <v>9</v>
      </c>
      <c r="BC88" s="56">
        <f t="shared" si="30"/>
        <v>1</v>
      </c>
      <c r="BD88" s="56">
        <f t="shared" si="30"/>
        <v>-1</v>
      </c>
      <c r="BE88" s="56">
        <f t="shared" si="30"/>
        <v>1</v>
      </c>
      <c r="BF88" s="56">
        <f t="shared" si="30"/>
        <v>105</v>
      </c>
      <c r="BH88">
        <f t="shared" si="40"/>
        <v>0.8</v>
      </c>
      <c r="BI88">
        <f t="shared" si="49"/>
        <v>0.19999999999999996</v>
      </c>
      <c r="BJ88" s="154">
        <v>310871.52</v>
      </c>
      <c r="BK88" s="155">
        <f t="shared" si="41"/>
        <v>310871.52</v>
      </c>
      <c r="BL88" s="156">
        <v>447830.26577777782</v>
      </c>
      <c r="BM88" s="155">
        <f t="shared" si="42"/>
        <v>447830.26577777782</v>
      </c>
      <c r="BN88" s="158">
        <v>417672.77511111106</v>
      </c>
      <c r="BO88" s="155">
        <f t="shared" si="43"/>
        <v>417672.77511111106</v>
      </c>
      <c r="BP88" s="158">
        <v>646120.53333333333</v>
      </c>
      <c r="BQ88" s="155">
        <f t="shared" si="44"/>
        <v>646120.53333333333</v>
      </c>
      <c r="BR88" s="158">
        <v>1192724.743111111</v>
      </c>
      <c r="BS88" s="155">
        <f t="shared" si="45"/>
        <v>1192724.743111111</v>
      </c>
      <c r="BT88" s="194">
        <v>1360112.8800000001</v>
      </c>
      <c r="BU88" s="194"/>
      <c r="BV88" s="348">
        <f t="shared" si="50"/>
        <v>1360112.8800000001</v>
      </c>
      <c r="BW88" s="195">
        <f t="shared" si="46"/>
        <v>1297477.6355555553</v>
      </c>
      <c r="BX88" s="157">
        <f t="shared" si="51"/>
        <v>324369.40888888884</v>
      </c>
      <c r="BY88" s="157">
        <f>IF(E88*$CJ$10*'Year 7 Payments'!$L$20*IF(B88="",1,0.8)&lt;=(BW88-(J88*350)),E88*$CJ$10*'Year 7 Payments'!$L$20*IF(B88="",1,0.8),BW88-(IF(B88="",1,0.8)*J88*350))</f>
        <v>329990.67342222226</v>
      </c>
      <c r="BZ88" s="157">
        <f t="shared" si="52"/>
        <v>82497.668355555565</v>
      </c>
      <c r="CA88" s="157">
        <f t="shared" si="53"/>
        <v>967486.96213333309</v>
      </c>
      <c r="CB88" s="157">
        <f t="shared" si="54"/>
        <v>241871.74053333327</v>
      </c>
      <c r="CC88" s="157">
        <f t="shared" si="55"/>
        <v>3869947.8485333323</v>
      </c>
      <c r="CD88" s="201">
        <f t="shared" si="56"/>
        <v>967486.96213333309</v>
      </c>
      <c r="CE88" s="155">
        <f t="shared" si="57"/>
        <v>967486.96213333309</v>
      </c>
    </row>
    <row r="89" spans="1:83" x14ac:dyDescent="0.2">
      <c r="A89" s="147" t="s">
        <v>556</v>
      </c>
      <c r="B89" s="57" t="s">
        <v>528</v>
      </c>
      <c r="C89" s="57" t="s">
        <v>472</v>
      </c>
      <c r="D89" s="148" t="s">
        <v>117</v>
      </c>
      <c r="E89" s="197">
        <v>43281.555555555562</v>
      </c>
      <c r="F89" s="147">
        <f t="shared" si="47"/>
        <v>39802</v>
      </c>
      <c r="G89" s="342">
        <v>214</v>
      </c>
      <c r="H89" s="149">
        <f t="shared" si="31"/>
        <v>146</v>
      </c>
      <c r="I89" s="346">
        <v>0</v>
      </c>
      <c r="J89" s="150">
        <v>40</v>
      </c>
      <c r="K89"/>
      <c r="L89" s="151">
        <v>2488</v>
      </c>
      <c r="M89" s="151">
        <v>3267</v>
      </c>
      <c r="N89" s="151">
        <v>7505</v>
      </c>
      <c r="O89" s="151">
        <v>9103</v>
      </c>
      <c r="P89" s="151">
        <v>9574</v>
      </c>
      <c r="Q89" s="151">
        <v>5166</v>
      </c>
      <c r="R89" s="151">
        <v>2525</v>
      </c>
      <c r="S89" s="151">
        <v>174</v>
      </c>
      <c r="T89" s="151">
        <v>39802</v>
      </c>
      <c r="U89" s="147"/>
      <c r="V89" s="152">
        <f t="shared" si="48"/>
        <v>6.2509421637103657E-2</v>
      </c>
      <c r="W89" s="152">
        <f t="shared" si="32"/>
        <v>8.2081302447113216E-2</v>
      </c>
      <c r="X89" s="152">
        <f t="shared" si="33"/>
        <v>0.1885583639013115</v>
      </c>
      <c r="Y89" s="152">
        <f t="shared" si="34"/>
        <v>0.22870710014572132</v>
      </c>
      <c r="Z89" s="152">
        <f t="shared" si="35"/>
        <v>0.24054067634792223</v>
      </c>
      <c r="AA89" s="152">
        <f t="shared" si="36"/>
        <v>0.12979247274006331</v>
      </c>
      <c r="AB89" s="152">
        <f t="shared" si="37"/>
        <v>6.3439023164665098E-2</v>
      </c>
      <c r="AC89" s="152">
        <f t="shared" si="38"/>
        <v>4.3716396160996939E-3</v>
      </c>
      <c r="AD89" s="152"/>
      <c r="AE89" s="221">
        <v>24</v>
      </c>
      <c r="AF89" s="221">
        <v>8</v>
      </c>
      <c r="AG89" s="221">
        <v>21</v>
      </c>
      <c r="AH89" s="221">
        <v>29</v>
      </c>
      <c r="AI89" s="221">
        <v>47</v>
      </c>
      <c r="AJ89" s="221">
        <v>37</v>
      </c>
      <c r="AK89" s="221">
        <v>24</v>
      </c>
      <c r="AL89" s="221">
        <v>2</v>
      </c>
      <c r="AM89" s="221">
        <v>192</v>
      </c>
      <c r="AN89" s="147"/>
      <c r="AO89" s="221">
        <v>0</v>
      </c>
      <c r="AP89" s="221">
        <v>10</v>
      </c>
      <c r="AQ89" s="221">
        <v>13</v>
      </c>
      <c r="AR89" s="221">
        <v>1</v>
      </c>
      <c r="AS89" s="221">
        <v>15</v>
      </c>
      <c r="AT89" s="221">
        <v>-4</v>
      </c>
      <c r="AU89" s="221">
        <v>5</v>
      </c>
      <c r="AV89" s="221">
        <v>6</v>
      </c>
      <c r="AW89" s="221">
        <v>46</v>
      </c>
      <c r="AX89" s="56">
        <f t="shared" si="39"/>
        <v>0</v>
      </c>
      <c r="AY89" s="56">
        <f t="shared" si="39"/>
        <v>-10</v>
      </c>
      <c r="AZ89" s="56">
        <f t="shared" si="39"/>
        <v>-13</v>
      </c>
      <c r="BA89" s="56">
        <f t="shared" si="39"/>
        <v>-1</v>
      </c>
      <c r="BB89" s="56">
        <f t="shared" si="39"/>
        <v>-15</v>
      </c>
      <c r="BC89" s="56">
        <f t="shared" si="30"/>
        <v>4</v>
      </c>
      <c r="BD89" s="56">
        <f t="shared" si="30"/>
        <v>-5</v>
      </c>
      <c r="BE89" s="56">
        <f t="shared" si="30"/>
        <v>-6</v>
      </c>
      <c r="BF89" s="56">
        <f t="shared" si="30"/>
        <v>-46</v>
      </c>
      <c r="BH89">
        <f t="shared" si="40"/>
        <v>0.8</v>
      </c>
      <c r="BI89">
        <f t="shared" si="49"/>
        <v>0.19999999999999996</v>
      </c>
      <c r="BJ89" s="154">
        <v>124860.33066666668</v>
      </c>
      <c r="BK89" s="155">
        <f t="shared" si="41"/>
        <v>124860.33066666668</v>
      </c>
      <c r="BL89" s="156">
        <v>159567.93777777778</v>
      </c>
      <c r="BM89" s="155">
        <f t="shared" si="42"/>
        <v>159567.93777777778</v>
      </c>
      <c r="BN89" s="158">
        <v>150154.21600000001</v>
      </c>
      <c r="BO89" s="155">
        <f t="shared" si="43"/>
        <v>150154.21600000001</v>
      </c>
      <c r="BP89" s="158">
        <v>213068.47999999998</v>
      </c>
      <c r="BQ89" s="155">
        <f t="shared" si="44"/>
        <v>213068.47999999998</v>
      </c>
      <c r="BR89" s="158">
        <v>157519.66222222228</v>
      </c>
      <c r="BS89" s="155">
        <f t="shared" si="45"/>
        <v>157519.66222222228</v>
      </c>
      <c r="BT89" s="194">
        <v>349866.25955555559</v>
      </c>
      <c r="BU89" s="194"/>
      <c r="BV89" s="348">
        <f t="shared" si="50"/>
        <v>349866.25955555559</v>
      </c>
      <c r="BW89" s="195">
        <f t="shared" si="46"/>
        <v>221123.61244444447</v>
      </c>
      <c r="BX89" s="157">
        <f t="shared" si="51"/>
        <v>55280.903111111118</v>
      </c>
      <c r="BY89" s="157">
        <f>IF(E89*$CJ$10*'Year 7 Payments'!$L$20*IF(B89="",1,0.8)&lt;=(BW89-(J89*350)),E89*$CJ$10*'Year 7 Payments'!$L$20*IF(B89="",1,0.8),BW89-(IF(B89="",1,0.8)*J89*350))</f>
        <v>209923.61244444447</v>
      </c>
      <c r="BZ89" s="157">
        <f t="shared" si="52"/>
        <v>52480.903111111118</v>
      </c>
      <c r="CA89" s="157">
        <f t="shared" si="53"/>
        <v>11200</v>
      </c>
      <c r="CB89" s="157">
        <f t="shared" si="54"/>
        <v>2800</v>
      </c>
      <c r="CC89" s="157">
        <f t="shared" si="55"/>
        <v>44800</v>
      </c>
      <c r="CD89" s="201">
        <f t="shared" si="56"/>
        <v>11200</v>
      </c>
      <c r="CE89" s="155">
        <f t="shared" si="57"/>
        <v>11200</v>
      </c>
    </row>
    <row r="90" spans="1:83" x14ac:dyDescent="0.2">
      <c r="A90" s="147" t="s">
        <v>557</v>
      </c>
      <c r="B90" s="57" t="s">
        <v>469</v>
      </c>
      <c r="C90" s="57" t="s">
        <v>443</v>
      </c>
      <c r="D90" s="148" t="s">
        <v>118</v>
      </c>
      <c r="E90" s="197">
        <v>55348.777777777781</v>
      </c>
      <c r="F90" s="147">
        <f t="shared" si="47"/>
        <v>51380</v>
      </c>
      <c r="G90" s="342">
        <v>311</v>
      </c>
      <c r="H90" s="149">
        <f t="shared" si="31"/>
        <v>471</v>
      </c>
      <c r="I90" s="346">
        <v>305.71599999999995</v>
      </c>
      <c r="J90" s="150">
        <v>50</v>
      </c>
      <c r="K90"/>
      <c r="L90" s="151">
        <v>2916</v>
      </c>
      <c r="M90" s="151">
        <v>5621</v>
      </c>
      <c r="N90" s="151">
        <v>12244</v>
      </c>
      <c r="O90" s="151">
        <v>10525</v>
      </c>
      <c r="P90" s="151">
        <v>8609</v>
      </c>
      <c r="Q90" s="151">
        <v>6126</v>
      </c>
      <c r="R90" s="151">
        <v>4698</v>
      </c>
      <c r="S90" s="151">
        <v>641</v>
      </c>
      <c r="T90" s="151">
        <v>51380</v>
      </c>
      <c r="U90" s="147"/>
      <c r="V90" s="152">
        <f t="shared" si="48"/>
        <v>5.6753600622810429E-2</v>
      </c>
      <c r="W90" s="152">
        <f t="shared" si="32"/>
        <v>0.10940054495912807</v>
      </c>
      <c r="X90" s="152">
        <f t="shared" si="33"/>
        <v>0.23830284157259635</v>
      </c>
      <c r="Y90" s="152">
        <f t="shared" si="34"/>
        <v>0.20484624367458154</v>
      </c>
      <c r="Z90" s="152">
        <f t="shared" si="35"/>
        <v>0.16755546905410665</v>
      </c>
      <c r="AA90" s="152">
        <f t="shared" si="36"/>
        <v>0.11922927209030751</v>
      </c>
      <c r="AB90" s="152">
        <f t="shared" si="37"/>
        <v>9.1436356558972365E-2</v>
      </c>
      <c r="AC90" s="152">
        <f t="shared" si="38"/>
        <v>1.247567146749708E-2</v>
      </c>
      <c r="AD90" s="152"/>
      <c r="AE90" s="221">
        <v>57</v>
      </c>
      <c r="AF90" s="221">
        <v>64</v>
      </c>
      <c r="AG90" s="221">
        <v>97</v>
      </c>
      <c r="AH90" s="221">
        <v>74</v>
      </c>
      <c r="AI90" s="221">
        <v>41</v>
      </c>
      <c r="AJ90" s="221">
        <v>49</v>
      </c>
      <c r="AK90" s="221">
        <v>109</v>
      </c>
      <c r="AL90" s="221">
        <v>1</v>
      </c>
      <c r="AM90" s="221">
        <v>492</v>
      </c>
      <c r="AN90" s="147"/>
      <c r="AO90" s="221">
        <v>4</v>
      </c>
      <c r="AP90" s="221">
        <v>5</v>
      </c>
      <c r="AQ90" s="221">
        <v>-5</v>
      </c>
      <c r="AR90" s="221">
        <v>8</v>
      </c>
      <c r="AS90" s="221">
        <v>-1</v>
      </c>
      <c r="AT90" s="221">
        <v>8</v>
      </c>
      <c r="AU90" s="221">
        <v>-3</v>
      </c>
      <c r="AV90" s="221">
        <v>5</v>
      </c>
      <c r="AW90" s="221">
        <v>21</v>
      </c>
      <c r="AX90" s="56">
        <f t="shared" si="39"/>
        <v>-4</v>
      </c>
      <c r="AY90" s="56">
        <f t="shared" si="39"/>
        <v>-5</v>
      </c>
      <c r="AZ90" s="56">
        <f t="shared" si="39"/>
        <v>5</v>
      </c>
      <c r="BA90" s="56">
        <f t="shared" si="39"/>
        <v>-8</v>
      </c>
      <c r="BB90" s="56">
        <f t="shared" si="39"/>
        <v>1</v>
      </c>
      <c r="BC90" s="56">
        <f t="shared" si="30"/>
        <v>-8</v>
      </c>
      <c r="BD90" s="56">
        <f t="shared" si="30"/>
        <v>3</v>
      </c>
      <c r="BE90" s="56">
        <f t="shared" si="30"/>
        <v>-5</v>
      </c>
      <c r="BF90" s="56">
        <f t="shared" si="30"/>
        <v>-21</v>
      </c>
      <c r="BH90">
        <f t="shared" si="40"/>
        <v>0.8</v>
      </c>
      <c r="BI90">
        <f t="shared" si="49"/>
        <v>0.19999999999999996</v>
      </c>
      <c r="BJ90" s="154">
        <v>306266.016</v>
      </c>
      <c r="BK90" s="155">
        <f t="shared" si="41"/>
        <v>306266.016</v>
      </c>
      <c r="BL90" s="156">
        <v>578219.44444444438</v>
      </c>
      <c r="BM90" s="155">
        <f t="shared" si="42"/>
        <v>578219.44444444438</v>
      </c>
      <c r="BN90" s="158">
        <v>479233.66133333335</v>
      </c>
      <c r="BO90" s="155">
        <f t="shared" si="43"/>
        <v>479233.66133333335</v>
      </c>
      <c r="BP90" s="158">
        <v>553285.65333333332</v>
      </c>
      <c r="BQ90" s="155">
        <f t="shared" si="44"/>
        <v>553285.65333333332</v>
      </c>
      <c r="BR90" s="158">
        <v>728049.53955555556</v>
      </c>
      <c r="BS90" s="155">
        <f t="shared" si="45"/>
        <v>728049.53955555556</v>
      </c>
      <c r="BT90" s="194">
        <v>695492.59733333334</v>
      </c>
      <c r="BU90" s="194"/>
      <c r="BV90" s="348">
        <f t="shared" si="50"/>
        <v>695492.59733333334</v>
      </c>
      <c r="BW90" s="195">
        <f t="shared" si="46"/>
        <v>658998.45688888896</v>
      </c>
      <c r="BX90" s="157">
        <f t="shared" si="51"/>
        <v>164749.61422222224</v>
      </c>
      <c r="BY90" s="157">
        <f>IF(E90*$CJ$10*'Year 7 Payments'!$L$20*IF(B90="",1,0.8)&lt;=(BW90-(J90*350)),E90*$CJ$10*'Year 7 Payments'!$L$20*IF(B90="",1,0.8),BW90-(IF(B90="",1,0.8)*J90*350))</f>
        <v>270909.68492088892</v>
      </c>
      <c r="BZ90" s="157">
        <f t="shared" si="52"/>
        <v>67727.421230222229</v>
      </c>
      <c r="CA90" s="157">
        <f t="shared" si="53"/>
        <v>388088.77196800004</v>
      </c>
      <c r="CB90" s="157">
        <f t="shared" si="54"/>
        <v>97022.192992000011</v>
      </c>
      <c r="CC90" s="157">
        <f t="shared" si="55"/>
        <v>1552355.0878720002</v>
      </c>
      <c r="CD90" s="201">
        <f t="shared" si="56"/>
        <v>388088.77196800004</v>
      </c>
      <c r="CE90" s="155">
        <f t="shared" si="57"/>
        <v>388088.77196800004</v>
      </c>
    </row>
    <row r="91" spans="1:83" x14ac:dyDescent="0.2">
      <c r="A91" s="147" t="s">
        <v>558</v>
      </c>
      <c r="B91" s="57" t="s">
        <v>500</v>
      </c>
      <c r="C91" s="57" t="s">
        <v>459</v>
      </c>
      <c r="D91" s="148" t="s">
        <v>119</v>
      </c>
      <c r="E91" s="197">
        <v>66496.444444444453</v>
      </c>
      <c r="F91" s="147">
        <f t="shared" si="47"/>
        <v>61164</v>
      </c>
      <c r="G91" s="342">
        <v>382</v>
      </c>
      <c r="H91" s="149">
        <f t="shared" si="31"/>
        <v>784</v>
      </c>
      <c r="I91" s="346">
        <v>628.23644444444449</v>
      </c>
      <c r="J91" s="150">
        <v>102</v>
      </c>
      <c r="K91"/>
      <c r="L91" s="151">
        <v>845</v>
      </c>
      <c r="M91" s="151">
        <v>5853</v>
      </c>
      <c r="N91" s="151">
        <v>15172</v>
      </c>
      <c r="O91" s="151">
        <v>15367</v>
      </c>
      <c r="P91" s="151">
        <v>10607</v>
      </c>
      <c r="Q91" s="151">
        <v>7233</v>
      </c>
      <c r="R91" s="151">
        <v>5309</v>
      </c>
      <c r="S91" s="151">
        <v>778</v>
      </c>
      <c r="T91" s="151">
        <v>61164</v>
      </c>
      <c r="U91" s="147"/>
      <c r="V91" s="152">
        <f t="shared" si="48"/>
        <v>1.3815316199071349E-2</v>
      </c>
      <c r="W91" s="152">
        <f t="shared" si="32"/>
        <v>9.5693545222680004E-2</v>
      </c>
      <c r="X91" s="152">
        <f t="shared" si="33"/>
        <v>0.24805441109149173</v>
      </c>
      <c r="Y91" s="152">
        <f t="shared" si="34"/>
        <v>0.25124256098358511</v>
      </c>
      <c r="Z91" s="152">
        <f t="shared" si="35"/>
        <v>0.17341900464325422</v>
      </c>
      <c r="AA91" s="152">
        <f t="shared" si="36"/>
        <v>0.11825583676672552</v>
      </c>
      <c r="AB91" s="152">
        <f t="shared" si="37"/>
        <v>8.6799424498070765E-2</v>
      </c>
      <c r="AC91" s="152">
        <f t="shared" si="38"/>
        <v>1.2719900595121313E-2</v>
      </c>
      <c r="AD91" s="152"/>
      <c r="AE91" s="221">
        <v>6</v>
      </c>
      <c r="AF91" s="221">
        <v>9</v>
      </c>
      <c r="AG91" s="221">
        <v>167</v>
      </c>
      <c r="AH91" s="221">
        <v>303</v>
      </c>
      <c r="AI91" s="221">
        <v>93</v>
      </c>
      <c r="AJ91" s="221">
        <v>107</v>
      </c>
      <c r="AK91" s="221">
        <v>71</v>
      </c>
      <c r="AL91" s="221">
        <v>15</v>
      </c>
      <c r="AM91" s="221">
        <v>771</v>
      </c>
      <c r="AN91" s="147"/>
      <c r="AO91" s="221">
        <v>-6</v>
      </c>
      <c r="AP91" s="221">
        <v>6</v>
      </c>
      <c r="AQ91" s="221">
        <v>-5</v>
      </c>
      <c r="AR91" s="221">
        <v>0</v>
      </c>
      <c r="AS91" s="221">
        <v>-2</v>
      </c>
      <c r="AT91" s="221">
        <v>-3</v>
      </c>
      <c r="AU91" s="221">
        <v>-4</v>
      </c>
      <c r="AV91" s="221">
        <v>1</v>
      </c>
      <c r="AW91" s="221">
        <v>-13</v>
      </c>
      <c r="AX91" s="56">
        <f t="shared" si="39"/>
        <v>6</v>
      </c>
      <c r="AY91" s="56">
        <f t="shared" si="39"/>
        <v>-6</v>
      </c>
      <c r="AZ91" s="56">
        <f t="shared" si="39"/>
        <v>5</v>
      </c>
      <c r="BA91" s="56">
        <f t="shared" si="39"/>
        <v>0</v>
      </c>
      <c r="BB91" s="56">
        <f t="shared" si="39"/>
        <v>2</v>
      </c>
      <c r="BC91" s="56">
        <f t="shared" si="30"/>
        <v>3</v>
      </c>
      <c r="BD91" s="56">
        <f t="shared" si="30"/>
        <v>4</v>
      </c>
      <c r="BE91" s="56">
        <f t="shared" si="30"/>
        <v>-1</v>
      </c>
      <c r="BF91" s="56">
        <f t="shared" si="30"/>
        <v>13</v>
      </c>
      <c r="BH91">
        <f t="shared" si="40"/>
        <v>0.8</v>
      </c>
      <c r="BI91">
        <f t="shared" si="49"/>
        <v>0.19999999999999996</v>
      </c>
      <c r="BJ91" s="154">
        <v>415262.94399999996</v>
      </c>
      <c r="BK91" s="155">
        <f t="shared" si="41"/>
        <v>415262.94399999996</v>
      </c>
      <c r="BL91" s="156">
        <v>425086.24622222222</v>
      </c>
      <c r="BM91" s="155">
        <f t="shared" si="42"/>
        <v>425086.24622222222</v>
      </c>
      <c r="BN91" s="158">
        <v>553015.80977777787</v>
      </c>
      <c r="BO91" s="155">
        <f t="shared" si="43"/>
        <v>553015.80977777787</v>
      </c>
      <c r="BP91" s="158">
        <v>797064.21333333338</v>
      </c>
      <c r="BQ91" s="155">
        <f t="shared" si="44"/>
        <v>797064.21333333338</v>
      </c>
      <c r="BR91" s="158">
        <v>599139.39199999999</v>
      </c>
      <c r="BS91" s="155">
        <f t="shared" si="45"/>
        <v>599139.39199999999</v>
      </c>
      <c r="BT91" s="194">
        <v>812462.78399999987</v>
      </c>
      <c r="BU91" s="194"/>
      <c r="BV91" s="348">
        <f t="shared" si="50"/>
        <v>812462.78399999987</v>
      </c>
      <c r="BW91" s="195">
        <f t="shared" si="46"/>
        <v>1122773.233777778</v>
      </c>
      <c r="BX91" s="157">
        <f t="shared" si="51"/>
        <v>280693.3084444445</v>
      </c>
      <c r="BY91" s="157">
        <f>IF(E91*$CJ$10*'Year 7 Payments'!$L$20*IF(B91="",1,0.8)&lt;=(BW91-(J91*350)),E91*$CJ$10*'Year 7 Payments'!$L$20*IF(B91="",1,0.8),BW91-(IF(B91="",1,0.8)*J91*350))</f>
        <v>325472.96500622225</v>
      </c>
      <c r="BZ91" s="157">
        <f t="shared" si="52"/>
        <v>81368.241251555562</v>
      </c>
      <c r="CA91" s="157">
        <f t="shared" si="53"/>
        <v>797300.26877155574</v>
      </c>
      <c r="CB91" s="157">
        <f t="shared" si="54"/>
        <v>199325.06719288894</v>
      </c>
      <c r="CC91" s="157">
        <f t="shared" si="55"/>
        <v>3189201.075086223</v>
      </c>
      <c r="CD91" s="201">
        <f t="shared" si="56"/>
        <v>797300.26877155574</v>
      </c>
      <c r="CE91" s="155">
        <f t="shared" si="57"/>
        <v>797300.26877155574</v>
      </c>
    </row>
    <row r="92" spans="1:83" x14ac:dyDescent="0.2">
      <c r="A92" s="147" t="s">
        <v>559</v>
      </c>
      <c r="B92" s="57" t="s">
        <v>484</v>
      </c>
      <c r="C92" s="57" t="s">
        <v>449</v>
      </c>
      <c r="D92" s="148" t="s">
        <v>120</v>
      </c>
      <c r="E92" s="197">
        <v>54610.111111111117</v>
      </c>
      <c r="F92" s="147">
        <f t="shared" si="47"/>
        <v>67821</v>
      </c>
      <c r="G92" s="342">
        <v>826</v>
      </c>
      <c r="H92" s="149">
        <f t="shared" si="31"/>
        <v>387</v>
      </c>
      <c r="I92" s="346">
        <v>139.00399999999999</v>
      </c>
      <c r="J92" s="150">
        <v>104</v>
      </c>
      <c r="K92"/>
      <c r="L92" s="151">
        <v>26888</v>
      </c>
      <c r="M92" s="151">
        <v>14066</v>
      </c>
      <c r="N92" s="151">
        <v>15648</v>
      </c>
      <c r="O92" s="151">
        <v>6280</v>
      </c>
      <c r="P92" s="151">
        <v>3230</v>
      </c>
      <c r="Q92" s="151">
        <v>1128</v>
      </c>
      <c r="R92" s="151">
        <v>528</v>
      </c>
      <c r="S92" s="151">
        <v>53</v>
      </c>
      <c r="T92" s="151">
        <v>67821</v>
      </c>
      <c r="U92" s="147"/>
      <c r="V92" s="152">
        <f t="shared" si="48"/>
        <v>0.39645537517877943</v>
      </c>
      <c r="W92" s="152">
        <f t="shared" si="32"/>
        <v>0.20739888824995209</v>
      </c>
      <c r="X92" s="152">
        <f t="shared" si="33"/>
        <v>0.23072499668244348</v>
      </c>
      <c r="Y92" s="152">
        <f t="shared" si="34"/>
        <v>9.2596688341369193E-2</v>
      </c>
      <c r="Z92" s="152">
        <f t="shared" si="35"/>
        <v>4.7625366774302944E-2</v>
      </c>
      <c r="AA92" s="152">
        <f t="shared" si="36"/>
        <v>1.6632016632016633E-2</v>
      </c>
      <c r="AB92" s="152">
        <f t="shared" si="37"/>
        <v>7.7851992745609768E-3</v>
      </c>
      <c r="AC92" s="152">
        <f t="shared" si="38"/>
        <v>7.8146886657524961E-4</v>
      </c>
      <c r="AD92" s="152"/>
      <c r="AE92" s="221">
        <v>87</v>
      </c>
      <c r="AF92" s="221">
        <v>124</v>
      </c>
      <c r="AG92" s="221">
        <v>50</v>
      </c>
      <c r="AH92" s="221">
        <v>54</v>
      </c>
      <c r="AI92" s="221">
        <v>35</v>
      </c>
      <c r="AJ92" s="221">
        <v>25</v>
      </c>
      <c r="AK92" s="221">
        <v>3</v>
      </c>
      <c r="AL92" s="221">
        <v>0</v>
      </c>
      <c r="AM92" s="221">
        <v>378</v>
      </c>
      <c r="AN92" s="147"/>
      <c r="AO92" s="221">
        <v>17</v>
      </c>
      <c r="AP92" s="221">
        <v>2</v>
      </c>
      <c r="AQ92" s="221">
        <v>-10</v>
      </c>
      <c r="AR92" s="221">
        <v>-6</v>
      </c>
      <c r="AS92" s="221">
        <v>-3</v>
      </c>
      <c r="AT92" s="221">
        <v>-3</v>
      </c>
      <c r="AU92" s="221">
        <v>-4</v>
      </c>
      <c r="AV92" s="221">
        <v>-2</v>
      </c>
      <c r="AW92" s="221">
        <v>-9</v>
      </c>
      <c r="AX92" s="56">
        <f t="shared" si="39"/>
        <v>-17</v>
      </c>
      <c r="AY92" s="56">
        <f t="shared" si="39"/>
        <v>-2</v>
      </c>
      <c r="AZ92" s="56">
        <f t="shared" si="39"/>
        <v>10</v>
      </c>
      <c r="BA92" s="56">
        <f t="shared" si="39"/>
        <v>6</v>
      </c>
      <c r="BB92" s="56">
        <f t="shared" si="39"/>
        <v>3</v>
      </c>
      <c r="BC92" s="56">
        <f t="shared" si="30"/>
        <v>3</v>
      </c>
      <c r="BD92" s="56">
        <f t="shared" si="30"/>
        <v>4</v>
      </c>
      <c r="BE92" s="56">
        <f t="shared" si="30"/>
        <v>2</v>
      </c>
      <c r="BF92" s="56">
        <f t="shared" si="30"/>
        <v>9</v>
      </c>
      <c r="BH92">
        <f t="shared" si="40"/>
        <v>0.8</v>
      </c>
      <c r="BI92">
        <f t="shared" si="49"/>
        <v>0.19999999999999996</v>
      </c>
      <c r="BJ92" s="154">
        <v>529377.09866666677</v>
      </c>
      <c r="BK92" s="155">
        <f t="shared" si="41"/>
        <v>529377.09866666677</v>
      </c>
      <c r="BL92" s="156">
        <v>205074.83555555553</v>
      </c>
      <c r="BM92" s="155">
        <f t="shared" si="42"/>
        <v>205074.83555555553</v>
      </c>
      <c r="BN92" s="158">
        <v>189899.86755555557</v>
      </c>
      <c r="BO92" s="155">
        <f t="shared" si="43"/>
        <v>189899.86755555557</v>
      </c>
      <c r="BP92" s="158">
        <v>396838.93333333335</v>
      </c>
      <c r="BQ92" s="155">
        <f t="shared" si="44"/>
        <v>396838.93333333335</v>
      </c>
      <c r="BR92" s="158">
        <v>645617.04355555552</v>
      </c>
      <c r="BS92" s="155">
        <f t="shared" si="45"/>
        <v>645617.04355555552</v>
      </c>
      <c r="BT92" s="194">
        <v>495364.92444444448</v>
      </c>
      <c r="BU92" s="194"/>
      <c r="BV92" s="348">
        <f t="shared" si="50"/>
        <v>495364.92444444448</v>
      </c>
      <c r="BW92" s="195">
        <f t="shared" si="46"/>
        <v>466506.17955555557</v>
      </c>
      <c r="BX92" s="157">
        <f t="shared" si="51"/>
        <v>116626.54488888889</v>
      </c>
      <c r="BY92" s="157">
        <f>IF(E92*$CJ$10*'Year 7 Payments'!$L$20*IF(B92="",1,0.8)&lt;=(BW92-(J92*350)),E92*$CJ$10*'Year 7 Payments'!$L$20*IF(B92="",1,0.8),BW92-(IF(B92="",1,0.8)*J92*350))</f>
        <v>267294.21296355559</v>
      </c>
      <c r="BZ92" s="157">
        <f t="shared" si="52"/>
        <v>66823.553240888898</v>
      </c>
      <c r="CA92" s="157">
        <f t="shared" si="53"/>
        <v>199211.96659199998</v>
      </c>
      <c r="CB92" s="157">
        <f t="shared" si="54"/>
        <v>49802.991647999996</v>
      </c>
      <c r="CC92" s="157">
        <f t="shared" si="55"/>
        <v>796847.86636799993</v>
      </c>
      <c r="CD92" s="201">
        <f t="shared" si="56"/>
        <v>199211.96659199998</v>
      </c>
      <c r="CE92" s="155">
        <f t="shared" si="57"/>
        <v>199211.96659199998</v>
      </c>
    </row>
    <row r="93" spans="1:83" x14ac:dyDescent="0.2">
      <c r="A93" s="147" t="s">
        <v>560</v>
      </c>
      <c r="B93" s="57" t="s">
        <v>533</v>
      </c>
      <c r="C93" s="57" t="s">
        <v>449</v>
      </c>
      <c r="D93" s="148" t="s">
        <v>121</v>
      </c>
      <c r="E93" s="197">
        <v>35201.444444444445</v>
      </c>
      <c r="F93" s="147">
        <f t="shared" si="47"/>
        <v>39318</v>
      </c>
      <c r="G93" s="342">
        <v>414</v>
      </c>
      <c r="H93" s="149">
        <f t="shared" si="31"/>
        <v>547</v>
      </c>
      <c r="I93" s="346">
        <v>420.52755555555547</v>
      </c>
      <c r="J93" s="150">
        <v>67</v>
      </c>
      <c r="K93"/>
      <c r="L93" s="151">
        <v>9271</v>
      </c>
      <c r="M93" s="151">
        <v>10749</v>
      </c>
      <c r="N93" s="151">
        <v>6459</v>
      </c>
      <c r="O93" s="151">
        <v>5051</v>
      </c>
      <c r="P93" s="151">
        <v>3799</v>
      </c>
      <c r="Q93" s="151">
        <v>2428</v>
      </c>
      <c r="R93" s="151">
        <v>1420</v>
      </c>
      <c r="S93" s="151">
        <v>141</v>
      </c>
      <c r="T93" s="151">
        <v>39318</v>
      </c>
      <c r="U93" s="147"/>
      <c r="V93" s="152">
        <f t="shared" si="48"/>
        <v>0.23579531003611578</v>
      </c>
      <c r="W93" s="152">
        <f t="shared" si="32"/>
        <v>0.27338623531207079</v>
      </c>
      <c r="X93" s="152">
        <f t="shared" si="33"/>
        <v>0.16427590416603083</v>
      </c>
      <c r="Y93" s="152">
        <f t="shared" si="34"/>
        <v>0.12846533394374077</v>
      </c>
      <c r="Z93" s="152">
        <f t="shared" si="35"/>
        <v>9.6622412126761273E-2</v>
      </c>
      <c r="AA93" s="152">
        <f t="shared" si="36"/>
        <v>6.1752886718551302E-2</v>
      </c>
      <c r="AB93" s="152">
        <f t="shared" si="37"/>
        <v>3.6115773945775469E-2</v>
      </c>
      <c r="AC93" s="152">
        <f t="shared" si="38"/>
        <v>3.5861437509537618E-3</v>
      </c>
      <c r="AD93" s="152"/>
      <c r="AE93" s="221">
        <v>30</v>
      </c>
      <c r="AF93" s="221">
        <v>134</v>
      </c>
      <c r="AG93" s="221">
        <v>145</v>
      </c>
      <c r="AH93" s="221">
        <v>68</v>
      </c>
      <c r="AI93" s="221">
        <v>108</v>
      </c>
      <c r="AJ93" s="221">
        <v>65</v>
      </c>
      <c r="AK93" s="221">
        <v>17</v>
      </c>
      <c r="AL93" s="221">
        <v>5</v>
      </c>
      <c r="AM93" s="221">
        <v>572</v>
      </c>
      <c r="AN93" s="147"/>
      <c r="AO93" s="221">
        <v>18</v>
      </c>
      <c r="AP93" s="221">
        <v>-1</v>
      </c>
      <c r="AQ93" s="221">
        <v>-8</v>
      </c>
      <c r="AR93" s="221">
        <v>8</v>
      </c>
      <c r="AS93" s="221">
        <v>3</v>
      </c>
      <c r="AT93" s="221">
        <v>2</v>
      </c>
      <c r="AU93" s="221">
        <v>2</v>
      </c>
      <c r="AV93" s="221">
        <v>1</v>
      </c>
      <c r="AW93" s="221">
        <v>25</v>
      </c>
      <c r="AX93" s="56">
        <f t="shared" si="39"/>
        <v>-18</v>
      </c>
      <c r="AY93" s="56">
        <f t="shared" si="39"/>
        <v>1</v>
      </c>
      <c r="AZ93" s="56">
        <f t="shared" si="39"/>
        <v>8</v>
      </c>
      <c r="BA93" s="56">
        <f t="shared" si="39"/>
        <v>-8</v>
      </c>
      <c r="BB93" s="56">
        <f t="shared" si="39"/>
        <v>-3</v>
      </c>
      <c r="BC93" s="56">
        <f t="shared" si="30"/>
        <v>-2</v>
      </c>
      <c r="BD93" s="56">
        <f t="shared" si="30"/>
        <v>-2</v>
      </c>
      <c r="BE93" s="56">
        <f t="shared" si="30"/>
        <v>-1</v>
      </c>
      <c r="BF93" s="56">
        <f t="shared" si="30"/>
        <v>-25</v>
      </c>
      <c r="BH93">
        <f t="shared" si="40"/>
        <v>0.8</v>
      </c>
      <c r="BI93">
        <f t="shared" si="49"/>
        <v>0.19999999999999996</v>
      </c>
      <c r="BJ93" s="154">
        <v>355007.6</v>
      </c>
      <c r="BK93" s="155">
        <f t="shared" si="41"/>
        <v>355007.6</v>
      </c>
      <c r="BL93" s="156">
        <v>551046.74044444447</v>
      </c>
      <c r="BM93" s="155">
        <f t="shared" si="42"/>
        <v>551046.74044444447</v>
      </c>
      <c r="BN93" s="158">
        <v>311915.98844444449</v>
      </c>
      <c r="BO93" s="155">
        <f t="shared" si="43"/>
        <v>311915.98844444449</v>
      </c>
      <c r="BP93" s="158">
        <v>306846.50666666671</v>
      </c>
      <c r="BQ93" s="155">
        <f t="shared" si="44"/>
        <v>306846.50666666671</v>
      </c>
      <c r="BR93" s="158">
        <v>492452.45333333325</v>
      </c>
      <c r="BS93" s="155">
        <f t="shared" si="45"/>
        <v>492452.45333333325</v>
      </c>
      <c r="BT93" s="194">
        <v>608773.97155555559</v>
      </c>
      <c r="BU93" s="194"/>
      <c r="BV93" s="348">
        <f t="shared" si="50"/>
        <v>608773.97155555559</v>
      </c>
      <c r="BW93" s="195">
        <f t="shared" si="46"/>
        <v>705634.41066666669</v>
      </c>
      <c r="BX93" s="157">
        <f t="shared" si="51"/>
        <v>176408.60266666667</v>
      </c>
      <c r="BY93" s="157">
        <f>IF(E93*$CJ$10*'Year 7 Payments'!$L$20*IF(B93="",1,0.8)&lt;=(BW93-(J93*350)),E93*$CJ$10*'Year 7 Payments'!$L$20*IF(B93="",1,0.8),BW93-(IF(B93="",1,0.8)*J93*350))</f>
        <v>172296.70836622221</v>
      </c>
      <c r="BZ93" s="157">
        <f t="shared" si="52"/>
        <v>43074.177091555553</v>
      </c>
      <c r="CA93" s="157">
        <f t="shared" si="53"/>
        <v>533337.70230044448</v>
      </c>
      <c r="CB93" s="157">
        <f t="shared" si="54"/>
        <v>133334.42557511112</v>
      </c>
      <c r="CC93" s="157">
        <f t="shared" si="55"/>
        <v>2133350.8092017779</v>
      </c>
      <c r="CD93" s="201">
        <f t="shared" si="56"/>
        <v>533337.70230044448</v>
      </c>
      <c r="CE93" s="155">
        <f t="shared" si="57"/>
        <v>533337.70230044448</v>
      </c>
    </row>
    <row r="94" spans="1:83" x14ac:dyDescent="0.2">
      <c r="A94" s="147" t="s">
        <v>561</v>
      </c>
      <c r="B94" s="57"/>
      <c r="C94" s="57" t="s">
        <v>464</v>
      </c>
      <c r="D94" s="148" t="s">
        <v>122</v>
      </c>
      <c r="E94" s="197">
        <v>135363.33333333334</v>
      </c>
      <c r="F94" s="147">
        <f t="shared" si="47"/>
        <v>153554</v>
      </c>
      <c r="G94" s="342">
        <v>1406</v>
      </c>
      <c r="H94" s="149">
        <f t="shared" si="31"/>
        <v>888</v>
      </c>
      <c r="I94" s="346">
        <v>412.88</v>
      </c>
      <c r="J94" s="150">
        <v>153</v>
      </c>
      <c r="K94"/>
      <c r="L94" s="151">
        <v>39858</v>
      </c>
      <c r="M94" s="151">
        <v>35814</v>
      </c>
      <c r="N94" s="151">
        <v>29831</v>
      </c>
      <c r="O94" s="151">
        <v>23362</v>
      </c>
      <c r="P94" s="151">
        <v>14780</v>
      </c>
      <c r="Q94" s="151">
        <v>6590</v>
      </c>
      <c r="R94" s="151">
        <v>3058</v>
      </c>
      <c r="S94" s="151">
        <v>261</v>
      </c>
      <c r="T94" s="151">
        <v>153554</v>
      </c>
      <c r="U94" s="147"/>
      <c r="V94" s="152">
        <f t="shared" si="48"/>
        <v>0.25956992328431694</v>
      </c>
      <c r="W94" s="152">
        <f t="shared" si="32"/>
        <v>0.23323391119736378</v>
      </c>
      <c r="X94" s="152">
        <f t="shared" si="33"/>
        <v>0.19427041952668117</v>
      </c>
      <c r="Y94" s="152">
        <f t="shared" si="34"/>
        <v>0.15214191750133504</v>
      </c>
      <c r="Z94" s="152">
        <f t="shared" si="35"/>
        <v>9.6252784036886044E-2</v>
      </c>
      <c r="AA94" s="152">
        <f t="shared" si="36"/>
        <v>4.2916498430519555E-2</v>
      </c>
      <c r="AB94" s="152">
        <f t="shared" si="37"/>
        <v>1.9914818239837453E-2</v>
      </c>
      <c r="AC94" s="152">
        <f t="shared" si="38"/>
        <v>1.6997277830600309E-3</v>
      </c>
      <c r="AD94" s="152"/>
      <c r="AE94" s="221">
        <v>43</v>
      </c>
      <c r="AF94" s="221">
        <v>150</v>
      </c>
      <c r="AG94" s="221">
        <v>147</v>
      </c>
      <c r="AH94" s="221">
        <v>167</v>
      </c>
      <c r="AI94" s="221">
        <v>150</v>
      </c>
      <c r="AJ94" s="221">
        <v>116</v>
      </c>
      <c r="AK94" s="221">
        <v>56</v>
      </c>
      <c r="AL94" s="221">
        <v>4</v>
      </c>
      <c r="AM94" s="221">
        <v>833</v>
      </c>
      <c r="AN94" s="147"/>
      <c r="AO94" s="221">
        <v>-17</v>
      </c>
      <c r="AP94" s="221">
        <v>-17</v>
      </c>
      <c r="AQ94" s="221">
        <v>7</v>
      </c>
      <c r="AR94" s="221">
        <v>-4</v>
      </c>
      <c r="AS94" s="221">
        <v>-3</v>
      </c>
      <c r="AT94" s="221">
        <v>-10</v>
      </c>
      <c r="AU94" s="221">
        <v>-10</v>
      </c>
      <c r="AV94" s="221">
        <v>-1</v>
      </c>
      <c r="AW94" s="221">
        <v>-55</v>
      </c>
      <c r="AX94" s="56">
        <f t="shared" si="39"/>
        <v>17</v>
      </c>
      <c r="AY94" s="56">
        <f t="shared" si="39"/>
        <v>17</v>
      </c>
      <c r="AZ94" s="56">
        <f t="shared" si="39"/>
        <v>-7</v>
      </c>
      <c r="BA94" s="56">
        <f t="shared" si="39"/>
        <v>4</v>
      </c>
      <c r="BB94" s="56">
        <f t="shared" si="39"/>
        <v>3</v>
      </c>
      <c r="BC94" s="56">
        <f t="shared" si="30"/>
        <v>10</v>
      </c>
      <c r="BD94" s="56">
        <f t="shared" si="30"/>
        <v>10</v>
      </c>
      <c r="BE94" s="56">
        <f t="shared" si="30"/>
        <v>1</v>
      </c>
      <c r="BF94" s="56">
        <f t="shared" si="30"/>
        <v>55</v>
      </c>
      <c r="BH94">
        <f t="shared" si="40"/>
        <v>1</v>
      </c>
      <c r="BI94">
        <f t="shared" si="49"/>
        <v>0</v>
      </c>
      <c r="BJ94" s="154">
        <v>1086291.2733333332</v>
      </c>
      <c r="BK94" s="155">
        <f t="shared" si="41"/>
        <v>1086291.2733333332</v>
      </c>
      <c r="BL94" s="156">
        <v>1121695.2677777777</v>
      </c>
      <c r="BM94" s="155">
        <f t="shared" si="42"/>
        <v>1121695.2677777777</v>
      </c>
      <c r="BN94" s="158">
        <v>863892.41777777765</v>
      </c>
      <c r="BO94" s="155">
        <f t="shared" si="43"/>
        <v>863892.41777777765</v>
      </c>
      <c r="BP94" s="158">
        <v>1111384.5333333332</v>
      </c>
      <c r="BQ94" s="155">
        <f t="shared" si="44"/>
        <v>1111384.5333333332</v>
      </c>
      <c r="BR94" s="158">
        <v>1023993.8066666666</v>
      </c>
      <c r="BS94" s="155">
        <f t="shared" si="45"/>
        <v>1023993.8066666666</v>
      </c>
      <c r="BT94" s="194">
        <v>927595.68222222221</v>
      </c>
      <c r="BU94" s="194"/>
      <c r="BV94" s="348">
        <f t="shared" si="50"/>
        <v>927595.68222222221</v>
      </c>
      <c r="BW94" s="195">
        <f t="shared" si="46"/>
        <v>1513260.0933333333</v>
      </c>
      <c r="BX94" s="157" t="str">
        <f t="shared" si="51"/>
        <v>0</v>
      </c>
      <c r="BY94" s="157">
        <f>IF(E94*$CJ$10*'Year 7 Payments'!$L$20*IF(B94="",1,0.8)&lt;=(BW94-(J94*350)),E94*$CJ$10*'Year 7 Payments'!$L$20*IF(B94="",1,0.8),BW94-(IF(B94="",1,0.8)*J94*350))</f>
        <v>828185.36053333338</v>
      </c>
      <c r="BZ94" s="157" t="str">
        <f t="shared" si="52"/>
        <v>0</v>
      </c>
      <c r="CA94" s="157">
        <f t="shared" si="53"/>
        <v>685074.73279999988</v>
      </c>
      <c r="CB94" s="157">
        <f t="shared" si="54"/>
        <v>0</v>
      </c>
      <c r="CC94" s="157">
        <f t="shared" si="55"/>
        <v>2740298.9311999995</v>
      </c>
      <c r="CD94" s="201">
        <f t="shared" si="56"/>
        <v>0</v>
      </c>
      <c r="CE94" s="155">
        <f t="shared" si="57"/>
        <v>685074.73279999988</v>
      </c>
    </row>
    <row r="95" spans="1:83" x14ac:dyDescent="0.2">
      <c r="A95" s="147" t="s">
        <v>562</v>
      </c>
      <c r="B95" s="57" t="s">
        <v>510</v>
      </c>
      <c r="C95" s="57" t="s">
        <v>476</v>
      </c>
      <c r="D95" s="148" t="s">
        <v>123</v>
      </c>
      <c r="E95" s="197">
        <v>42798.333333333336</v>
      </c>
      <c r="F95" s="147">
        <f t="shared" si="47"/>
        <v>50383</v>
      </c>
      <c r="G95" s="342">
        <v>440</v>
      </c>
      <c r="H95" s="149">
        <f t="shared" si="31"/>
        <v>690</v>
      </c>
      <c r="I95" s="346">
        <v>481.36222222222204</v>
      </c>
      <c r="J95" s="150">
        <v>3</v>
      </c>
      <c r="K95"/>
      <c r="L95" s="151">
        <v>17745</v>
      </c>
      <c r="M95" s="151">
        <v>11040</v>
      </c>
      <c r="N95" s="151">
        <v>8295</v>
      </c>
      <c r="O95" s="151">
        <v>5775</v>
      </c>
      <c r="P95" s="151">
        <v>4134</v>
      </c>
      <c r="Q95" s="151">
        <v>2177</v>
      </c>
      <c r="R95" s="151">
        <v>1126</v>
      </c>
      <c r="S95" s="151">
        <v>91</v>
      </c>
      <c r="T95" s="151">
        <v>50383</v>
      </c>
      <c r="U95" s="147"/>
      <c r="V95" s="152">
        <f t="shared" si="48"/>
        <v>0.35220213167139708</v>
      </c>
      <c r="W95" s="152">
        <f t="shared" si="32"/>
        <v>0.2191215290871921</v>
      </c>
      <c r="X95" s="152">
        <f t="shared" si="33"/>
        <v>0.16463886628426255</v>
      </c>
      <c r="Y95" s="152">
        <f t="shared" si="34"/>
        <v>0.11462199551436</v>
      </c>
      <c r="Z95" s="152">
        <f t="shared" si="35"/>
        <v>8.2051485620149647E-2</v>
      </c>
      <c r="AA95" s="152">
        <f t="shared" si="36"/>
        <v>4.3209018915110253E-2</v>
      </c>
      <c r="AB95" s="152">
        <f t="shared" si="37"/>
        <v>2.2348808129726297E-2</v>
      </c>
      <c r="AC95" s="152">
        <f t="shared" si="38"/>
        <v>1.8061647778020364E-3</v>
      </c>
      <c r="AD95" s="152"/>
      <c r="AE95" s="221">
        <v>86</v>
      </c>
      <c r="AF95" s="221">
        <v>122</v>
      </c>
      <c r="AG95" s="221">
        <v>105</v>
      </c>
      <c r="AH95" s="221">
        <v>105</v>
      </c>
      <c r="AI95" s="221">
        <v>73</v>
      </c>
      <c r="AJ95" s="221">
        <v>34</v>
      </c>
      <c r="AK95" s="221">
        <v>21</v>
      </c>
      <c r="AL95" s="221">
        <v>0</v>
      </c>
      <c r="AM95" s="221">
        <v>546</v>
      </c>
      <c r="AN95" s="147"/>
      <c r="AO95" s="221">
        <v>-47</v>
      </c>
      <c r="AP95" s="221">
        <v>-28</v>
      </c>
      <c r="AQ95" s="221">
        <v>-28</v>
      </c>
      <c r="AR95" s="221">
        <v>-19</v>
      </c>
      <c r="AS95" s="221">
        <v>-13</v>
      </c>
      <c r="AT95" s="221">
        <v>2</v>
      </c>
      <c r="AU95" s="221">
        <v>-10</v>
      </c>
      <c r="AV95" s="221">
        <v>-1</v>
      </c>
      <c r="AW95" s="221">
        <v>-144</v>
      </c>
      <c r="AX95" s="56">
        <f t="shared" si="39"/>
        <v>47</v>
      </c>
      <c r="AY95" s="56">
        <f t="shared" si="39"/>
        <v>28</v>
      </c>
      <c r="AZ95" s="56">
        <f t="shared" si="39"/>
        <v>28</v>
      </c>
      <c r="BA95" s="56">
        <f t="shared" si="39"/>
        <v>19</v>
      </c>
      <c r="BB95" s="56">
        <f t="shared" si="39"/>
        <v>13</v>
      </c>
      <c r="BC95" s="56">
        <f t="shared" si="30"/>
        <v>-2</v>
      </c>
      <c r="BD95" s="56">
        <f t="shared" si="30"/>
        <v>10</v>
      </c>
      <c r="BE95" s="56">
        <f t="shared" si="30"/>
        <v>1</v>
      </c>
      <c r="BF95" s="56">
        <f t="shared" si="30"/>
        <v>144</v>
      </c>
      <c r="BH95">
        <f t="shared" si="40"/>
        <v>0.8</v>
      </c>
      <c r="BI95">
        <f t="shared" si="49"/>
        <v>0.19999999999999996</v>
      </c>
      <c r="BJ95" s="154">
        <v>381233.38666666672</v>
      </c>
      <c r="BK95" s="155">
        <f t="shared" si="41"/>
        <v>381233.38666666672</v>
      </c>
      <c r="BL95" s="156">
        <v>301205.25599999999</v>
      </c>
      <c r="BM95" s="155">
        <f t="shared" si="42"/>
        <v>301205.25599999999</v>
      </c>
      <c r="BN95" s="158">
        <v>365405.71644444455</v>
      </c>
      <c r="BO95" s="155">
        <f t="shared" si="43"/>
        <v>365405.71644444455</v>
      </c>
      <c r="BP95" s="158">
        <v>560397.86666666658</v>
      </c>
      <c r="BQ95" s="155">
        <f t="shared" si="44"/>
        <v>560397.86666666658</v>
      </c>
      <c r="BR95" s="158">
        <v>309047.34577777784</v>
      </c>
      <c r="BS95" s="155">
        <f t="shared" si="45"/>
        <v>309047.34577777784</v>
      </c>
      <c r="BT95" s="194">
        <v>258927.23733333332</v>
      </c>
      <c r="BU95" s="194"/>
      <c r="BV95" s="348">
        <f t="shared" si="50"/>
        <v>258927.23733333332</v>
      </c>
      <c r="BW95" s="195">
        <f t="shared" si="46"/>
        <v>799338.30044444453</v>
      </c>
      <c r="BX95" s="157">
        <f t="shared" si="51"/>
        <v>199834.57511111113</v>
      </c>
      <c r="BY95" s="157">
        <f>IF(E95*$CJ$10*'Year 7 Payments'!$L$20*IF(B95="",1,0.8)&lt;=(BW95-(J95*350)),E95*$CJ$10*'Year 7 Payments'!$L$20*IF(B95="",1,0.8),BW95-(IF(B95="",1,0.8)*J95*350))</f>
        <v>209480.37994666668</v>
      </c>
      <c r="BZ95" s="157">
        <f t="shared" si="52"/>
        <v>52370.094986666671</v>
      </c>
      <c r="CA95" s="157">
        <f t="shared" si="53"/>
        <v>589857.92049777787</v>
      </c>
      <c r="CB95" s="157">
        <f t="shared" si="54"/>
        <v>147464.48012444447</v>
      </c>
      <c r="CC95" s="157">
        <f t="shared" si="55"/>
        <v>2359431.6819911115</v>
      </c>
      <c r="CD95" s="201">
        <f t="shared" si="56"/>
        <v>589857.92049777787</v>
      </c>
      <c r="CE95" s="155">
        <f t="shared" si="57"/>
        <v>589857.92049777787</v>
      </c>
    </row>
    <row r="96" spans="1:83" x14ac:dyDescent="0.2">
      <c r="A96" s="147" t="s">
        <v>563</v>
      </c>
      <c r="B96" s="57" t="s">
        <v>564</v>
      </c>
      <c r="C96" s="57" t="s">
        <v>443</v>
      </c>
      <c r="D96" s="148" t="s">
        <v>124</v>
      </c>
      <c r="E96" s="197">
        <v>43807.555555555555</v>
      </c>
      <c r="F96" s="147">
        <f t="shared" si="47"/>
        <v>48487</v>
      </c>
      <c r="G96" s="342">
        <v>349</v>
      </c>
      <c r="H96" s="149">
        <f t="shared" si="31"/>
        <v>251</v>
      </c>
      <c r="I96" s="346">
        <v>38.214222222222219</v>
      </c>
      <c r="J96" s="150">
        <v>34</v>
      </c>
      <c r="K96"/>
      <c r="L96" s="151">
        <v>8386</v>
      </c>
      <c r="M96" s="151">
        <v>13020</v>
      </c>
      <c r="N96" s="151">
        <v>10752</v>
      </c>
      <c r="O96" s="151">
        <v>8620</v>
      </c>
      <c r="P96" s="151">
        <v>4499</v>
      </c>
      <c r="Q96" s="151">
        <v>2020</v>
      </c>
      <c r="R96" s="151">
        <v>1103</v>
      </c>
      <c r="S96" s="151">
        <v>87</v>
      </c>
      <c r="T96" s="151">
        <v>48487</v>
      </c>
      <c r="U96" s="147"/>
      <c r="V96" s="152">
        <f t="shared" si="48"/>
        <v>0.17295357518510115</v>
      </c>
      <c r="W96" s="152">
        <f t="shared" si="32"/>
        <v>0.26852558417720213</v>
      </c>
      <c r="X96" s="152">
        <f t="shared" si="33"/>
        <v>0.22175015983665725</v>
      </c>
      <c r="Y96" s="152">
        <f t="shared" si="34"/>
        <v>0.17777961102976056</v>
      </c>
      <c r="Z96" s="152">
        <f t="shared" si="35"/>
        <v>9.278775754325902E-2</v>
      </c>
      <c r="AA96" s="152">
        <f t="shared" si="36"/>
        <v>4.1660651308598182E-2</v>
      </c>
      <c r="AB96" s="152">
        <f t="shared" si="37"/>
        <v>2.2748365541279104E-2</v>
      </c>
      <c r="AC96" s="152">
        <f t="shared" si="38"/>
        <v>1.7942953781425949E-3</v>
      </c>
      <c r="AD96" s="152"/>
      <c r="AE96" s="221">
        <v>73</v>
      </c>
      <c r="AF96" s="221">
        <v>60</v>
      </c>
      <c r="AG96" s="221">
        <v>46</v>
      </c>
      <c r="AH96" s="221">
        <v>23</v>
      </c>
      <c r="AI96" s="221">
        <v>19</v>
      </c>
      <c r="AJ96" s="221">
        <v>-4</v>
      </c>
      <c r="AK96" s="221">
        <v>7</v>
      </c>
      <c r="AL96" s="221">
        <v>-1</v>
      </c>
      <c r="AM96" s="221">
        <v>223</v>
      </c>
      <c r="AN96" s="147"/>
      <c r="AO96" s="221">
        <v>-4</v>
      </c>
      <c r="AP96" s="221">
        <v>-14</v>
      </c>
      <c r="AQ96" s="221">
        <v>11</v>
      </c>
      <c r="AR96" s="221">
        <v>-12</v>
      </c>
      <c r="AS96" s="221">
        <v>-7</v>
      </c>
      <c r="AT96" s="221">
        <v>-4</v>
      </c>
      <c r="AU96" s="221">
        <v>3</v>
      </c>
      <c r="AV96" s="221">
        <v>-1</v>
      </c>
      <c r="AW96" s="221">
        <v>-28</v>
      </c>
      <c r="AX96" s="56">
        <f t="shared" si="39"/>
        <v>4</v>
      </c>
      <c r="AY96" s="56">
        <f t="shared" si="39"/>
        <v>14</v>
      </c>
      <c r="AZ96" s="56">
        <f t="shared" si="39"/>
        <v>-11</v>
      </c>
      <c r="BA96" s="56">
        <f t="shared" si="39"/>
        <v>12</v>
      </c>
      <c r="BB96" s="56">
        <f t="shared" si="39"/>
        <v>7</v>
      </c>
      <c r="BC96" s="56">
        <f t="shared" si="30"/>
        <v>4</v>
      </c>
      <c r="BD96" s="56">
        <f t="shared" si="30"/>
        <v>-3</v>
      </c>
      <c r="BE96" s="56">
        <f t="shared" si="30"/>
        <v>1</v>
      </c>
      <c r="BF96" s="56">
        <f t="shared" si="30"/>
        <v>28</v>
      </c>
      <c r="BH96">
        <f t="shared" si="40"/>
        <v>0.8</v>
      </c>
      <c r="BI96">
        <f t="shared" si="49"/>
        <v>0.19999999999999996</v>
      </c>
      <c r="BJ96" s="154">
        <v>187290.49600000004</v>
      </c>
      <c r="BK96" s="155">
        <f t="shared" si="41"/>
        <v>187290.49600000004</v>
      </c>
      <c r="BL96" s="156">
        <v>190084.86044444444</v>
      </c>
      <c r="BM96" s="155">
        <f t="shared" si="42"/>
        <v>190084.86044444444</v>
      </c>
      <c r="BN96" s="158">
        <v>179300.7244444445</v>
      </c>
      <c r="BO96" s="155">
        <f t="shared" si="43"/>
        <v>179300.7244444445</v>
      </c>
      <c r="BP96" s="158">
        <v>340035.2</v>
      </c>
      <c r="BQ96" s="155">
        <f t="shared" si="44"/>
        <v>340035.2</v>
      </c>
      <c r="BR96" s="158">
        <v>167450.14933333333</v>
      </c>
      <c r="BS96" s="155">
        <f t="shared" si="45"/>
        <v>167450.14933333333</v>
      </c>
      <c r="BT96" s="194">
        <v>100783.63555555556</v>
      </c>
      <c r="BU96" s="194"/>
      <c r="BV96" s="348">
        <f t="shared" si="50"/>
        <v>100783.63555555556</v>
      </c>
      <c r="BW96" s="195">
        <f t="shared" si="46"/>
        <v>270700.86755555554</v>
      </c>
      <c r="BX96" s="157">
        <f t="shared" si="51"/>
        <v>67675.216888888885</v>
      </c>
      <c r="BY96" s="157">
        <f>IF(E96*$CJ$10*'Year 7 Payments'!$L$20*IF(B96="",1,0.8)&lt;=(BW96-(J96*350)),E96*$CJ$10*'Year 7 Payments'!$L$20*IF(B96="",1,0.8),BW96-(IF(B96="",1,0.8)*J96*350))</f>
        <v>214420.11096177777</v>
      </c>
      <c r="BZ96" s="157">
        <f t="shared" si="52"/>
        <v>53605.027740444442</v>
      </c>
      <c r="CA96" s="157">
        <f t="shared" si="53"/>
        <v>56280.756593777769</v>
      </c>
      <c r="CB96" s="157">
        <f t="shared" si="54"/>
        <v>14070.189148444442</v>
      </c>
      <c r="CC96" s="157">
        <f t="shared" si="55"/>
        <v>225123.02637511108</v>
      </c>
      <c r="CD96" s="201">
        <f t="shared" si="56"/>
        <v>56280.756593777769</v>
      </c>
      <c r="CE96" s="155">
        <f t="shared" si="57"/>
        <v>56280.756593777769</v>
      </c>
    </row>
    <row r="97" spans="1:83" x14ac:dyDescent="0.2">
      <c r="A97" s="147" t="s">
        <v>565</v>
      </c>
      <c r="B97" s="57" t="s">
        <v>469</v>
      </c>
      <c r="C97" s="57" t="s">
        <v>443</v>
      </c>
      <c r="D97" s="148" t="s">
        <v>125</v>
      </c>
      <c r="E97" s="197">
        <v>51303.444444444453</v>
      </c>
      <c r="F97" s="147">
        <f t="shared" si="47"/>
        <v>54416</v>
      </c>
      <c r="G97" s="342">
        <v>322</v>
      </c>
      <c r="H97" s="149">
        <f t="shared" si="31"/>
        <v>404</v>
      </c>
      <c r="I97" s="346">
        <v>177.45288888888882</v>
      </c>
      <c r="J97" s="150">
        <v>104</v>
      </c>
      <c r="K97"/>
      <c r="L97" s="151">
        <v>4292</v>
      </c>
      <c r="M97" s="151">
        <v>11693</v>
      </c>
      <c r="N97" s="151">
        <v>17726</v>
      </c>
      <c r="O97" s="151">
        <v>9664</v>
      </c>
      <c r="P97" s="151">
        <v>7152</v>
      </c>
      <c r="Q97" s="151">
        <v>2817</v>
      </c>
      <c r="R97" s="151">
        <v>1047</v>
      </c>
      <c r="S97" s="151">
        <v>25</v>
      </c>
      <c r="T97" s="151">
        <v>54416</v>
      </c>
      <c r="U97" s="147"/>
      <c r="V97" s="152">
        <f t="shared" si="48"/>
        <v>7.8873860629226702E-2</v>
      </c>
      <c r="W97" s="152">
        <f t="shared" si="32"/>
        <v>0.21488165245516025</v>
      </c>
      <c r="X97" s="152">
        <f t="shared" si="33"/>
        <v>0.32574977947662453</v>
      </c>
      <c r="Y97" s="152">
        <f t="shared" si="34"/>
        <v>0.17759482505145546</v>
      </c>
      <c r="Z97" s="152">
        <f t="shared" si="35"/>
        <v>0.1314319317847692</v>
      </c>
      <c r="AA97" s="152">
        <f t="shared" si="36"/>
        <v>5.1767862393413702E-2</v>
      </c>
      <c r="AB97" s="152">
        <f t="shared" si="37"/>
        <v>1.9240664510438106E-2</v>
      </c>
      <c r="AC97" s="152">
        <f t="shared" si="38"/>
        <v>4.5942369891208466E-4</v>
      </c>
      <c r="AD97" s="152"/>
      <c r="AE97" s="221">
        <v>8</v>
      </c>
      <c r="AF97" s="221">
        <v>170</v>
      </c>
      <c r="AG97" s="221">
        <v>103</v>
      </c>
      <c r="AH97" s="221">
        <v>62</v>
      </c>
      <c r="AI97" s="221">
        <v>43</v>
      </c>
      <c r="AJ97" s="221">
        <v>18</v>
      </c>
      <c r="AK97" s="221">
        <v>10</v>
      </c>
      <c r="AL97" s="221">
        <v>1</v>
      </c>
      <c r="AM97" s="221">
        <v>415</v>
      </c>
      <c r="AN97" s="147"/>
      <c r="AO97" s="221">
        <v>9</v>
      </c>
      <c r="AP97" s="221">
        <v>-17</v>
      </c>
      <c r="AQ97" s="221">
        <v>33</v>
      </c>
      <c r="AR97" s="221">
        <v>-8</v>
      </c>
      <c r="AS97" s="221">
        <v>-2</v>
      </c>
      <c r="AT97" s="221">
        <v>-3</v>
      </c>
      <c r="AU97" s="221">
        <v>-1</v>
      </c>
      <c r="AV97" s="221">
        <v>0</v>
      </c>
      <c r="AW97" s="221">
        <v>11</v>
      </c>
      <c r="AX97" s="56">
        <f t="shared" si="39"/>
        <v>-9</v>
      </c>
      <c r="AY97" s="56">
        <f t="shared" si="39"/>
        <v>17</v>
      </c>
      <c r="AZ97" s="56">
        <f t="shared" si="39"/>
        <v>-33</v>
      </c>
      <c r="BA97" s="56">
        <f t="shared" si="39"/>
        <v>8</v>
      </c>
      <c r="BB97" s="56">
        <f t="shared" si="39"/>
        <v>2</v>
      </c>
      <c r="BC97" s="56">
        <f t="shared" si="30"/>
        <v>3</v>
      </c>
      <c r="BD97" s="56">
        <f t="shared" si="30"/>
        <v>1</v>
      </c>
      <c r="BE97" s="56">
        <f t="shared" si="30"/>
        <v>0</v>
      </c>
      <c r="BF97" s="56">
        <f t="shared" si="30"/>
        <v>-11</v>
      </c>
      <c r="BH97">
        <f t="shared" si="40"/>
        <v>0.8</v>
      </c>
      <c r="BI97">
        <f t="shared" si="49"/>
        <v>0.19999999999999996</v>
      </c>
      <c r="BJ97" s="154">
        <v>443535.62133333331</v>
      </c>
      <c r="BK97" s="155">
        <f t="shared" si="41"/>
        <v>443535.62133333331</v>
      </c>
      <c r="BL97" s="156">
        <v>532318.10577777773</v>
      </c>
      <c r="BM97" s="155">
        <f t="shared" si="42"/>
        <v>532318.10577777773</v>
      </c>
      <c r="BN97" s="158">
        <v>438639.09244444448</v>
      </c>
      <c r="BO97" s="155">
        <f t="shared" si="43"/>
        <v>438639.09244444448</v>
      </c>
      <c r="BP97" s="158">
        <v>393104.85333333327</v>
      </c>
      <c r="BQ97" s="155">
        <f t="shared" si="44"/>
        <v>393104.85333333327</v>
      </c>
      <c r="BR97" s="158">
        <v>443903.16800000001</v>
      </c>
      <c r="BS97" s="155">
        <f t="shared" si="45"/>
        <v>443903.16800000001</v>
      </c>
      <c r="BT97" s="194">
        <v>420293.40266666678</v>
      </c>
      <c r="BU97" s="194"/>
      <c r="BV97" s="348">
        <f t="shared" si="50"/>
        <v>420293.40266666678</v>
      </c>
      <c r="BW97" s="195">
        <f t="shared" si="46"/>
        <v>497369.30133333331</v>
      </c>
      <c r="BX97" s="157">
        <f t="shared" si="51"/>
        <v>124342.32533333333</v>
      </c>
      <c r="BY97" s="157">
        <f>IF(E97*$CJ$10*'Year 7 Payments'!$L$20*IF(B97="",1,0.8)&lt;=(BW97-(J97*350)),E97*$CJ$10*'Year 7 Payments'!$L$20*IF(B97="",1,0.8),BW97-(IF(B97="",1,0.8)*J97*350))</f>
        <v>251109.42875022229</v>
      </c>
      <c r="BZ97" s="157">
        <f t="shared" si="52"/>
        <v>62777.357187555572</v>
      </c>
      <c r="CA97" s="157">
        <f t="shared" si="53"/>
        <v>246259.87258311102</v>
      </c>
      <c r="CB97" s="157">
        <f t="shared" si="54"/>
        <v>61564.968145777755</v>
      </c>
      <c r="CC97" s="157">
        <f t="shared" si="55"/>
        <v>985039.49033244408</v>
      </c>
      <c r="CD97" s="201">
        <f t="shared" si="56"/>
        <v>246259.87258311102</v>
      </c>
      <c r="CE97" s="155">
        <f t="shared" si="57"/>
        <v>246259.87258311102</v>
      </c>
    </row>
    <row r="98" spans="1:83" x14ac:dyDescent="0.2">
      <c r="A98" s="147" t="s">
        <v>566</v>
      </c>
      <c r="B98" s="57" t="s">
        <v>445</v>
      </c>
      <c r="C98" s="57" t="s">
        <v>446</v>
      </c>
      <c r="D98" s="148" t="s">
        <v>126</v>
      </c>
      <c r="E98" s="197">
        <v>23447.333333333332</v>
      </c>
      <c r="F98" s="147">
        <f t="shared" si="47"/>
        <v>26132</v>
      </c>
      <c r="G98" s="342">
        <v>364</v>
      </c>
      <c r="H98" s="149">
        <f t="shared" si="31"/>
        <v>294</v>
      </c>
      <c r="I98" s="346">
        <v>167.9884444444445</v>
      </c>
      <c r="J98" s="150">
        <v>41</v>
      </c>
      <c r="K98"/>
      <c r="L98" s="151">
        <v>4287</v>
      </c>
      <c r="M98" s="151">
        <v>7093</v>
      </c>
      <c r="N98" s="151">
        <v>5342</v>
      </c>
      <c r="O98" s="151">
        <v>4654</v>
      </c>
      <c r="P98" s="151">
        <v>3277</v>
      </c>
      <c r="Q98" s="151">
        <v>1037</v>
      </c>
      <c r="R98" s="151">
        <v>395</v>
      </c>
      <c r="S98" s="151">
        <v>47</v>
      </c>
      <c r="T98" s="151">
        <v>26132</v>
      </c>
      <c r="U98" s="147"/>
      <c r="V98" s="152">
        <f t="shared" si="48"/>
        <v>0.16405173733353742</v>
      </c>
      <c r="W98" s="152">
        <f t="shared" si="32"/>
        <v>0.27142966477881525</v>
      </c>
      <c r="X98" s="152">
        <f t="shared" si="33"/>
        <v>0.204423695086484</v>
      </c>
      <c r="Y98" s="152">
        <f t="shared" si="34"/>
        <v>0.17809582121536813</v>
      </c>
      <c r="Z98" s="152">
        <f t="shared" si="35"/>
        <v>0.12540180621460278</v>
      </c>
      <c r="AA98" s="152">
        <f t="shared" si="36"/>
        <v>3.9683147099341801E-2</v>
      </c>
      <c r="AB98" s="152">
        <f t="shared" si="37"/>
        <v>1.5115567120771467E-2</v>
      </c>
      <c r="AC98" s="152">
        <f t="shared" si="38"/>
        <v>1.7985611510791368E-3</v>
      </c>
      <c r="AD98" s="152"/>
      <c r="AE98" s="221">
        <v>41</v>
      </c>
      <c r="AF98" s="221">
        <v>52</v>
      </c>
      <c r="AG98" s="221">
        <v>21</v>
      </c>
      <c r="AH98" s="221">
        <v>21</v>
      </c>
      <c r="AI98" s="221">
        <v>45</v>
      </c>
      <c r="AJ98" s="221">
        <v>9</v>
      </c>
      <c r="AK98" s="221">
        <v>2</v>
      </c>
      <c r="AL98" s="221">
        <v>1</v>
      </c>
      <c r="AM98" s="221">
        <v>192</v>
      </c>
      <c r="AN98" s="147"/>
      <c r="AO98" s="221">
        <v>-41</v>
      </c>
      <c r="AP98" s="221">
        <v>-17</v>
      </c>
      <c r="AQ98" s="221">
        <v>-31</v>
      </c>
      <c r="AR98" s="221">
        <v>-8</v>
      </c>
      <c r="AS98" s="221">
        <v>-12</v>
      </c>
      <c r="AT98" s="221">
        <v>7</v>
      </c>
      <c r="AU98" s="221">
        <v>1</v>
      </c>
      <c r="AV98" s="221">
        <v>-1</v>
      </c>
      <c r="AW98" s="221">
        <v>-102</v>
      </c>
      <c r="AX98" s="56">
        <f t="shared" si="39"/>
        <v>41</v>
      </c>
      <c r="AY98" s="56">
        <f t="shared" si="39"/>
        <v>17</v>
      </c>
      <c r="AZ98" s="56">
        <f t="shared" si="39"/>
        <v>31</v>
      </c>
      <c r="BA98" s="56">
        <f t="shared" si="39"/>
        <v>8</v>
      </c>
      <c r="BB98" s="56">
        <f t="shared" si="39"/>
        <v>12</v>
      </c>
      <c r="BC98" s="56">
        <f t="shared" si="30"/>
        <v>-7</v>
      </c>
      <c r="BD98" s="56">
        <f t="shared" si="30"/>
        <v>-1</v>
      </c>
      <c r="BE98" s="56">
        <f t="shared" si="30"/>
        <v>1</v>
      </c>
      <c r="BF98" s="56">
        <f t="shared" si="30"/>
        <v>102</v>
      </c>
      <c r="BH98">
        <f t="shared" si="40"/>
        <v>0.8</v>
      </c>
      <c r="BI98">
        <f t="shared" si="49"/>
        <v>0.19999999999999996</v>
      </c>
      <c r="BJ98" s="154">
        <v>70489.797333333336</v>
      </c>
      <c r="BK98" s="155">
        <f t="shared" si="41"/>
        <v>70489.797333333336</v>
      </c>
      <c r="BL98" s="156">
        <v>182174.58755555551</v>
      </c>
      <c r="BM98" s="155">
        <f t="shared" si="42"/>
        <v>182174.58755555551</v>
      </c>
      <c r="BN98" s="158">
        <v>79092.542222222241</v>
      </c>
      <c r="BO98" s="155">
        <f t="shared" si="43"/>
        <v>79092.542222222241</v>
      </c>
      <c r="BP98" s="158">
        <v>265530.66666666669</v>
      </c>
      <c r="BQ98" s="155">
        <f t="shared" si="44"/>
        <v>265530.66666666669</v>
      </c>
      <c r="BR98" s="158">
        <v>119463.55733333336</v>
      </c>
      <c r="BS98" s="155">
        <f t="shared" si="45"/>
        <v>119463.55733333336</v>
      </c>
      <c r="BT98" s="194">
        <v>270364.47822222224</v>
      </c>
      <c r="BU98" s="194"/>
      <c r="BV98" s="348">
        <f t="shared" si="50"/>
        <v>270364.47822222224</v>
      </c>
      <c r="BW98" s="195">
        <f t="shared" si="46"/>
        <v>331803.85422222223</v>
      </c>
      <c r="BX98" s="157">
        <f t="shared" si="51"/>
        <v>82950.963555555558</v>
      </c>
      <c r="BY98" s="157">
        <f>IF(E98*$CJ$10*'Year 7 Payments'!$L$20*IF(B98="",1,0.8)&lt;=(BW98-(J98*350)),E98*$CJ$10*'Year 7 Payments'!$L$20*IF(B98="",1,0.8),BW98-(IF(B98="",1,0.8)*J98*350))</f>
        <v>114765.13015466667</v>
      </c>
      <c r="BZ98" s="157">
        <f t="shared" si="52"/>
        <v>28691.282538666666</v>
      </c>
      <c r="CA98" s="157">
        <f t="shared" si="53"/>
        <v>217038.72406755557</v>
      </c>
      <c r="CB98" s="157">
        <f t="shared" si="54"/>
        <v>54259.681016888891</v>
      </c>
      <c r="CC98" s="157">
        <f t="shared" si="55"/>
        <v>868154.89627022226</v>
      </c>
      <c r="CD98" s="201">
        <f t="shared" si="56"/>
        <v>217038.72406755557</v>
      </c>
      <c r="CE98" s="155">
        <f t="shared" si="57"/>
        <v>217038.72406755557</v>
      </c>
    </row>
    <row r="99" spans="1:83" x14ac:dyDescent="0.2">
      <c r="A99" s="147" t="s">
        <v>567</v>
      </c>
      <c r="B99" s="57" t="s">
        <v>568</v>
      </c>
      <c r="C99" s="57" t="s">
        <v>443</v>
      </c>
      <c r="D99" s="148" t="s">
        <v>127</v>
      </c>
      <c r="E99" s="197">
        <v>71949.888888888891</v>
      </c>
      <c r="F99" s="147">
        <f t="shared" si="47"/>
        <v>56997</v>
      </c>
      <c r="G99" s="342">
        <v>496</v>
      </c>
      <c r="H99" s="149">
        <f t="shared" si="31"/>
        <v>330</v>
      </c>
      <c r="I99" s="346">
        <v>128.75599999999997</v>
      </c>
      <c r="J99" s="150">
        <v>40</v>
      </c>
      <c r="K99"/>
      <c r="L99" s="151">
        <v>384</v>
      </c>
      <c r="M99" s="151">
        <v>1770</v>
      </c>
      <c r="N99" s="151">
        <v>7584</v>
      </c>
      <c r="O99" s="151">
        <v>13376</v>
      </c>
      <c r="P99" s="151">
        <v>10896</v>
      </c>
      <c r="Q99" s="151">
        <v>7768</v>
      </c>
      <c r="R99" s="151">
        <v>11165</v>
      </c>
      <c r="S99" s="151">
        <v>4054</v>
      </c>
      <c r="T99" s="151">
        <v>56997</v>
      </c>
      <c r="U99" s="147"/>
      <c r="V99" s="152">
        <f t="shared" si="48"/>
        <v>6.7371966945628716E-3</v>
      </c>
      <c r="W99" s="152">
        <f t="shared" si="32"/>
        <v>3.1054266014000739E-2</v>
      </c>
      <c r="X99" s="152">
        <f t="shared" si="33"/>
        <v>0.13305963471761673</v>
      </c>
      <c r="Y99" s="152">
        <f t="shared" si="34"/>
        <v>0.23467901819394002</v>
      </c>
      <c r="Z99" s="152">
        <f t="shared" si="35"/>
        <v>0.1911679562082215</v>
      </c>
      <c r="AA99" s="152">
        <f t="shared" si="36"/>
        <v>0.13628787480042809</v>
      </c>
      <c r="AB99" s="152">
        <f t="shared" si="37"/>
        <v>0.19588750285102724</v>
      </c>
      <c r="AC99" s="152">
        <f t="shared" si="38"/>
        <v>7.1126550520202822E-2</v>
      </c>
      <c r="AD99" s="152"/>
      <c r="AE99" s="221">
        <v>9</v>
      </c>
      <c r="AF99" s="221">
        <v>16</v>
      </c>
      <c r="AG99" s="221">
        <v>114</v>
      </c>
      <c r="AH99" s="221">
        <v>108</v>
      </c>
      <c r="AI99" s="221">
        <v>9</v>
      </c>
      <c r="AJ99" s="221">
        <v>-45</v>
      </c>
      <c r="AK99" s="221">
        <v>39</v>
      </c>
      <c r="AL99" s="221">
        <v>99</v>
      </c>
      <c r="AM99" s="221">
        <v>349</v>
      </c>
      <c r="AN99" s="147"/>
      <c r="AO99" s="221">
        <v>1</v>
      </c>
      <c r="AP99" s="221">
        <v>4</v>
      </c>
      <c r="AQ99" s="221">
        <v>15</v>
      </c>
      <c r="AR99" s="221">
        <v>0</v>
      </c>
      <c r="AS99" s="221">
        <v>-1</v>
      </c>
      <c r="AT99" s="221">
        <v>-6</v>
      </c>
      <c r="AU99" s="221">
        <v>-3</v>
      </c>
      <c r="AV99" s="221">
        <v>9</v>
      </c>
      <c r="AW99" s="221">
        <v>19</v>
      </c>
      <c r="AX99" s="56">
        <f t="shared" si="39"/>
        <v>-1</v>
      </c>
      <c r="AY99" s="56">
        <f t="shared" si="39"/>
        <v>-4</v>
      </c>
      <c r="AZ99" s="56">
        <f t="shared" si="39"/>
        <v>-15</v>
      </c>
      <c r="BA99" s="56">
        <f t="shared" si="39"/>
        <v>0</v>
      </c>
      <c r="BB99" s="56">
        <f t="shared" si="39"/>
        <v>1</v>
      </c>
      <c r="BC99" s="56">
        <f t="shared" si="30"/>
        <v>6</v>
      </c>
      <c r="BD99" s="56">
        <f t="shared" si="30"/>
        <v>3</v>
      </c>
      <c r="BE99" s="56">
        <f t="shared" si="30"/>
        <v>-9</v>
      </c>
      <c r="BF99" s="56">
        <f t="shared" si="30"/>
        <v>-19</v>
      </c>
      <c r="BH99">
        <f t="shared" si="40"/>
        <v>0.8</v>
      </c>
      <c r="BI99">
        <f t="shared" si="49"/>
        <v>0.19999999999999996</v>
      </c>
      <c r="BJ99" s="154">
        <v>452618.69866666675</v>
      </c>
      <c r="BK99" s="155">
        <f t="shared" si="41"/>
        <v>452618.69866666675</v>
      </c>
      <c r="BL99" s="156">
        <v>794518.39911111118</v>
      </c>
      <c r="BM99" s="155">
        <f t="shared" si="42"/>
        <v>794518.39911111118</v>
      </c>
      <c r="BN99" s="158">
        <v>292952.14933333331</v>
      </c>
      <c r="BO99" s="155">
        <f t="shared" si="43"/>
        <v>292952.14933333331</v>
      </c>
      <c r="BP99" s="158">
        <v>526549.12</v>
      </c>
      <c r="BQ99" s="155">
        <f t="shared" si="44"/>
        <v>526549.12</v>
      </c>
      <c r="BR99" s="158">
        <v>382487.17688888893</v>
      </c>
      <c r="BS99" s="155">
        <f t="shared" si="45"/>
        <v>382487.17688888893</v>
      </c>
      <c r="BT99" s="194">
        <v>518116.80355555547</v>
      </c>
      <c r="BU99" s="194"/>
      <c r="BV99" s="348">
        <f t="shared" si="50"/>
        <v>518116.80355555547</v>
      </c>
      <c r="BW99" s="195">
        <f t="shared" si="46"/>
        <v>520917.37244444445</v>
      </c>
      <c r="BX99" s="157">
        <f t="shared" si="51"/>
        <v>130229.34311111111</v>
      </c>
      <c r="BY99" s="157">
        <f>IF(E99*$CJ$10*'Year 7 Payments'!$L$20*IF(B99="",1,0.8)&lt;=(BW99-(J99*350)),E99*$CJ$10*'Year 7 Payments'!$L$20*IF(B99="",1,0.8),BW99-(IF(B99="",1,0.8)*J99*350))</f>
        <v>352165.35055644449</v>
      </c>
      <c r="BZ99" s="157">
        <f t="shared" si="52"/>
        <v>88041.337639111123</v>
      </c>
      <c r="CA99" s="157">
        <f t="shared" si="53"/>
        <v>168752.02188799996</v>
      </c>
      <c r="CB99" s="157">
        <f t="shared" si="54"/>
        <v>42188.00547199999</v>
      </c>
      <c r="CC99" s="157">
        <f t="shared" si="55"/>
        <v>675008.08755199984</v>
      </c>
      <c r="CD99" s="201">
        <f t="shared" si="56"/>
        <v>168752.02188799996</v>
      </c>
      <c r="CE99" s="155">
        <f t="shared" si="57"/>
        <v>168752.02188799996</v>
      </c>
    </row>
    <row r="100" spans="1:83" x14ac:dyDescent="0.2">
      <c r="A100" s="147" t="s">
        <v>569</v>
      </c>
      <c r="B100" s="57"/>
      <c r="C100" s="57" t="s">
        <v>461</v>
      </c>
      <c r="D100" s="148" t="s">
        <v>128</v>
      </c>
      <c r="E100" s="197">
        <v>127825.88888888889</v>
      </c>
      <c r="F100" s="147">
        <f t="shared" si="47"/>
        <v>123792</v>
      </c>
      <c r="G100" s="342">
        <v>1085</v>
      </c>
      <c r="H100" s="149">
        <f t="shared" si="31"/>
        <v>298</v>
      </c>
      <c r="I100" s="346">
        <v>0</v>
      </c>
      <c r="J100" s="150">
        <v>64</v>
      </c>
      <c r="K100"/>
      <c r="L100" s="151">
        <v>5241</v>
      </c>
      <c r="M100" s="151">
        <v>11592</v>
      </c>
      <c r="N100" s="151">
        <v>33674</v>
      </c>
      <c r="O100" s="151">
        <v>36428</v>
      </c>
      <c r="P100" s="151">
        <v>20954</v>
      </c>
      <c r="Q100" s="151">
        <v>9147</v>
      </c>
      <c r="R100" s="151">
        <v>5861</v>
      </c>
      <c r="S100" s="151">
        <v>895</v>
      </c>
      <c r="T100" s="151">
        <v>123792</v>
      </c>
      <c r="U100" s="147"/>
      <c r="V100" s="152">
        <f t="shared" si="48"/>
        <v>4.2337146180690191E-2</v>
      </c>
      <c r="W100" s="152">
        <f t="shared" si="32"/>
        <v>9.3640946103140749E-2</v>
      </c>
      <c r="X100" s="152">
        <f t="shared" si="33"/>
        <v>0.27202080909913401</v>
      </c>
      <c r="Y100" s="152">
        <f t="shared" si="34"/>
        <v>0.29426780405842057</v>
      </c>
      <c r="Z100" s="152">
        <f t="shared" si="35"/>
        <v>0.16926780405842057</v>
      </c>
      <c r="AA100" s="152">
        <f t="shared" si="36"/>
        <v>7.3890073671965872E-2</v>
      </c>
      <c r="AB100" s="152">
        <f t="shared" si="37"/>
        <v>4.7345547369781568E-2</v>
      </c>
      <c r="AC100" s="152">
        <f t="shared" si="38"/>
        <v>7.2298694584464265E-3</v>
      </c>
      <c r="AD100" s="152"/>
      <c r="AE100" s="221">
        <v>11</v>
      </c>
      <c r="AF100" s="221">
        <v>62</v>
      </c>
      <c r="AG100" s="221">
        <v>144</v>
      </c>
      <c r="AH100" s="221">
        <v>103</v>
      </c>
      <c r="AI100" s="221">
        <v>118</v>
      </c>
      <c r="AJ100" s="221">
        <v>113</v>
      </c>
      <c r="AK100" s="221">
        <v>8</v>
      </c>
      <c r="AL100" s="221">
        <v>7</v>
      </c>
      <c r="AM100" s="221">
        <v>566</v>
      </c>
      <c r="AN100" s="147"/>
      <c r="AO100" s="221">
        <v>41</v>
      </c>
      <c r="AP100" s="221">
        <v>69</v>
      </c>
      <c r="AQ100" s="221">
        <v>71</v>
      </c>
      <c r="AR100" s="221">
        <v>60</v>
      </c>
      <c r="AS100" s="221">
        <v>14</v>
      </c>
      <c r="AT100" s="221">
        <v>2</v>
      </c>
      <c r="AU100" s="221">
        <v>9</v>
      </c>
      <c r="AV100" s="221">
        <v>2</v>
      </c>
      <c r="AW100" s="221">
        <v>268</v>
      </c>
      <c r="AX100" s="56">
        <f t="shared" si="39"/>
        <v>-41</v>
      </c>
      <c r="AY100" s="56">
        <f t="shared" si="39"/>
        <v>-69</v>
      </c>
      <c r="AZ100" s="56">
        <f t="shared" si="39"/>
        <v>-71</v>
      </c>
      <c r="BA100" s="56">
        <f t="shared" si="39"/>
        <v>-60</v>
      </c>
      <c r="BB100" s="56">
        <f t="shared" si="39"/>
        <v>-14</v>
      </c>
      <c r="BC100" s="56">
        <f t="shared" si="30"/>
        <v>-2</v>
      </c>
      <c r="BD100" s="56">
        <f t="shared" si="30"/>
        <v>-9</v>
      </c>
      <c r="BE100" s="56">
        <f t="shared" si="30"/>
        <v>-2</v>
      </c>
      <c r="BF100" s="56">
        <f t="shared" si="30"/>
        <v>-268</v>
      </c>
      <c r="BH100">
        <f t="shared" si="40"/>
        <v>1</v>
      </c>
      <c r="BI100">
        <f t="shared" si="49"/>
        <v>0</v>
      </c>
      <c r="BJ100" s="154">
        <v>527714</v>
      </c>
      <c r="BK100" s="155">
        <f t="shared" si="41"/>
        <v>527714</v>
      </c>
      <c r="BL100" s="156">
        <v>830123.19</v>
      </c>
      <c r="BM100" s="155">
        <f t="shared" si="42"/>
        <v>830123.19</v>
      </c>
      <c r="BN100" s="158">
        <v>1637182.2577777777</v>
      </c>
      <c r="BO100" s="155">
        <f t="shared" si="43"/>
        <v>1637182.2577777777</v>
      </c>
      <c r="BP100" s="158">
        <v>366103.46666666662</v>
      </c>
      <c r="BQ100" s="155">
        <f t="shared" si="44"/>
        <v>366103.46666666662</v>
      </c>
      <c r="BR100" s="158">
        <v>469464.19999999995</v>
      </c>
      <c r="BS100" s="155">
        <f t="shared" si="45"/>
        <v>469464.19999999995</v>
      </c>
      <c r="BT100" s="194">
        <v>1133855.3022222221</v>
      </c>
      <c r="BU100" s="194"/>
      <c r="BV100" s="348">
        <f t="shared" si="50"/>
        <v>1133855.3022222221</v>
      </c>
      <c r="BW100" s="195">
        <f t="shared" si="46"/>
        <v>600913.58222222212</v>
      </c>
      <c r="BX100" s="157" t="str">
        <f t="shared" si="51"/>
        <v>0</v>
      </c>
      <c r="BY100" s="157">
        <f>IF(E100*$CJ$10*'Year 7 Payments'!$L$20*IF(B100="",1,0.8)&lt;=(BW100-(J100*350)),E100*$CJ$10*'Year 7 Payments'!$L$20*IF(B100="",1,0.8),BW100-(IF(B100="",1,0.8)*J100*350))</f>
        <v>578513.58222222212</v>
      </c>
      <c r="BZ100" s="157" t="str">
        <f t="shared" si="52"/>
        <v>0</v>
      </c>
      <c r="CA100" s="157">
        <f t="shared" si="53"/>
        <v>22400</v>
      </c>
      <c r="CB100" s="157">
        <f t="shared" si="54"/>
        <v>0</v>
      </c>
      <c r="CC100" s="157">
        <f t="shared" si="55"/>
        <v>89600</v>
      </c>
      <c r="CD100" s="201">
        <f t="shared" si="56"/>
        <v>0</v>
      </c>
      <c r="CE100" s="155">
        <f t="shared" si="57"/>
        <v>22400</v>
      </c>
    </row>
    <row r="101" spans="1:83" x14ac:dyDescent="0.2">
      <c r="A101" s="147" t="s">
        <v>570</v>
      </c>
      <c r="B101" s="57" t="s">
        <v>467</v>
      </c>
      <c r="C101" s="57" t="s">
        <v>459</v>
      </c>
      <c r="D101" s="148" t="s">
        <v>129</v>
      </c>
      <c r="E101" s="197">
        <v>62223.111111111109</v>
      </c>
      <c r="F101" s="147">
        <f t="shared" si="47"/>
        <v>55712</v>
      </c>
      <c r="G101" s="342">
        <v>429</v>
      </c>
      <c r="H101" s="149">
        <f t="shared" si="31"/>
        <v>241</v>
      </c>
      <c r="I101" s="346">
        <v>10.885333333333335</v>
      </c>
      <c r="J101" s="150">
        <v>10</v>
      </c>
      <c r="K101"/>
      <c r="L101" s="151">
        <v>1804</v>
      </c>
      <c r="M101" s="151">
        <v>5003</v>
      </c>
      <c r="N101" s="151">
        <v>11543</v>
      </c>
      <c r="O101" s="151">
        <v>13802</v>
      </c>
      <c r="P101" s="151">
        <v>9696</v>
      </c>
      <c r="Q101" s="151">
        <v>6816</v>
      </c>
      <c r="R101" s="151">
        <v>5889</v>
      </c>
      <c r="S101" s="151">
        <v>1159</v>
      </c>
      <c r="T101" s="151">
        <v>55712</v>
      </c>
      <c r="U101" s="147"/>
      <c r="V101" s="152">
        <f t="shared" si="48"/>
        <v>3.2380815623205057E-2</v>
      </c>
      <c r="W101" s="152">
        <f t="shared" si="32"/>
        <v>8.9801120045950603E-2</v>
      </c>
      <c r="X101" s="152">
        <f t="shared" si="33"/>
        <v>0.20719055140723722</v>
      </c>
      <c r="Y101" s="152">
        <f t="shared" si="34"/>
        <v>0.2477383687535899</v>
      </c>
      <c r="Z101" s="152">
        <f t="shared" si="35"/>
        <v>0.17403790924755888</v>
      </c>
      <c r="AA101" s="152">
        <f t="shared" si="36"/>
        <v>0.12234348075818495</v>
      </c>
      <c r="AB101" s="152">
        <f t="shared" si="37"/>
        <v>0.10570433658816772</v>
      </c>
      <c r="AC101" s="152">
        <f t="shared" si="38"/>
        <v>2.0803417576105685E-2</v>
      </c>
      <c r="AD101" s="152"/>
      <c r="AE101" s="221">
        <v>33</v>
      </c>
      <c r="AF101" s="221">
        <v>33</v>
      </c>
      <c r="AG101" s="221">
        <v>50</v>
      </c>
      <c r="AH101" s="221">
        <v>24</v>
      </c>
      <c r="AI101" s="221">
        <v>100</v>
      </c>
      <c r="AJ101" s="221">
        <v>12</v>
      </c>
      <c r="AK101" s="221">
        <v>35</v>
      </c>
      <c r="AL101" s="221">
        <v>9</v>
      </c>
      <c r="AM101" s="221">
        <v>296</v>
      </c>
      <c r="AN101" s="147"/>
      <c r="AO101" s="221">
        <v>-1</v>
      </c>
      <c r="AP101" s="221">
        <v>9</v>
      </c>
      <c r="AQ101" s="221">
        <v>6</v>
      </c>
      <c r="AR101" s="221">
        <v>9</v>
      </c>
      <c r="AS101" s="221">
        <v>-3</v>
      </c>
      <c r="AT101" s="221">
        <v>14</v>
      </c>
      <c r="AU101" s="221">
        <v>21</v>
      </c>
      <c r="AV101" s="221">
        <v>0</v>
      </c>
      <c r="AW101" s="221">
        <v>55</v>
      </c>
      <c r="AX101" s="56">
        <f t="shared" si="39"/>
        <v>1</v>
      </c>
      <c r="AY101" s="56">
        <f t="shared" si="39"/>
        <v>-9</v>
      </c>
      <c r="AZ101" s="56">
        <f t="shared" si="39"/>
        <v>-6</v>
      </c>
      <c r="BA101" s="56">
        <f t="shared" si="39"/>
        <v>-9</v>
      </c>
      <c r="BB101" s="56">
        <f t="shared" si="39"/>
        <v>3</v>
      </c>
      <c r="BC101" s="56">
        <f t="shared" si="30"/>
        <v>-14</v>
      </c>
      <c r="BD101" s="56">
        <f t="shared" si="30"/>
        <v>-21</v>
      </c>
      <c r="BE101" s="56">
        <f t="shared" si="30"/>
        <v>0</v>
      </c>
      <c r="BF101" s="56">
        <f t="shared" ref="BF101:BF164" si="58">AW101*$AW$3</f>
        <v>-55</v>
      </c>
      <c r="BH101">
        <f t="shared" si="40"/>
        <v>0.8</v>
      </c>
      <c r="BI101">
        <f t="shared" si="49"/>
        <v>0.19999999999999996</v>
      </c>
      <c r="BJ101" s="154">
        <v>295136.04800000001</v>
      </c>
      <c r="BK101" s="155">
        <f t="shared" si="41"/>
        <v>295136.04800000001</v>
      </c>
      <c r="BL101" s="156">
        <v>423830.38973180088</v>
      </c>
      <c r="BM101" s="155">
        <f t="shared" si="42"/>
        <v>423830.38973180088</v>
      </c>
      <c r="BN101" s="158">
        <v>566264.94133333338</v>
      </c>
      <c r="BO101" s="155">
        <f t="shared" si="43"/>
        <v>566264.94133333338</v>
      </c>
      <c r="BP101" s="158">
        <v>558432.85333333339</v>
      </c>
      <c r="BQ101" s="155">
        <f t="shared" si="44"/>
        <v>558432.85333333339</v>
      </c>
      <c r="BR101" s="158">
        <v>252049.40800000002</v>
      </c>
      <c r="BS101" s="155">
        <f t="shared" si="45"/>
        <v>252049.40800000002</v>
      </c>
      <c r="BT101" s="194">
        <v>581122.25422222214</v>
      </c>
      <c r="BU101" s="194"/>
      <c r="BV101" s="348">
        <f t="shared" si="50"/>
        <v>581122.25422222214</v>
      </c>
      <c r="BW101" s="195">
        <f t="shared" si="46"/>
        <v>320676.55822222237</v>
      </c>
      <c r="BX101" s="157">
        <f t="shared" si="51"/>
        <v>80169.139555555594</v>
      </c>
      <c r="BY101" s="157">
        <f>IF(E101*$CJ$10*'Year 7 Payments'!$L$20*IF(B101="",1,0.8)&lt;=(BW101-(J101*350)),E101*$CJ$10*'Year 7 Payments'!$L$20*IF(B101="",1,0.8),BW101-(IF(B101="",1,0.8)*J101*350))</f>
        <v>304556.74185955554</v>
      </c>
      <c r="BZ101" s="157">
        <f t="shared" si="52"/>
        <v>76139.185464888884</v>
      </c>
      <c r="CA101" s="157">
        <f t="shared" si="53"/>
        <v>16119.816362666839</v>
      </c>
      <c r="CB101" s="157">
        <f t="shared" si="54"/>
        <v>4029.9540906667098</v>
      </c>
      <c r="CC101" s="157">
        <f t="shared" si="55"/>
        <v>64479.265450667357</v>
      </c>
      <c r="CD101" s="201">
        <f t="shared" si="56"/>
        <v>16119.816362666839</v>
      </c>
      <c r="CE101" s="155">
        <f t="shared" si="57"/>
        <v>16119.816362666839</v>
      </c>
    </row>
    <row r="102" spans="1:83" x14ac:dyDescent="0.2">
      <c r="A102" s="147" t="s">
        <v>571</v>
      </c>
      <c r="B102" s="57" t="s">
        <v>568</v>
      </c>
      <c r="C102" s="57" t="s">
        <v>443</v>
      </c>
      <c r="D102" s="148" t="s">
        <v>130</v>
      </c>
      <c r="E102" s="197">
        <v>36979.333333333336</v>
      </c>
      <c r="F102" s="147">
        <f t="shared" si="47"/>
        <v>31729</v>
      </c>
      <c r="G102" s="342">
        <v>177</v>
      </c>
      <c r="H102" s="149">
        <f t="shared" si="31"/>
        <v>165</v>
      </c>
      <c r="I102" s="346">
        <v>26.304888888888883</v>
      </c>
      <c r="J102" s="150">
        <v>48</v>
      </c>
      <c r="K102"/>
      <c r="L102" s="151">
        <v>159</v>
      </c>
      <c r="M102" s="151">
        <v>1216</v>
      </c>
      <c r="N102" s="151">
        <v>5139</v>
      </c>
      <c r="O102" s="151">
        <v>8890</v>
      </c>
      <c r="P102" s="151">
        <v>7635</v>
      </c>
      <c r="Q102" s="151">
        <v>4590</v>
      </c>
      <c r="R102" s="151">
        <v>3962</v>
      </c>
      <c r="S102" s="151">
        <v>138</v>
      </c>
      <c r="T102" s="151">
        <v>31729</v>
      </c>
      <c r="U102" s="147"/>
      <c r="V102" s="152">
        <f t="shared" si="48"/>
        <v>5.0111885026316617E-3</v>
      </c>
      <c r="W102" s="152">
        <f t="shared" si="32"/>
        <v>3.832456112704466E-2</v>
      </c>
      <c r="X102" s="152">
        <f t="shared" si="33"/>
        <v>0.1619653944341139</v>
      </c>
      <c r="Y102" s="152">
        <f t="shared" si="34"/>
        <v>0.28018531942387093</v>
      </c>
      <c r="Z102" s="152">
        <f t="shared" si="35"/>
        <v>0.24063159885278451</v>
      </c>
      <c r="AA102" s="152">
        <f t="shared" si="36"/>
        <v>0.14466261149106496</v>
      </c>
      <c r="AB102" s="152">
        <f t="shared" si="37"/>
        <v>0.12486999275111096</v>
      </c>
      <c r="AC102" s="152">
        <f t="shared" si="38"/>
        <v>4.3493334173784239E-3</v>
      </c>
      <c r="AD102" s="152"/>
      <c r="AE102" s="221">
        <v>0</v>
      </c>
      <c r="AF102" s="221">
        <v>47</v>
      </c>
      <c r="AG102" s="221">
        <v>43</v>
      </c>
      <c r="AH102" s="221">
        <v>58</v>
      </c>
      <c r="AI102" s="221">
        <v>-11</v>
      </c>
      <c r="AJ102" s="221">
        <v>27</v>
      </c>
      <c r="AK102" s="221">
        <v>23</v>
      </c>
      <c r="AL102" s="221">
        <v>3</v>
      </c>
      <c r="AM102" s="221">
        <v>190</v>
      </c>
      <c r="AN102" s="147"/>
      <c r="AO102" s="221">
        <v>-2</v>
      </c>
      <c r="AP102" s="221">
        <v>7</v>
      </c>
      <c r="AQ102" s="221">
        <v>-4</v>
      </c>
      <c r="AR102" s="221">
        <v>12</v>
      </c>
      <c r="AS102" s="221">
        <v>7</v>
      </c>
      <c r="AT102" s="221">
        <v>3</v>
      </c>
      <c r="AU102" s="221">
        <v>3</v>
      </c>
      <c r="AV102" s="221">
        <v>-1</v>
      </c>
      <c r="AW102" s="221">
        <v>25</v>
      </c>
      <c r="AX102" s="56">
        <f t="shared" si="39"/>
        <v>2</v>
      </c>
      <c r="AY102" s="56">
        <f t="shared" si="39"/>
        <v>-7</v>
      </c>
      <c r="AZ102" s="56">
        <f t="shared" si="39"/>
        <v>4</v>
      </c>
      <c r="BA102" s="56">
        <f t="shared" si="39"/>
        <v>-12</v>
      </c>
      <c r="BB102" s="56">
        <f t="shared" si="39"/>
        <v>-7</v>
      </c>
      <c r="BC102" s="56">
        <f t="shared" si="39"/>
        <v>-3</v>
      </c>
      <c r="BD102" s="56">
        <f t="shared" si="39"/>
        <v>-3</v>
      </c>
      <c r="BE102" s="56">
        <f t="shared" si="39"/>
        <v>1</v>
      </c>
      <c r="BF102" s="56">
        <f t="shared" si="58"/>
        <v>-25</v>
      </c>
      <c r="BH102">
        <f t="shared" si="40"/>
        <v>0.8</v>
      </c>
      <c r="BI102">
        <f t="shared" si="49"/>
        <v>0.19999999999999996</v>
      </c>
      <c r="BJ102" s="154">
        <v>107845.55200000001</v>
      </c>
      <c r="BK102" s="155">
        <f t="shared" si="41"/>
        <v>107845.55200000001</v>
      </c>
      <c r="BL102" s="156">
        <v>500099.24711111106</v>
      </c>
      <c r="BM102" s="155">
        <f t="shared" si="42"/>
        <v>500099.24711111106</v>
      </c>
      <c r="BN102" s="158">
        <v>343815.96533333341</v>
      </c>
      <c r="BO102" s="155">
        <f t="shared" si="43"/>
        <v>343815.96533333341</v>
      </c>
      <c r="BP102" s="158">
        <v>595590.93333333323</v>
      </c>
      <c r="BQ102" s="155">
        <f t="shared" si="44"/>
        <v>595590.93333333323</v>
      </c>
      <c r="BR102" s="158">
        <v>410778.29511111119</v>
      </c>
      <c r="BS102" s="155">
        <f t="shared" si="45"/>
        <v>410778.29511111119</v>
      </c>
      <c r="BT102" s="194">
        <v>158499.30133333337</v>
      </c>
      <c r="BU102" s="194"/>
      <c r="BV102" s="348">
        <f t="shared" si="50"/>
        <v>158499.30133333337</v>
      </c>
      <c r="BW102" s="195">
        <f t="shared" si="46"/>
        <v>226626.67377777782</v>
      </c>
      <c r="BX102" s="157">
        <f t="shared" si="51"/>
        <v>56656.668444444455</v>
      </c>
      <c r="BY102" s="157">
        <f>IF(E102*$CJ$10*'Year 7 Payments'!$L$20*IF(B102="",1,0.8)&lt;=(BW102-(J102*350)),E102*$CJ$10*'Year 7 Payments'!$L$20*IF(B102="",1,0.8),BW102-(IF(B102="",1,0.8)*J102*350))</f>
        <v>180998.74909866668</v>
      </c>
      <c r="BZ102" s="157">
        <f t="shared" si="52"/>
        <v>45249.68727466667</v>
      </c>
      <c r="CA102" s="157">
        <f t="shared" si="53"/>
        <v>45627.924679111136</v>
      </c>
      <c r="CB102" s="157">
        <f t="shared" si="54"/>
        <v>11406.981169777784</v>
      </c>
      <c r="CC102" s="157">
        <f t="shared" si="55"/>
        <v>182511.69871644455</v>
      </c>
      <c r="CD102" s="201">
        <f t="shared" si="56"/>
        <v>45627.924679111136</v>
      </c>
      <c r="CE102" s="155">
        <f t="shared" si="57"/>
        <v>45627.924679111136</v>
      </c>
    </row>
    <row r="103" spans="1:83" x14ac:dyDescent="0.2">
      <c r="A103" s="147" t="s">
        <v>572</v>
      </c>
      <c r="B103" s="57" t="s">
        <v>448</v>
      </c>
      <c r="C103" s="57" t="s">
        <v>449</v>
      </c>
      <c r="D103" s="148" t="s">
        <v>131</v>
      </c>
      <c r="E103" s="197">
        <v>40876.444444444445</v>
      </c>
      <c r="F103" s="147">
        <f t="shared" si="47"/>
        <v>51449</v>
      </c>
      <c r="G103" s="342">
        <v>607</v>
      </c>
      <c r="H103" s="149">
        <f t="shared" si="31"/>
        <v>402</v>
      </c>
      <c r="I103" s="346">
        <v>153.38311111111113</v>
      </c>
      <c r="J103" s="150">
        <v>34</v>
      </c>
      <c r="K103"/>
      <c r="L103" s="151">
        <v>21347</v>
      </c>
      <c r="M103" s="151">
        <v>13704</v>
      </c>
      <c r="N103" s="151">
        <v>7757</v>
      </c>
      <c r="O103" s="151">
        <v>5011</v>
      </c>
      <c r="P103" s="151">
        <v>2255</v>
      </c>
      <c r="Q103" s="151">
        <v>840</v>
      </c>
      <c r="R103" s="151">
        <v>499</v>
      </c>
      <c r="S103" s="151">
        <v>36</v>
      </c>
      <c r="T103" s="151">
        <v>51449</v>
      </c>
      <c r="U103" s="147"/>
      <c r="V103" s="152">
        <f t="shared" si="48"/>
        <v>0.41491574180256174</v>
      </c>
      <c r="W103" s="152">
        <f t="shared" si="32"/>
        <v>0.26636086221306537</v>
      </c>
      <c r="X103" s="152">
        <f t="shared" si="33"/>
        <v>0.15077066609652276</v>
      </c>
      <c r="Y103" s="152">
        <f t="shared" si="34"/>
        <v>9.7397422690431307E-2</v>
      </c>
      <c r="Z103" s="152">
        <f t="shared" si="35"/>
        <v>4.3829812046881376E-2</v>
      </c>
      <c r="AA103" s="152">
        <f t="shared" si="36"/>
        <v>1.6326847946510136E-2</v>
      </c>
      <c r="AB103" s="152">
        <f t="shared" si="37"/>
        <v>9.6989251491768555E-3</v>
      </c>
      <c r="AC103" s="152">
        <f t="shared" si="38"/>
        <v>6.9972205485043437E-4</v>
      </c>
      <c r="AD103" s="152"/>
      <c r="AE103" s="221">
        <v>156</v>
      </c>
      <c r="AF103" s="221">
        <v>111</v>
      </c>
      <c r="AG103" s="221">
        <v>23</v>
      </c>
      <c r="AH103" s="221">
        <v>9</v>
      </c>
      <c r="AI103" s="221">
        <v>28</v>
      </c>
      <c r="AJ103" s="221">
        <v>5</v>
      </c>
      <c r="AK103" s="221">
        <v>8</v>
      </c>
      <c r="AL103" s="221">
        <v>0</v>
      </c>
      <c r="AM103" s="221">
        <v>340</v>
      </c>
      <c r="AN103" s="147"/>
      <c r="AO103" s="221">
        <v>-27</v>
      </c>
      <c r="AP103" s="221">
        <v>-27</v>
      </c>
      <c r="AQ103" s="221">
        <v>-4</v>
      </c>
      <c r="AR103" s="221">
        <v>-13</v>
      </c>
      <c r="AS103" s="221">
        <v>4</v>
      </c>
      <c r="AT103" s="221">
        <v>3</v>
      </c>
      <c r="AU103" s="221">
        <v>0</v>
      </c>
      <c r="AV103" s="221">
        <v>2</v>
      </c>
      <c r="AW103" s="221">
        <v>-62</v>
      </c>
      <c r="AX103" s="56">
        <f t="shared" si="39"/>
        <v>27</v>
      </c>
      <c r="AY103" s="56">
        <f t="shared" si="39"/>
        <v>27</v>
      </c>
      <c r="AZ103" s="56">
        <f t="shared" si="39"/>
        <v>4</v>
      </c>
      <c r="BA103" s="56">
        <f t="shared" si="39"/>
        <v>13</v>
      </c>
      <c r="BB103" s="56">
        <f t="shared" si="39"/>
        <v>-4</v>
      </c>
      <c r="BC103" s="56">
        <f t="shared" si="39"/>
        <v>-3</v>
      </c>
      <c r="BD103" s="56">
        <f t="shared" si="39"/>
        <v>0</v>
      </c>
      <c r="BE103" s="56">
        <f t="shared" si="39"/>
        <v>-2</v>
      </c>
      <c r="BF103" s="56">
        <f t="shared" si="58"/>
        <v>62</v>
      </c>
      <c r="BH103">
        <f t="shared" si="40"/>
        <v>0.8</v>
      </c>
      <c r="BI103">
        <f t="shared" si="49"/>
        <v>0.19999999999999996</v>
      </c>
      <c r="BJ103" s="154">
        <v>377011.67466666666</v>
      </c>
      <c r="BK103" s="155">
        <f t="shared" si="41"/>
        <v>377011.67466666666</v>
      </c>
      <c r="BL103" s="156">
        <v>137620.84177777776</v>
      </c>
      <c r="BM103" s="155">
        <f t="shared" si="42"/>
        <v>137620.84177777776</v>
      </c>
      <c r="BN103" s="158">
        <v>321871.67466666678</v>
      </c>
      <c r="BO103" s="155">
        <f t="shared" si="43"/>
        <v>321871.67466666678</v>
      </c>
      <c r="BP103" s="158">
        <v>163388.05333333334</v>
      </c>
      <c r="BQ103" s="155">
        <f t="shared" si="44"/>
        <v>163388.05333333334</v>
      </c>
      <c r="BR103" s="158">
        <v>321226.25777777785</v>
      </c>
      <c r="BS103" s="155">
        <f t="shared" si="45"/>
        <v>321226.25777777785</v>
      </c>
      <c r="BT103" s="194">
        <v>262874.17955555551</v>
      </c>
      <c r="BU103" s="194"/>
      <c r="BV103" s="348">
        <f t="shared" si="50"/>
        <v>262874.17955555551</v>
      </c>
      <c r="BW103" s="195">
        <f t="shared" si="46"/>
        <v>397280.45511111111</v>
      </c>
      <c r="BX103" s="157">
        <f t="shared" si="51"/>
        <v>99320.113777777777</v>
      </c>
      <c r="BY103" s="157">
        <f>IF(E103*$CJ$10*'Year 7 Payments'!$L$20*IF(B103="",1,0.8)&lt;=(BW103-(J103*350)),E103*$CJ$10*'Year 7 Payments'!$L$20*IF(B103="",1,0.8),BW103-(IF(B103="",1,0.8)*J103*350))</f>
        <v>200073.51796622225</v>
      </c>
      <c r="BZ103" s="157">
        <f t="shared" si="52"/>
        <v>50018.379491555563</v>
      </c>
      <c r="CA103" s="157">
        <f t="shared" si="53"/>
        <v>197206.93714488886</v>
      </c>
      <c r="CB103" s="157">
        <f t="shared" si="54"/>
        <v>49301.734286222214</v>
      </c>
      <c r="CC103" s="157">
        <f t="shared" si="55"/>
        <v>788827.74857955542</v>
      </c>
      <c r="CD103" s="201">
        <f t="shared" si="56"/>
        <v>197206.93714488886</v>
      </c>
      <c r="CE103" s="155">
        <f t="shared" si="57"/>
        <v>197206.93714488886</v>
      </c>
    </row>
    <row r="104" spans="1:83" x14ac:dyDescent="0.2">
      <c r="A104" s="147" t="s">
        <v>573</v>
      </c>
      <c r="B104" s="57" t="s">
        <v>555</v>
      </c>
      <c r="C104" s="57" t="s">
        <v>472</v>
      </c>
      <c r="D104" s="148" t="s">
        <v>132</v>
      </c>
      <c r="E104" s="197">
        <v>48163.555555555562</v>
      </c>
      <c r="F104" s="147">
        <f t="shared" si="47"/>
        <v>55457</v>
      </c>
      <c r="G104" s="342">
        <v>326</v>
      </c>
      <c r="H104" s="149">
        <f t="shared" si="31"/>
        <v>737</v>
      </c>
      <c r="I104" s="346">
        <v>544.12355555555541</v>
      </c>
      <c r="J104" s="150">
        <v>77</v>
      </c>
      <c r="K104"/>
      <c r="L104" s="151">
        <v>11571</v>
      </c>
      <c r="M104" s="151">
        <v>14754</v>
      </c>
      <c r="N104" s="151">
        <v>13599</v>
      </c>
      <c r="O104" s="151">
        <v>8713</v>
      </c>
      <c r="P104" s="151">
        <v>4027</v>
      </c>
      <c r="Q104" s="151">
        <v>1841</v>
      </c>
      <c r="R104" s="151">
        <v>899</v>
      </c>
      <c r="S104" s="151">
        <v>53</v>
      </c>
      <c r="T104" s="151">
        <v>55457</v>
      </c>
      <c r="U104" s="147"/>
      <c r="V104" s="152">
        <f t="shared" si="48"/>
        <v>0.20864814180355951</v>
      </c>
      <c r="W104" s="152">
        <f t="shared" si="32"/>
        <v>0.26604396198856772</v>
      </c>
      <c r="X104" s="152">
        <f t="shared" si="33"/>
        <v>0.24521701498458265</v>
      </c>
      <c r="Y104" s="152">
        <f t="shared" si="34"/>
        <v>0.15711271796166398</v>
      </c>
      <c r="Z104" s="152">
        <f t="shared" si="35"/>
        <v>7.2614818688353136E-2</v>
      </c>
      <c r="AA104" s="152">
        <f t="shared" si="36"/>
        <v>3.3196891285139841E-2</v>
      </c>
      <c r="AB104" s="152">
        <f t="shared" si="37"/>
        <v>1.621075788448708E-2</v>
      </c>
      <c r="AC104" s="152">
        <f t="shared" si="38"/>
        <v>9.5569540364606807E-4</v>
      </c>
      <c r="AD104" s="152"/>
      <c r="AE104" s="221">
        <v>132</v>
      </c>
      <c r="AF104" s="221">
        <v>117</v>
      </c>
      <c r="AG104" s="221">
        <v>122</v>
      </c>
      <c r="AH104" s="221">
        <v>189</v>
      </c>
      <c r="AI104" s="221">
        <v>113</v>
      </c>
      <c r="AJ104" s="221">
        <v>67</v>
      </c>
      <c r="AK104" s="221">
        <v>31</v>
      </c>
      <c r="AL104" s="221">
        <v>0</v>
      </c>
      <c r="AM104" s="221">
        <v>771</v>
      </c>
      <c r="AN104" s="147"/>
      <c r="AO104" s="221">
        <v>6</v>
      </c>
      <c r="AP104" s="221">
        <v>9</v>
      </c>
      <c r="AQ104" s="221">
        <v>17</v>
      </c>
      <c r="AR104" s="221">
        <v>0</v>
      </c>
      <c r="AS104" s="221">
        <v>8</v>
      </c>
      <c r="AT104" s="221">
        <v>-3</v>
      </c>
      <c r="AU104" s="221">
        <v>-2</v>
      </c>
      <c r="AV104" s="221">
        <v>-1</v>
      </c>
      <c r="AW104" s="221">
        <v>34</v>
      </c>
      <c r="AX104" s="56">
        <f t="shared" si="39"/>
        <v>-6</v>
      </c>
      <c r="AY104" s="56">
        <f t="shared" si="39"/>
        <v>-9</v>
      </c>
      <c r="AZ104" s="56">
        <f t="shared" si="39"/>
        <v>-17</v>
      </c>
      <c r="BA104" s="56">
        <f t="shared" si="39"/>
        <v>0</v>
      </c>
      <c r="BB104" s="56">
        <f t="shared" si="39"/>
        <v>-8</v>
      </c>
      <c r="BC104" s="56">
        <f t="shared" si="39"/>
        <v>3</v>
      </c>
      <c r="BD104" s="56">
        <f t="shared" si="39"/>
        <v>2</v>
      </c>
      <c r="BE104" s="56">
        <f t="shared" si="39"/>
        <v>1</v>
      </c>
      <c r="BF104" s="56">
        <f t="shared" si="58"/>
        <v>-34</v>
      </c>
      <c r="BH104">
        <f t="shared" si="40"/>
        <v>0.8</v>
      </c>
      <c r="BI104">
        <f t="shared" si="49"/>
        <v>0.19999999999999996</v>
      </c>
      <c r="BJ104" s="154">
        <v>389165.08800000011</v>
      </c>
      <c r="BK104" s="155">
        <f t="shared" si="41"/>
        <v>389165.08800000011</v>
      </c>
      <c r="BL104" s="156">
        <v>933499.43911111099</v>
      </c>
      <c r="BM104" s="155">
        <f t="shared" si="42"/>
        <v>933499.43911111099</v>
      </c>
      <c r="BN104" s="158">
        <v>882165.17422222218</v>
      </c>
      <c r="BO104" s="155">
        <f t="shared" si="43"/>
        <v>882165.17422222218</v>
      </c>
      <c r="BP104" s="158">
        <v>573164.69333333336</v>
      </c>
      <c r="BQ104" s="155">
        <f t="shared" si="44"/>
        <v>573164.69333333336</v>
      </c>
      <c r="BR104" s="158">
        <v>750988.33777777792</v>
      </c>
      <c r="BS104" s="155">
        <f t="shared" si="45"/>
        <v>750988.33777777792</v>
      </c>
      <c r="BT104" s="194">
        <v>703508.53688888892</v>
      </c>
      <c r="BU104" s="194"/>
      <c r="BV104" s="348">
        <f t="shared" si="50"/>
        <v>703508.53688888892</v>
      </c>
      <c r="BW104" s="195">
        <f t="shared" si="46"/>
        <v>923116.65422222205</v>
      </c>
      <c r="BX104" s="157">
        <f t="shared" si="51"/>
        <v>230779.16355555551</v>
      </c>
      <c r="BY104" s="157">
        <f>IF(E104*$CJ$10*'Year 7 Payments'!$L$20*IF(B104="",1,0.8)&lt;=(BW104-(J104*350)),E104*$CJ$10*'Year 7 Payments'!$L$20*IF(B104="",1,0.8),BW104-(IF(B104="",1,0.8)*J104*350))</f>
        <v>235740.95371377782</v>
      </c>
      <c r="BZ104" s="157">
        <f t="shared" si="52"/>
        <v>58935.238428444456</v>
      </c>
      <c r="CA104" s="157">
        <f t="shared" si="53"/>
        <v>687375.70050844422</v>
      </c>
      <c r="CB104" s="157">
        <f t="shared" si="54"/>
        <v>171843.92512711106</v>
      </c>
      <c r="CC104" s="157">
        <f t="shared" si="55"/>
        <v>2749502.8020337769</v>
      </c>
      <c r="CD104" s="201">
        <f t="shared" si="56"/>
        <v>687375.70050844422</v>
      </c>
      <c r="CE104" s="155">
        <f t="shared" si="57"/>
        <v>687375.70050844422</v>
      </c>
    </row>
    <row r="105" spans="1:83" x14ac:dyDescent="0.2">
      <c r="A105" s="147" t="s">
        <v>574</v>
      </c>
      <c r="B105" s="57" t="s">
        <v>469</v>
      </c>
      <c r="C105" s="57" t="s">
        <v>443</v>
      </c>
      <c r="D105" s="148" t="s">
        <v>133</v>
      </c>
      <c r="E105" s="197">
        <v>48563.555555555555</v>
      </c>
      <c r="F105" s="147">
        <f t="shared" si="47"/>
        <v>49101</v>
      </c>
      <c r="G105" s="342">
        <v>166</v>
      </c>
      <c r="H105" s="149">
        <f t="shared" si="31"/>
        <v>362</v>
      </c>
      <c r="I105" s="346">
        <v>131.19022222222225</v>
      </c>
      <c r="J105" s="150">
        <v>27</v>
      </c>
      <c r="K105"/>
      <c r="L105" s="151">
        <v>3468</v>
      </c>
      <c r="M105" s="151">
        <v>6978</v>
      </c>
      <c r="N105" s="151">
        <v>15337</v>
      </c>
      <c r="O105" s="151">
        <v>10406</v>
      </c>
      <c r="P105" s="151">
        <v>7903</v>
      </c>
      <c r="Q105" s="151">
        <v>3464</v>
      </c>
      <c r="R105" s="151">
        <v>1438</v>
      </c>
      <c r="S105" s="151">
        <v>107</v>
      </c>
      <c r="T105" s="151">
        <v>49101</v>
      </c>
      <c r="U105" s="147"/>
      <c r="V105" s="152">
        <f t="shared" si="48"/>
        <v>7.0629926070752122E-2</v>
      </c>
      <c r="W105" s="152">
        <f t="shared" si="32"/>
        <v>0.14211523186900471</v>
      </c>
      <c r="X105" s="152">
        <f t="shared" si="33"/>
        <v>0.31235616382558401</v>
      </c>
      <c r="Y105" s="152">
        <f t="shared" si="34"/>
        <v>0.21193051058023257</v>
      </c>
      <c r="Z105" s="152">
        <f t="shared" si="35"/>
        <v>0.16095395205800289</v>
      </c>
      <c r="AA105" s="152">
        <f t="shared" si="36"/>
        <v>7.0548461334799695E-2</v>
      </c>
      <c r="AB105" s="152">
        <f t="shared" si="37"/>
        <v>2.9286572574896641E-2</v>
      </c>
      <c r="AC105" s="152">
        <f t="shared" si="38"/>
        <v>2.1791816867273578E-3</v>
      </c>
      <c r="AD105" s="152"/>
      <c r="AE105" s="221">
        <v>88</v>
      </c>
      <c r="AF105" s="221">
        <v>97</v>
      </c>
      <c r="AG105" s="221">
        <v>66</v>
      </c>
      <c r="AH105" s="221">
        <v>48</v>
      </c>
      <c r="AI105" s="221">
        <v>17</v>
      </c>
      <c r="AJ105" s="221">
        <v>26</v>
      </c>
      <c r="AK105" s="221">
        <v>9</v>
      </c>
      <c r="AL105" s="221">
        <v>0</v>
      </c>
      <c r="AM105" s="221">
        <v>351</v>
      </c>
      <c r="AN105" s="147"/>
      <c r="AO105" s="221">
        <v>-5</v>
      </c>
      <c r="AP105" s="221">
        <v>0</v>
      </c>
      <c r="AQ105" s="221">
        <v>-2</v>
      </c>
      <c r="AR105" s="221">
        <v>5</v>
      </c>
      <c r="AS105" s="221">
        <v>-9</v>
      </c>
      <c r="AT105" s="221">
        <v>1</v>
      </c>
      <c r="AU105" s="221">
        <v>-1</v>
      </c>
      <c r="AV105" s="221">
        <v>0</v>
      </c>
      <c r="AW105" s="221">
        <v>-11</v>
      </c>
      <c r="AX105" s="56">
        <f t="shared" si="39"/>
        <v>5</v>
      </c>
      <c r="AY105" s="56">
        <f t="shared" si="39"/>
        <v>0</v>
      </c>
      <c r="AZ105" s="56">
        <f t="shared" si="39"/>
        <v>2</v>
      </c>
      <c r="BA105" s="56">
        <f t="shared" si="39"/>
        <v>-5</v>
      </c>
      <c r="BB105" s="56">
        <f t="shared" si="39"/>
        <v>9</v>
      </c>
      <c r="BC105" s="56">
        <f t="shared" si="39"/>
        <v>-1</v>
      </c>
      <c r="BD105" s="56">
        <f t="shared" si="39"/>
        <v>1</v>
      </c>
      <c r="BE105" s="56">
        <f t="shared" si="39"/>
        <v>0</v>
      </c>
      <c r="BF105" s="56">
        <f t="shared" si="58"/>
        <v>11</v>
      </c>
      <c r="BH105">
        <f t="shared" si="40"/>
        <v>0.8</v>
      </c>
      <c r="BI105">
        <f t="shared" si="49"/>
        <v>0.19999999999999996</v>
      </c>
      <c r="BJ105" s="154">
        <v>226565.21066666665</v>
      </c>
      <c r="BK105" s="155">
        <f t="shared" si="41"/>
        <v>226565.21066666665</v>
      </c>
      <c r="BL105" s="156">
        <v>431133.98844444437</v>
      </c>
      <c r="BM105" s="155">
        <f t="shared" si="42"/>
        <v>431133.98844444437</v>
      </c>
      <c r="BN105" s="158">
        <v>435038.44977777789</v>
      </c>
      <c r="BO105" s="155">
        <f t="shared" si="43"/>
        <v>435038.44977777789</v>
      </c>
      <c r="BP105" s="158">
        <v>323198.72000000003</v>
      </c>
      <c r="BQ105" s="155">
        <f t="shared" si="44"/>
        <v>323198.72000000003</v>
      </c>
      <c r="BR105" s="158">
        <v>232065.68177777782</v>
      </c>
      <c r="BS105" s="155">
        <f t="shared" si="45"/>
        <v>232065.68177777782</v>
      </c>
      <c r="BT105" s="194">
        <v>415782.75199999998</v>
      </c>
      <c r="BU105" s="194"/>
      <c r="BV105" s="348">
        <f t="shared" si="50"/>
        <v>415782.75199999998</v>
      </c>
      <c r="BW105" s="195">
        <f t="shared" si="46"/>
        <v>405789.4435555556</v>
      </c>
      <c r="BX105" s="157">
        <f t="shared" si="51"/>
        <v>101447.3608888889</v>
      </c>
      <c r="BY105" s="157">
        <f>IF(E105*$CJ$10*'Year 7 Payments'!$L$20*IF(B105="",1,0.8)&lt;=(BW105-(J105*350)),E105*$CJ$10*'Year 7 Payments'!$L$20*IF(B105="",1,0.8),BW105-(IF(B105="",1,0.8)*J105*350))</f>
        <v>237698.79051377779</v>
      </c>
      <c r="BZ105" s="157">
        <f t="shared" si="52"/>
        <v>59424.697628444446</v>
      </c>
      <c r="CA105" s="157">
        <f t="shared" si="53"/>
        <v>168090.65304177781</v>
      </c>
      <c r="CB105" s="157">
        <f t="shared" si="54"/>
        <v>42022.663260444453</v>
      </c>
      <c r="CC105" s="157">
        <f t="shared" si="55"/>
        <v>672362.61216711125</v>
      </c>
      <c r="CD105" s="201">
        <f t="shared" si="56"/>
        <v>168090.65304177781</v>
      </c>
      <c r="CE105" s="155">
        <f t="shared" si="57"/>
        <v>168090.65304177781</v>
      </c>
    </row>
    <row r="106" spans="1:83" x14ac:dyDescent="0.2">
      <c r="A106" s="147" t="s">
        <v>575</v>
      </c>
      <c r="B106" s="57" t="s">
        <v>507</v>
      </c>
      <c r="C106" s="57" t="s">
        <v>459</v>
      </c>
      <c r="D106" s="148" t="s">
        <v>134</v>
      </c>
      <c r="E106" s="197">
        <v>35345.888888888898</v>
      </c>
      <c r="F106" s="147">
        <f t="shared" si="47"/>
        <v>44226</v>
      </c>
      <c r="G106" s="342">
        <v>359</v>
      </c>
      <c r="H106" s="149">
        <f t="shared" si="31"/>
        <v>368</v>
      </c>
      <c r="I106" s="346">
        <v>166.06088888888885</v>
      </c>
      <c r="J106" s="150">
        <v>61</v>
      </c>
      <c r="K106"/>
      <c r="L106" s="151">
        <v>16619</v>
      </c>
      <c r="M106" s="151">
        <v>11914</v>
      </c>
      <c r="N106" s="151">
        <v>8471</v>
      </c>
      <c r="O106" s="151">
        <v>4387</v>
      </c>
      <c r="P106" s="151">
        <v>2099</v>
      </c>
      <c r="Q106" s="151">
        <v>551</v>
      </c>
      <c r="R106" s="151">
        <v>160</v>
      </c>
      <c r="S106" s="151">
        <v>25</v>
      </c>
      <c r="T106" s="151">
        <v>44226</v>
      </c>
      <c r="U106" s="147"/>
      <c r="V106" s="152">
        <f t="shared" si="48"/>
        <v>0.37577443132998689</v>
      </c>
      <c r="W106" s="152">
        <f t="shared" si="32"/>
        <v>0.26938904716682494</v>
      </c>
      <c r="X106" s="152">
        <f t="shared" si="33"/>
        <v>0.19153891376113599</v>
      </c>
      <c r="Y106" s="152">
        <f t="shared" si="34"/>
        <v>9.9195043639488084E-2</v>
      </c>
      <c r="Z106" s="152">
        <f t="shared" si="35"/>
        <v>4.7460769682991906E-2</v>
      </c>
      <c r="AA106" s="152">
        <f t="shared" si="36"/>
        <v>1.2458734680956903E-2</v>
      </c>
      <c r="AB106" s="152">
        <f t="shared" si="37"/>
        <v>3.6177813955591731E-3</v>
      </c>
      <c r="AC106" s="152">
        <f t="shared" si="38"/>
        <v>5.6527834305612084E-4</v>
      </c>
      <c r="AD106" s="152"/>
      <c r="AE106" s="221">
        <v>94</v>
      </c>
      <c r="AF106" s="221">
        <v>96</v>
      </c>
      <c r="AG106" s="221">
        <v>32</v>
      </c>
      <c r="AH106" s="221">
        <v>51</v>
      </c>
      <c r="AI106" s="221">
        <v>36</v>
      </c>
      <c r="AJ106" s="221">
        <v>17</v>
      </c>
      <c r="AK106" s="221">
        <v>-1</v>
      </c>
      <c r="AL106" s="221">
        <v>0</v>
      </c>
      <c r="AM106" s="221">
        <v>325</v>
      </c>
      <c r="AN106" s="147"/>
      <c r="AO106" s="221">
        <v>-35</v>
      </c>
      <c r="AP106" s="221">
        <v>-14</v>
      </c>
      <c r="AQ106" s="221">
        <v>-9</v>
      </c>
      <c r="AR106" s="221">
        <v>9</v>
      </c>
      <c r="AS106" s="221">
        <v>1</v>
      </c>
      <c r="AT106" s="221">
        <v>2</v>
      </c>
      <c r="AU106" s="221">
        <v>2</v>
      </c>
      <c r="AV106" s="221">
        <v>1</v>
      </c>
      <c r="AW106" s="221">
        <v>-43</v>
      </c>
      <c r="AX106" s="56">
        <f t="shared" si="39"/>
        <v>35</v>
      </c>
      <c r="AY106" s="56">
        <f t="shared" si="39"/>
        <v>14</v>
      </c>
      <c r="AZ106" s="56">
        <f t="shared" si="39"/>
        <v>9</v>
      </c>
      <c r="BA106" s="56">
        <f t="shared" si="39"/>
        <v>-9</v>
      </c>
      <c r="BB106" s="56">
        <f t="shared" si="39"/>
        <v>-1</v>
      </c>
      <c r="BC106" s="56">
        <f t="shared" si="39"/>
        <v>-2</v>
      </c>
      <c r="BD106" s="56">
        <f t="shared" si="39"/>
        <v>-2</v>
      </c>
      <c r="BE106" s="56">
        <f t="shared" si="39"/>
        <v>-1</v>
      </c>
      <c r="BF106" s="56">
        <f t="shared" si="58"/>
        <v>43</v>
      </c>
      <c r="BH106">
        <f t="shared" si="40"/>
        <v>0.8</v>
      </c>
      <c r="BI106">
        <f t="shared" si="49"/>
        <v>0.19999999999999996</v>
      </c>
      <c r="BJ106" s="154">
        <v>290146.75200000004</v>
      </c>
      <c r="BK106" s="155">
        <f t="shared" si="41"/>
        <v>290146.75200000004</v>
      </c>
      <c r="BL106" s="156">
        <v>323310.66488888883</v>
      </c>
      <c r="BM106" s="155">
        <f t="shared" si="42"/>
        <v>323310.66488888883</v>
      </c>
      <c r="BN106" s="158">
        <v>246928.54755555556</v>
      </c>
      <c r="BO106" s="155">
        <f t="shared" si="43"/>
        <v>246928.54755555556</v>
      </c>
      <c r="BP106" s="158">
        <v>356098.34666666668</v>
      </c>
      <c r="BQ106" s="155">
        <f t="shared" si="44"/>
        <v>356098.34666666668</v>
      </c>
      <c r="BR106" s="158">
        <v>346573.5946666667</v>
      </c>
      <c r="BS106" s="155">
        <f t="shared" si="45"/>
        <v>346573.5946666667</v>
      </c>
      <c r="BT106" s="194">
        <v>479257.2337777777</v>
      </c>
      <c r="BU106" s="194"/>
      <c r="BV106" s="348">
        <f t="shared" si="50"/>
        <v>479257.2337777777</v>
      </c>
      <c r="BW106" s="195">
        <f t="shared" si="46"/>
        <v>393283.77955555561</v>
      </c>
      <c r="BX106" s="157">
        <f t="shared" si="51"/>
        <v>98320.944888888902</v>
      </c>
      <c r="BY106" s="157">
        <f>IF(E106*$CJ$10*'Year 7 Payments'!$L$20*IF(B106="",1,0.8)&lt;=(BW106-(J106*350)),E106*$CJ$10*'Year 7 Payments'!$L$20*IF(B106="",1,0.8),BW106-(IF(B106="",1,0.8)*J106*350))</f>
        <v>173003.70498844449</v>
      </c>
      <c r="BZ106" s="157">
        <f t="shared" si="52"/>
        <v>43250.926247111121</v>
      </c>
      <c r="CA106" s="157">
        <f t="shared" si="53"/>
        <v>220280.07456711112</v>
      </c>
      <c r="CB106" s="157">
        <f t="shared" si="54"/>
        <v>55070.01864177778</v>
      </c>
      <c r="CC106" s="157">
        <f t="shared" si="55"/>
        <v>881120.29826844449</v>
      </c>
      <c r="CD106" s="201">
        <f t="shared" si="56"/>
        <v>220280.07456711112</v>
      </c>
      <c r="CE106" s="155">
        <f t="shared" si="57"/>
        <v>220280.07456711112</v>
      </c>
    </row>
    <row r="107" spans="1:83" x14ac:dyDescent="0.2">
      <c r="A107" s="147" t="s">
        <v>576</v>
      </c>
      <c r="B107" s="57" t="s">
        <v>458</v>
      </c>
      <c r="C107" s="57" t="s">
        <v>459</v>
      </c>
      <c r="D107" s="148" t="s">
        <v>135</v>
      </c>
      <c r="E107" s="197">
        <v>25170</v>
      </c>
      <c r="F107" s="147">
        <f t="shared" si="47"/>
        <v>29488</v>
      </c>
      <c r="G107" s="342">
        <v>264</v>
      </c>
      <c r="H107" s="149">
        <f t="shared" si="31"/>
        <v>153</v>
      </c>
      <c r="I107" s="346">
        <v>55.98666666666665</v>
      </c>
      <c r="J107" s="150">
        <v>5</v>
      </c>
      <c r="K107"/>
      <c r="L107" s="151">
        <v>6580</v>
      </c>
      <c r="M107" s="151">
        <v>9782</v>
      </c>
      <c r="N107" s="151">
        <v>5940</v>
      </c>
      <c r="O107" s="151">
        <v>4012</v>
      </c>
      <c r="P107" s="151">
        <v>1977</v>
      </c>
      <c r="Q107" s="151">
        <v>703</v>
      </c>
      <c r="R107" s="151">
        <v>441</v>
      </c>
      <c r="S107" s="151">
        <v>53</v>
      </c>
      <c r="T107" s="151">
        <v>29488</v>
      </c>
      <c r="U107" s="147"/>
      <c r="V107" s="152">
        <f t="shared" si="48"/>
        <v>0.22314161692892023</v>
      </c>
      <c r="W107" s="152">
        <f t="shared" si="32"/>
        <v>0.33172816060770483</v>
      </c>
      <c r="X107" s="152">
        <f t="shared" si="33"/>
        <v>0.20143787303309821</v>
      </c>
      <c r="Y107" s="152">
        <f t="shared" si="34"/>
        <v>0.13605534454693435</v>
      </c>
      <c r="Z107" s="152">
        <f t="shared" si="35"/>
        <v>6.7044221378187732E-2</v>
      </c>
      <c r="AA107" s="152">
        <f t="shared" si="36"/>
        <v>2.3840206185567009E-2</v>
      </c>
      <c r="AB107" s="152">
        <f t="shared" si="37"/>
        <v>1.4955236028214866E-2</v>
      </c>
      <c r="AC107" s="152">
        <f t="shared" si="38"/>
        <v>1.7973412913727619E-3</v>
      </c>
      <c r="AD107" s="152"/>
      <c r="AE107" s="221">
        <v>34</v>
      </c>
      <c r="AF107" s="221">
        <v>-35</v>
      </c>
      <c r="AG107" s="221">
        <v>26</v>
      </c>
      <c r="AH107" s="221">
        <v>35</v>
      </c>
      <c r="AI107" s="221">
        <v>51</v>
      </c>
      <c r="AJ107" s="221">
        <v>5</v>
      </c>
      <c r="AK107" s="221">
        <v>8</v>
      </c>
      <c r="AL107" s="221">
        <v>0</v>
      </c>
      <c r="AM107" s="221">
        <v>124</v>
      </c>
      <c r="AN107" s="147"/>
      <c r="AO107" s="221">
        <v>-14</v>
      </c>
      <c r="AP107" s="221">
        <v>-7</v>
      </c>
      <c r="AQ107" s="221">
        <v>-6</v>
      </c>
      <c r="AR107" s="221">
        <v>-4</v>
      </c>
      <c r="AS107" s="221">
        <v>0</v>
      </c>
      <c r="AT107" s="221">
        <v>-1</v>
      </c>
      <c r="AU107" s="221">
        <v>2</v>
      </c>
      <c r="AV107" s="221">
        <v>1</v>
      </c>
      <c r="AW107" s="221">
        <v>-29</v>
      </c>
      <c r="AX107" s="56">
        <f t="shared" si="39"/>
        <v>14</v>
      </c>
      <c r="AY107" s="56">
        <f t="shared" si="39"/>
        <v>7</v>
      </c>
      <c r="AZ107" s="56">
        <f t="shared" si="39"/>
        <v>6</v>
      </c>
      <c r="BA107" s="56">
        <f t="shared" si="39"/>
        <v>4</v>
      </c>
      <c r="BB107" s="56">
        <f t="shared" si="39"/>
        <v>0</v>
      </c>
      <c r="BC107" s="56">
        <f t="shared" si="39"/>
        <v>1</v>
      </c>
      <c r="BD107" s="56">
        <f t="shared" si="39"/>
        <v>-2</v>
      </c>
      <c r="BE107" s="56">
        <f t="shared" si="39"/>
        <v>-1</v>
      </c>
      <c r="BF107" s="56">
        <f t="shared" si="58"/>
        <v>29</v>
      </c>
      <c r="BH107">
        <f t="shared" si="40"/>
        <v>0.8</v>
      </c>
      <c r="BI107">
        <f t="shared" si="49"/>
        <v>0.19999999999999996</v>
      </c>
      <c r="BJ107" s="154">
        <v>562383.21066666662</v>
      </c>
      <c r="BK107" s="155">
        <f t="shared" si="41"/>
        <v>562383.21066666662</v>
      </c>
      <c r="BL107" s="156">
        <v>873586.68533333321</v>
      </c>
      <c r="BM107" s="155">
        <f t="shared" si="42"/>
        <v>873586.68533333321</v>
      </c>
      <c r="BN107" s="158">
        <v>242783.06400000001</v>
      </c>
      <c r="BO107" s="155">
        <f t="shared" si="43"/>
        <v>242783.06400000001</v>
      </c>
      <c r="BP107" s="158">
        <v>476383.46666666673</v>
      </c>
      <c r="BQ107" s="155">
        <f t="shared" si="44"/>
        <v>476383.46666666673</v>
      </c>
      <c r="BR107" s="158">
        <v>282025.91288888891</v>
      </c>
      <c r="BS107" s="155">
        <f t="shared" si="45"/>
        <v>282025.91288888891</v>
      </c>
      <c r="BT107" s="194">
        <v>206485.10399999996</v>
      </c>
      <c r="BU107" s="194"/>
      <c r="BV107" s="348">
        <f t="shared" si="50"/>
        <v>206485.10399999996</v>
      </c>
      <c r="BW107" s="195">
        <f t="shared" si="46"/>
        <v>193104.85333333333</v>
      </c>
      <c r="BX107" s="157">
        <f t="shared" si="51"/>
        <v>48276.213333333333</v>
      </c>
      <c r="BY107" s="157">
        <f>IF(E107*$CJ$10*'Year 7 Payments'!$L$20*IF(B107="",1,0.8)&lt;=(BW107-(J107*350)),E107*$CJ$10*'Year 7 Payments'!$L$20*IF(B107="",1,0.8),BW107-(IF(B107="",1,0.8)*J107*350))</f>
        <v>123196.88063999999</v>
      </c>
      <c r="BZ107" s="157">
        <f t="shared" si="52"/>
        <v>30799.220159999997</v>
      </c>
      <c r="CA107" s="157">
        <f t="shared" si="53"/>
        <v>69907.972693333344</v>
      </c>
      <c r="CB107" s="157">
        <f t="shared" si="54"/>
        <v>17476.993173333336</v>
      </c>
      <c r="CC107" s="157">
        <f t="shared" si="55"/>
        <v>279631.89077333338</v>
      </c>
      <c r="CD107" s="201">
        <f t="shared" si="56"/>
        <v>69907.972693333344</v>
      </c>
      <c r="CE107" s="155">
        <f t="shared" si="57"/>
        <v>69907.972693333344</v>
      </c>
    </row>
    <row r="108" spans="1:83" x14ac:dyDescent="0.2">
      <c r="A108" s="147" t="s">
        <v>577</v>
      </c>
      <c r="B108" s="57" t="s">
        <v>518</v>
      </c>
      <c r="C108" s="57" t="s">
        <v>472</v>
      </c>
      <c r="D108" s="148" t="s">
        <v>136</v>
      </c>
      <c r="E108" s="197">
        <v>34189.888888888891</v>
      </c>
      <c r="F108" s="147">
        <f t="shared" si="47"/>
        <v>37826</v>
      </c>
      <c r="G108" s="342">
        <v>465</v>
      </c>
      <c r="H108" s="149">
        <f t="shared" si="31"/>
        <v>369</v>
      </c>
      <c r="I108" s="346">
        <v>213.35155555555559</v>
      </c>
      <c r="J108" s="150">
        <v>67</v>
      </c>
      <c r="K108"/>
      <c r="L108" s="151">
        <v>6828</v>
      </c>
      <c r="M108" s="151">
        <v>9768</v>
      </c>
      <c r="N108" s="151">
        <v>8490</v>
      </c>
      <c r="O108" s="151">
        <v>5623</v>
      </c>
      <c r="P108" s="151">
        <v>4105</v>
      </c>
      <c r="Q108" s="151">
        <v>1963</v>
      </c>
      <c r="R108" s="151">
        <v>975</v>
      </c>
      <c r="S108" s="151">
        <v>74</v>
      </c>
      <c r="T108" s="151">
        <v>37826</v>
      </c>
      <c r="U108" s="147"/>
      <c r="V108" s="152">
        <f t="shared" si="48"/>
        <v>0.1805107597948501</v>
      </c>
      <c r="W108" s="152">
        <f t="shared" si="32"/>
        <v>0.25823507640247451</v>
      </c>
      <c r="X108" s="152">
        <f t="shared" si="33"/>
        <v>0.22444879183630306</v>
      </c>
      <c r="Y108" s="152">
        <f t="shared" si="34"/>
        <v>0.14865436472267751</v>
      </c>
      <c r="Z108" s="152">
        <f t="shared" si="35"/>
        <v>0.10852323798445514</v>
      </c>
      <c r="AA108" s="152">
        <f t="shared" si="36"/>
        <v>5.1895521598900228E-2</v>
      </c>
      <c r="AB108" s="152">
        <f t="shared" si="37"/>
        <v>2.5775921323957066E-2</v>
      </c>
      <c r="AC108" s="152">
        <f t="shared" si="38"/>
        <v>1.9563263363823824E-3</v>
      </c>
      <c r="AD108" s="152"/>
      <c r="AE108" s="221">
        <v>68</v>
      </c>
      <c r="AF108" s="221">
        <v>28</v>
      </c>
      <c r="AG108" s="221">
        <v>82</v>
      </c>
      <c r="AH108" s="221">
        <v>42</v>
      </c>
      <c r="AI108" s="221">
        <v>51</v>
      </c>
      <c r="AJ108" s="221">
        <v>20</v>
      </c>
      <c r="AK108" s="221">
        <v>8</v>
      </c>
      <c r="AL108" s="221">
        <v>1</v>
      </c>
      <c r="AM108" s="221">
        <v>300</v>
      </c>
      <c r="AN108" s="147"/>
      <c r="AO108" s="221">
        <v>-21</v>
      </c>
      <c r="AP108" s="221">
        <v>-8</v>
      </c>
      <c r="AQ108" s="221">
        <v>-21</v>
      </c>
      <c r="AR108" s="221">
        <v>-11</v>
      </c>
      <c r="AS108" s="221">
        <v>-4</v>
      </c>
      <c r="AT108" s="221">
        <v>-1</v>
      </c>
      <c r="AU108" s="221">
        <v>-2</v>
      </c>
      <c r="AV108" s="221">
        <v>-1</v>
      </c>
      <c r="AW108" s="221">
        <v>-69</v>
      </c>
      <c r="AX108" s="56">
        <f t="shared" si="39"/>
        <v>21</v>
      </c>
      <c r="AY108" s="56">
        <f t="shared" si="39"/>
        <v>8</v>
      </c>
      <c r="AZ108" s="56">
        <f t="shared" si="39"/>
        <v>21</v>
      </c>
      <c r="BA108" s="56">
        <f t="shared" si="39"/>
        <v>11</v>
      </c>
      <c r="BB108" s="56">
        <f t="shared" si="39"/>
        <v>4</v>
      </c>
      <c r="BC108" s="56">
        <f t="shared" si="39"/>
        <v>1</v>
      </c>
      <c r="BD108" s="56">
        <f t="shared" si="39"/>
        <v>2</v>
      </c>
      <c r="BE108" s="56">
        <f t="shared" si="39"/>
        <v>1</v>
      </c>
      <c r="BF108" s="56">
        <f t="shared" si="58"/>
        <v>69</v>
      </c>
      <c r="BH108">
        <f t="shared" si="40"/>
        <v>0.8</v>
      </c>
      <c r="BI108">
        <f t="shared" si="49"/>
        <v>0.19999999999999996</v>
      </c>
      <c r="BJ108" s="154">
        <v>168356.75733333334</v>
      </c>
      <c r="BK108" s="155">
        <f t="shared" si="41"/>
        <v>168356.75733333334</v>
      </c>
      <c r="BL108" s="156">
        <v>269136.27377777779</v>
      </c>
      <c r="BM108" s="155">
        <f t="shared" si="42"/>
        <v>269136.27377777779</v>
      </c>
      <c r="BN108" s="158">
        <v>372115.29955555557</v>
      </c>
      <c r="BO108" s="155">
        <f t="shared" si="43"/>
        <v>372115.29955555557</v>
      </c>
      <c r="BP108" s="158">
        <v>321163.84000000003</v>
      </c>
      <c r="BQ108" s="155">
        <f t="shared" si="44"/>
        <v>321163.84000000003</v>
      </c>
      <c r="BR108" s="158">
        <v>392801.04533333331</v>
      </c>
      <c r="BS108" s="155">
        <f t="shared" si="45"/>
        <v>392801.04533333331</v>
      </c>
      <c r="BT108" s="194">
        <v>557868.40355555562</v>
      </c>
      <c r="BU108" s="194"/>
      <c r="BV108" s="348">
        <f t="shared" si="50"/>
        <v>557868.40355555562</v>
      </c>
      <c r="BW108" s="195">
        <f t="shared" si="46"/>
        <v>447172.76088888897</v>
      </c>
      <c r="BX108" s="157">
        <f t="shared" si="51"/>
        <v>111793.19022222224</v>
      </c>
      <c r="BY108" s="157">
        <f>IF(E108*$CJ$10*'Year 7 Payments'!$L$20*IF(B108="",1,0.8)&lt;=(BW108-(J108*350)),E108*$CJ$10*'Year 7 Payments'!$L$20*IF(B108="",1,0.8),BW108-(IF(B108="",1,0.8)*J108*350))</f>
        <v>167345.55663644447</v>
      </c>
      <c r="BZ108" s="157">
        <f t="shared" si="52"/>
        <v>41836.389159111117</v>
      </c>
      <c r="CA108" s="157">
        <f t="shared" si="53"/>
        <v>279827.2042524445</v>
      </c>
      <c r="CB108" s="157">
        <f t="shared" si="54"/>
        <v>69956.801063111125</v>
      </c>
      <c r="CC108" s="157">
        <f t="shared" si="55"/>
        <v>1119308.817009778</v>
      </c>
      <c r="CD108" s="201">
        <f t="shared" si="56"/>
        <v>279827.2042524445</v>
      </c>
      <c r="CE108" s="155">
        <f t="shared" si="57"/>
        <v>279827.2042524445</v>
      </c>
    </row>
    <row r="109" spans="1:83" x14ac:dyDescent="0.2">
      <c r="A109" s="147" t="s">
        <v>578</v>
      </c>
      <c r="B109" s="57" t="s">
        <v>503</v>
      </c>
      <c r="C109" s="57" t="s">
        <v>446</v>
      </c>
      <c r="D109" s="148" t="s">
        <v>137</v>
      </c>
      <c r="E109" s="197">
        <v>35630.111111111109</v>
      </c>
      <c r="F109" s="147">
        <f t="shared" si="47"/>
        <v>37886</v>
      </c>
      <c r="G109" s="342">
        <v>470</v>
      </c>
      <c r="H109" s="149">
        <f t="shared" si="31"/>
        <v>418</v>
      </c>
      <c r="I109" s="346">
        <v>308.36844444444444</v>
      </c>
      <c r="J109" s="150">
        <v>37</v>
      </c>
      <c r="K109"/>
      <c r="L109" s="151">
        <v>6955</v>
      </c>
      <c r="M109" s="151">
        <v>6332</v>
      </c>
      <c r="N109" s="151">
        <v>8741</v>
      </c>
      <c r="O109" s="151">
        <v>6986</v>
      </c>
      <c r="P109" s="151">
        <v>4694</v>
      </c>
      <c r="Q109" s="151">
        <v>2519</v>
      </c>
      <c r="R109" s="151">
        <v>1534</v>
      </c>
      <c r="S109" s="151">
        <v>125</v>
      </c>
      <c r="T109" s="151">
        <v>37886</v>
      </c>
      <c r="U109" s="147"/>
      <c r="V109" s="152">
        <f t="shared" si="48"/>
        <v>0.18357704693026447</v>
      </c>
      <c r="W109" s="152">
        <f t="shared" si="32"/>
        <v>0.16713297788101145</v>
      </c>
      <c r="X109" s="152">
        <f t="shared" si="33"/>
        <v>0.23071847120308292</v>
      </c>
      <c r="Y109" s="152">
        <f t="shared" si="34"/>
        <v>0.18439529113656761</v>
      </c>
      <c r="Z109" s="152">
        <f t="shared" si="35"/>
        <v>0.12389800981893048</v>
      </c>
      <c r="AA109" s="152">
        <f t="shared" si="36"/>
        <v>6.6488940505727706E-2</v>
      </c>
      <c r="AB109" s="152">
        <f t="shared" si="37"/>
        <v>4.0489890724805994E-2</v>
      </c>
      <c r="AC109" s="152">
        <f t="shared" si="38"/>
        <v>3.2993717996093546E-3</v>
      </c>
      <c r="AD109" s="152"/>
      <c r="AE109" s="221">
        <v>20</v>
      </c>
      <c r="AF109" s="221">
        <v>31</v>
      </c>
      <c r="AG109" s="221">
        <v>45</v>
      </c>
      <c r="AH109" s="221">
        <v>81</v>
      </c>
      <c r="AI109" s="221">
        <v>105</v>
      </c>
      <c r="AJ109" s="221">
        <v>57</v>
      </c>
      <c r="AK109" s="221">
        <v>4</v>
      </c>
      <c r="AL109" s="221">
        <v>8</v>
      </c>
      <c r="AM109" s="221">
        <v>351</v>
      </c>
      <c r="AN109" s="147"/>
      <c r="AO109" s="221">
        <v>-32</v>
      </c>
      <c r="AP109" s="221">
        <v>-10</v>
      </c>
      <c r="AQ109" s="221">
        <v>-12</v>
      </c>
      <c r="AR109" s="221">
        <v>-11</v>
      </c>
      <c r="AS109" s="221">
        <v>16</v>
      </c>
      <c r="AT109" s="221">
        <v>-11</v>
      </c>
      <c r="AU109" s="221">
        <v>-6</v>
      </c>
      <c r="AV109" s="221">
        <v>-1</v>
      </c>
      <c r="AW109" s="221">
        <v>-67</v>
      </c>
      <c r="AX109" s="56">
        <f t="shared" si="39"/>
        <v>32</v>
      </c>
      <c r="AY109" s="56">
        <f t="shared" si="39"/>
        <v>10</v>
      </c>
      <c r="AZ109" s="56">
        <f t="shared" si="39"/>
        <v>12</v>
      </c>
      <c r="BA109" s="56">
        <f t="shared" si="39"/>
        <v>11</v>
      </c>
      <c r="BB109" s="56">
        <f t="shared" si="39"/>
        <v>-16</v>
      </c>
      <c r="BC109" s="56">
        <f t="shared" si="39"/>
        <v>11</v>
      </c>
      <c r="BD109" s="56">
        <f t="shared" si="39"/>
        <v>6</v>
      </c>
      <c r="BE109" s="56">
        <f t="shared" si="39"/>
        <v>1</v>
      </c>
      <c r="BF109" s="56">
        <f t="shared" si="58"/>
        <v>67</v>
      </c>
      <c r="BH109">
        <f t="shared" si="40"/>
        <v>0.8</v>
      </c>
      <c r="BI109">
        <f t="shared" si="49"/>
        <v>0.19999999999999996</v>
      </c>
      <c r="BJ109" s="154">
        <v>278632.99200000003</v>
      </c>
      <c r="BK109" s="155">
        <f t="shared" si="41"/>
        <v>278632.99200000003</v>
      </c>
      <c r="BL109" s="156">
        <v>306617.56355555548</v>
      </c>
      <c r="BM109" s="155">
        <f t="shared" si="42"/>
        <v>306617.56355555548</v>
      </c>
      <c r="BN109" s="158">
        <v>308084.1875555556</v>
      </c>
      <c r="BO109" s="155">
        <f t="shared" si="43"/>
        <v>308084.1875555556</v>
      </c>
      <c r="BP109" s="158">
        <v>375637.76000000001</v>
      </c>
      <c r="BQ109" s="155">
        <f t="shared" si="44"/>
        <v>375637.76000000001</v>
      </c>
      <c r="BR109" s="158">
        <v>384939.49866666668</v>
      </c>
      <c r="BS109" s="155">
        <f t="shared" si="45"/>
        <v>384939.49866666668</v>
      </c>
      <c r="BT109" s="194">
        <v>204884.51199999999</v>
      </c>
      <c r="BU109" s="194"/>
      <c r="BV109" s="348">
        <f t="shared" si="50"/>
        <v>204884.51199999999</v>
      </c>
      <c r="BW109" s="195">
        <f t="shared" si="46"/>
        <v>562089.2871111111</v>
      </c>
      <c r="BX109" s="157">
        <f t="shared" si="51"/>
        <v>140522.32177777778</v>
      </c>
      <c r="BY109" s="157">
        <f>IF(E109*$CJ$10*'Year 7 Payments'!$L$20*IF(B109="",1,0.8)&lt;=(BW109-(J109*350)),E109*$CJ$10*'Year 7 Payments'!$L$20*IF(B109="",1,0.8),BW109-(IF(B109="",1,0.8)*J109*350))</f>
        <v>174394.85680355554</v>
      </c>
      <c r="BZ109" s="157">
        <f t="shared" si="52"/>
        <v>43598.714200888884</v>
      </c>
      <c r="CA109" s="157">
        <f t="shared" si="53"/>
        <v>387694.43030755559</v>
      </c>
      <c r="CB109" s="157">
        <f t="shared" si="54"/>
        <v>96923.607576888899</v>
      </c>
      <c r="CC109" s="157">
        <f t="shared" si="55"/>
        <v>1550777.7212302224</v>
      </c>
      <c r="CD109" s="201">
        <f t="shared" si="56"/>
        <v>387694.43030755559</v>
      </c>
      <c r="CE109" s="155">
        <f t="shared" si="57"/>
        <v>387694.43030755559</v>
      </c>
    </row>
    <row r="110" spans="1:83" x14ac:dyDescent="0.2">
      <c r="A110" s="147" t="s">
        <v>579</v>
      </c>
      <c r="B110" s="57"/>
      <c r="C110" s="57" t="s">
        <v>543</v>
      </c>
      <c r="D110" s="148" t="s">
        <v>138</v>
      </c>
      <c r="E110" s="197">
        <v>70008.666666666657</v>
      </c>
      <c r="F110" s="147">
        <f t="shared" si="47"/>
        <v>93200</v>
      </c>
      <c r="G110" s="342">
        <v>1022</v>
      </c>
      <c r="H110" s="149">
        <f t="shared" si="31"/>
        <v>320</v>
      </c>
      <c r="I110" s="346">
        <v>19.520888888888919</v>
      </c>
      <c r="J110" s="150">
        <v>35</v>
      </c>
      <c r="K110"/>
      <c r="L110" s="151">
        <v>56473</v>
      </c>
      <c r="M110" s="151">
        <v>12655</v>
      </c>
      <c r="N110" s="151">
        <v>15009</v>
      </c>
      <c r="O110" s="151">
        <v>5576</v>
      </c>
      <c r="P110" s="151">
        <v>2254</v>
      </c>
      <c r="Q110" s="151">
        <v>816</v>
      </c>
      <c r="R110" s="151">
        <v>368</v>
      </c>
      <c r="S110" s="151">
        <v>49</v>
      </c>
      <c r="T110" s="151">
        <v>93200</v>
      </c>
      <c r="U110" s="147"/>
      <c r="V110" s="152">
        <f t="shared" si="48"/>
        <v>0.60593347639484973</v>
      </c>
      <c r="W110" s="152">
        <f t="shared" si="32"/>
        <v>0.13578326180257511</v>
      </c>
      <c r="X110" s="152">
        <f t="shared" si="33"/>
        <v>0.16104077253218885</v>
      </c>
      <c r="Y110" s="152">
        <f t="shared" si="34"/>
        <v>5.9828326180257511E-2</v>
      </c>
      <c r="Z110" s="152">
        <f t="shared" si="35"/>
        <v>2.4184549356223176E-2</v>
      </c>
      <c r="AA110" s="152">
        <f t="shared" si="36"/>
        <v>8.7553648068669533E-3</v>
      </c>
      <c r="AB110" s="152">
        <f t="shared" si="37"/>
        <v>3.948497854077253E-3</v>
      </c>
      <c r="AC110" s="152">
        <f t="shared" si="38"/>
        <v>5.2575107296137335E-4</v>
      </c>
      <c r="AD110" s="152"/>
      <c r="AE110" s="221">
        <v>10</v>
      </c>
      <c r="AF110" s="221">
        <v>112</v>
      </c>
      <c r="AG110" s="221">
        <v>153</v>
      </c>
      <c r="AH110" s="221">
        <v>39</v>
      </c>
      <c r="AI110" s="221">
        <v>44</v>
      </c>
      <c r="AJ110" s="221">
        <v>3</v>
      </c>
      <c r="AK110" s="221">
        <v>1</v>
      </c>
      <c r="AL110" s="221">
        <v>1</v>
      </c>
      <c r="AM110" s="221">
        <v>363</v>
      </c>
      <c r="AN110" s="147"/>
      <c r="AO110" s="221">
        <v>55</v>
      </c>
      <c r="AP110" s="221">
        <v>-16</v>
      </c>
      <c r="AQ110" s="221">
        <v>-1</v>
      </c>
      <c r="AR110" s="221">
        <v>-1</v>
      </c>
      <c r="AS110" s="221">
        <v>1</v>
      </c>
      <c r="AT110" s="221">
        <v>4</v>
      </c>
      <c r="AU110" s="221">
        <v>1</v>
      </c>
      <c r="AV110" s="221">
        <v>0</v>
      </c>
      <c r="AW110" s="221">
        <v>43</v>
      </c>
      <c r="AX110" s="56">
        <f t="shared" si="39"/>
        <v>-55</v>
      </c>
      <c r="AY110" s="56">
        <f t="shared" si="39"/>
        <v>16</v>
      </c>
      <c r="AZ110" s="56">
        <f t="shared" si="39"/>
        <v>1</v>
      </c>
      <c r="BA110" s="56">
        <f t="shared" si="39"/>
        <v>1</v>
      </c>
      <c r="BB110" s="56">
        <f t="shared" si="39"/>
        <v>-1</v>
      </c>
      <c r="BC110" s="56">
        <f t="shared" si="39"/>
        <v>-4</v>
      </c>
      <c r="BD110" s="56">
        <f t="shared" si="39"/>
        <v>-1</v>
      </c>
      <c r="BE110" s="56">
        <f t="shared" si="39"/>
        <v>0</v>
      </c>
      <c r="BF110" s="56">
        <f t="shared" si="58"/>
        <v>-43</v>
      </c>
      <c r="BH110">
        <f t="shared" si="40"/>
        <v>1</v>
      </c>
      <c r="BI110">
        <f t="shared" si="49"/>
        <v>0</v>
      </c>
      <c r="BJ110" s="154">
        <v>68282.993333333317</v>
      </c>
      <c r="BK110" s="155">
        <f t="shared" si="41"/>
        <v>68282.993333333317</v>
      </c>
      <c r="BL110" s="156">
        <v>602068.47666666657</v>
      </c>
      <c r="BM110" s="155">
        <f t="shared" si="42"/>
        <v>602068.47666666657</v>
      </c>
      <c r="BN110" s="158">
        <v>341416.28666666668</v>
      </c>
      <c r="BO110" s="155">
        <f t="shared" si="43"/>
        <v>341416.28666666668</v>
      </c>
      <c r="BP110" s="158">
        <v>380783.33333333343</v>
      </c>
      <c r="BQ110" s="155">
        <f t="shared" si="44"/>
        <v>380783.33333333343</v>
      </c>
      <c r="BR110" s="158">
        <v>937470.95111111109</v>
      </c>
      <c r="BS110" s="155">
        <f t="shared" si="45"/>
        <v>937470.95111111109</v>
      </c>
      <c r="BT110" s="194">
        <v>778331.66444444458</v>
      </c>
      <c r="BU110" s="194"/>
      <c r="BV110" s="348">
        <f t="shared" si="50"/>
        <v>778331.66444444458</v>
      </c>
      <c r="BW110" s="195">
        <f t="shared" si="46"/>
        <v>470438.19555555552</v>
      </c>
      <c r="BX110" s="157" t="str">
        <f t="shared" si="51"/>
        <v>0</v>
      </c>
      <c r="BY110" s="157">
        <f>IF(E110*$CJ$10*'Year 7 Payments'!$L$20*IF(B110="",1,0.8)&lt;=(BW110-(J110*350)),E110*$CJ$10*'Year 7 Payments'!$L$20*IF(B110="",1,0.8),BW110-(IF(B110="",1,0.8)*J110*350))</f>
        <v>428329.82474666659</v>
      </c>
      <c r="BZ110" s="157" t="str">
        <f t="shared" si="52"/>
        <v>0</v>
      </c>
      <c r="CA110" s="157">
        <f t="shared" si="53"/>
        <v>42108.370808888925</v>
      </c>
      <c r="CB110" s="157">
        <f t="shared" si="54"/>
        <v>0</v>
      </c>
      <c r="CC110" s="157">
        <f t="shared" si="55"/>
        <v>168433.4832355557</v>
      </c>
      <c r="CD110" s="201">
        <f t="shared" si="56"/>
        <v>0</v>
      </c>
      <c r="CE110" s="155">
        <f t="shared" si="57"/>
        <v>42108.370808888925</v>
      </c>
    </row>
    <row r="111" spans="1:83" x14ac:dyDescent="0.2">
      <c r="A111" s="147" t="s">
        <v>580</v>
      </c>
      <c r="B111" s="57" t="s">
        <v>452</v>
      </c>
      <c r="C111" s="57" t="s">
        <v>449</v>
      </c>
      <c r="D111" s="148" t="s">
        <v>139</v>
      </c>
      <c r="E111" s="197">
        <v>44499.444444444445</v>
      </c>
      <c r="F111" s="147">
        <f t="shared" si="47"/>
        <v>52135</v>
      </c>
      <c r="G111" s="342">
        <v>407</v>
      </c>
      <c r="H111" s="149">
        <f t="shared" si="31"/>
        <v>173</v>
      </c>
      <c r="I111" s="346">
        <v>0</v>
      </c>
      <c r="J111" s="150">
        <v>32</v>
      </c>
      <c r="K111"/>
      <c r="L111" s="151">
        <v>14440</v>
      </c>
      <c r="M111" s="151">
        <v>14967</v>
      </c>
      <c r="N111" s="151">
        <v>10015</v>
      </c>
      <c r="O111" s="151">
        <v>6566</v>
      </c>
      <c r="P111" s="151">
        <v>3837</v>
      </c>
      <c r="Q111" s="151">
        <v>1387</v>
      </c>
      <c r="R111" s="151">
        <v>835</v>
      </c>
      <c r="S111" s="151">
        <v>88</v>
      </c>
      <c r="T111" s="151">
        <v>52135</v>
      </c>
      <c r="U111" s="147"/>
      <c r="V111" s="152">
        <f t="shared" si="48"/>
        <v>0.27697324254339695</v>
      </c>
      <c r="W111" s="152">
        <f t="shared" si="32"/>
        <v>0.28708161503788243</v>
      </c>
      <c r="X111" s="152">
        <f t="shared" si="33"/>
        <v>0.19209743934017454</v>
      </c>
      <c r="Y111" s="152">
        <f t="shared" si="34"/>
        <v>0.12594226527284932</v>
      </c>
      <c r="Z111" s="152">
        <f t="shared" si="35"/>
        <v>7.3597391387743363E-2</v>
      </c>
      <c r="AA111" s="152">
        <f t="shared" si="36"/>
        <v>2.660400882324734E-2</v>
      </c>
      <c r="AB111" s="152">
        <f t="shared" si="37"/>
        <v>1.6016112016879257E-2</v>
      </c>
      <c r="AC111" s="152">
        <f t="shared" si="38"/>
        <v>1.6879255778267958E-3</v>
      </c>
      <c r="AD111" s="152"/>
      <c r="AE111" s="221">
        <v>28</v>
      </c>
      <c r="AF111" s="221">
        <v>41</v>
      </c>
      <c r="AG111" s="221">
        <v>-2</v>
      </c>
      <c r="AH111" s="221">
        <v>-7</v>
      </c>
      <c r="AI111" s="221">
        <v>41</v>
      </c>
      <c r="AJ111" s="221">
        <v>9</v>
      </c>
      <c r="AK111" s="221">
        <v>2</v>
      </c>
      <c r="AL111" s="221">
        <v>1</v>
      </c>
      <c r="AM111" s="221">
        <v>113</v>
      </c>
      <c r="AN111" s="147"/>
      <c r="AO111" s="221">
        <v>-19</v>
      </c>
      <c r="AP111" s="221">
        <v>-20</v>
      </c>
      <c r="AQ111" s="221">
        <v>-13</v>
      </c>
      <c r="AR111" s="221">
        <v>-10</v>
      </c>
      <c r="AS111" s="221">
        <v>-2</v>
      </c>
      <c r="AT111" s="221">
        <v>1</v>
      </c>
      <c r="AU111" s="221">
        <v>5</v>
      </c>
      <c r="AV111" s="221">
        <v>-2</v>
      </c>
      <c r="AW111" s="221">
        <v>-60</v>
      </c>
      <c r="AX111" s="56">
        <f t="shared" si="39"/>
        <v>19</v>
      </c>
      <c r="AY111" s="56">
        <f t="shared" si="39"/>
        <v>20</v>
      </c>
      <c r="AZ111" s="56">
        <f t="shared" si="39"/>
        <v>13</v>
      </c>
      <c r="BA111" s="56">
        <f t="shared" si="39"/>
        <v>10</v>
      </c>
      <c r="BB111" s="56">
        <f t="shared" si="39"/>
        <v>2</v>
      </c>
      <c r="BC111" s="56">
        <f t="shared" si="39"/>
        <v>-1</v>
      </c>
      <c r="BD111" s="56">
        <f t="shared" si="39"/>
        <v>-5</v>
      </c>
      <c r="BE111" s="56">
        <f t="shared" si="39"/>
        <v>2</v>
      </c>
      <c r="BF111" s="56">
        <f t="shared" si="58"/>
        <v>60</v>
      </c>
      <c r="BH111">
        <f t="shared" si="40"/>
        <v>0.8</v>
      </c>
      <c r="BI111">
        <f t="shared" si="49"/>
        <v>0.19999999999999996</v>
      </c>
      <c r="BJ111" s="154">
        <v>339783.85066666664</v>
      </c>
      <c r="BK111" s="155">
        <f t="shared" si="41"/>
        <v>339783.85066666664</v>
      </c>
      <c r="BL111" s="156">
        <v>409649.52177777776</v>
      </c>
      <c r="BM111" s="155">
        <f t="shared" si="42"/>
        <v>409649.52177777776</v>
      </c>
      <c r="BN111" s="158">
        <v>366296.30133333337</v>
      </c>
      <c r="BO111" s="155">
        <f t="shared" si="43"/>
        <v>366296.30133333337</v>
      </c>
      <c r="BP111" s="158">
        <v>448053.86666666664</v>
      </c>
      <c r="BQ111" s="155">
        <f t="shared" si="44"/>
        <v>448053.86666666664</v>
      </c>
      <c r="BR111" s="158">
        <v>467744.43022222223</v>
      </c>
      <c r="BS111" s="155">
        <f t="shared" si="45"/>
        <v>467744.43022222223</v>
      </c>
      <c r="BT111" s="194">
        <v>368774.82133333333</v>
      </c>
      <c r="BU111" s="194"/>
      <c r="BV111" s="348">
        <f t="shared" si="50"/>
        <v>368774.82133333333</v>
      </c>
      <c r="BW111" s="195">
        <f t="shared" si="46"/>
        <v>200664.85333333327</v>
      </c>
      <c r="BX111" s="157">
        <f t="shared" si="51"/>
        <v>50166.213333333319</v>
      </c>
      <c r="BY111" s="157">
        <f>IF(E111*$CJ$10*'Year 7 Payments'!$L$20*IF(B111="",1,0.8)&lt;=(BW111-(J111*350)),E111*$CJ$10*'Year 7 Payments'!$L$20*IF(B111="",1,0.8),BW111-(IF(B111="",1,0.8)*J111*350))</f>
        <v>191704.85333333327</v>
      </c>
      <c r="BZ111" s="157">
        <f t="shared" si="52"/>
        <v>47926.213333333319</v>
      </c>
      <c r="CA111" s="157">
        <f t="shared" si="53"/>
        <v>8960</v>
      </c>
      <c r="CB111" s="157">
        <f t="shared" si="54"/>
        <v>2240</v>
      </c>
      <c r="CC111" s="157">
        <f t="shared" si="55"/>
        <v>35840</v>
      </c>
      <c r="CD111" s="201">
        <f t="shared" si="56"/>
        <v>8960</v>
      </c>
      <c r="CE111" s="155">
        <f t="shared" si="57"/>
        <v>8960</v>
      </c>
    </row>
    <row r="112" spans="1:83" x14ac:dyDescent="0.2">
      <c r="A112" s="147" t="s">
        <v>581</v>
      </c>
      <c r="B112" s="57" t="s">
        <v>518</v>
      </c>
      <c r="C112" s="57" t="s">
        <v>472</v>
      </c>
      <c r="D112" s="148" t="s">
        <v>140</v>
      </c>
      <c r="E112" s="197">
        <v>46297.444444444438</v>
      </c>
      <c r="F112" s="147">
        <f t="shared" si="47"/>
        <v>56410</v>
      </c>
      <c r="G112" s="342">
        <v>543</v>
      </c>
      <c r="H112" s="149">
        <f t="shared" si="31"/>
        <v>464</v>
      </c>
      <c r="I112" s="346">
        <v>213.92133333333328</v>
      </c>
      <c r="J112" s="150">
        <v>62</v>
      </c>
      <c r="K112"/>
      <c r="L112" s="151">
        <v>16633</v>
      </c>
      <c r="M112" s="151">
        <v>15941</v>
      </c>
      <c r="N112" s="151">
        <v>13475</v>
      </c>
      <c r="O112" s="151">
        <v>5750</v>
      </c>
      <c r="P112" s="151">
        <v>3595</v>
      </c>
      <c r="Q112" s="151">
        <v>834</v>
      </c>
      <c r="R112" s="151">
        <v>175</v>
      </c>
      <c r="S112" s="151">
        <v>7</v>
      </c>
      <c r="T112" s="151">
        <v>56410</v>
      </c>
      <c r="U112" s="147"/>
      <c r="V112" s="152">
        <f t="shared" si="48"/>
        <v>0.2948590675412161</v>
      </c>
      <c r="W112" s="152">
        <f t="shared" si="32"/>
        <v>0.28259173905335933</v>
      </c>
      <c r="X112" s="152">
        <f t="shared" si="33"/>
        <v>0.23887608580038999</v>
      </c>
      <c r="Y112" s="152">
        <f t="shared" si="34"/>
        <v>0.1019322815103705</v>
      </c>
      <c r="Z112" s="152">
        <f t="shared" si="35"/>
        <v>6.3729835135614255E-2</v>
      </c>
      <c r="AA112" s="152">
        <f t="shared" si="36"/>
        <v>1.478461265733026E-2</v>
      </c>
      <c r="AB112" s="152">
        <f t="shared" si="37"/>
        <v>3.1022868285764935E-3</v>
      </c>
      <c r="AC112" s="152">
        <f t="shared" si="38"/>
        <v>1.2409147314305975E-4</v>
      </c>
      <c r="AD112" s="152"/>
      <c r="AE112" s="221">
        <v>83</v>
      </c>
      <c r="AF112" s="221">
        <v>166</v>
      </c>
      <c r="AG112" s="221">
        <v>169</v>
      </c>
      <c r="AH112" s="221">
        <v>65</v>
      </c>
      <c r="AI112" s="221">
        <v>27</v>
      </c>
      <c r="AJ112" s="221">
        <v>4</v>
      </c>
      <c r="AK112" s="221">
        <v>1</v>
      </c>
      <c r="AL112" s="221">
        <v>0</v>
      </c>
      <c r="AM112" s="221">
        <v>515</v>
      </c>
      <c r="AN112" s="147"/>
      <c r="AO112" s="221">
        <v>9</v>
      </c>
      <c r="AP112" s="221">
        <v>15</v>
      </c>
      <c r="AQ112" s="221">
        <v>21</v>
      </c>
      <c r="AR112" s="221">
        <v>7</v>
      </c>
      <c r="AS112" s="221">
        <v>3</v>
      </c>
      <c r="AT112" s="221">
        <v>-3</v>
      </c>
      <c r="AU112" s="221">
        <v>-1</v>
      </c>
      <c r="AV112" s="221">
        <v>0</v>
      </c>
      <c r="AW112" s="221">
        <v>51</v>
      </c>
      <c r="AX112" s="56">
        <f t="shared" si="39"/>
        <v>-9</v>
      </c>
      <c r="AY112" s="56">
        <f t="shared" si="39"/>
        <v>-15</v>
      </c>
      <c r="AZ112" s="56">
        <f t="shared" si="39"/>
        <v>-21</v>
      </c>
      <c r="BA112" s="56">
        <f t="shared" si="39"/>
        <v>-7</v>
      </c>
      <c r="BB112" s="56">
        <f t="shared" si="39"/>
        <v>-3</v>
      </c>
      <c r="BC112" s="56">
        <f t="shared" si="39"/>
        <v>3</v>
      </c>
      <c r="BD112" s="56">
        <f t="shared" si="39"/>
        <v>1</v>
      </c>
      <c r="BE112" s="56">
        <f t="shared" si="39"/>
        <v>0</v>
      </c>
      <c r="BF112" s="56">
        <f t="shared" si="58"/>
        <v>-51</v>
      </c>
      <c r="BH112">
        <f t="shared" si="40"/>
        <v>0.8</v>
      </c>
      <c r="BI112">
        <f t="shared" si="49"/>
        <v>0.19999999999999996</v>
      </c>
      <c r="BJ112" s="154">
        <v>781912.23466666671</v>
      </c>
      <c r="BK112" s="155">
        <f t="shared" si="41"/>
        <v>781912.23466666671</v>
      </c>
      <c r="BL112" s="156">
        <v>632535.17688888893</v>
      </c>
      <c r="BM112" s="155">
        <f t="shared" si="42"/>
        <v>632535.17688888893</v>
      </c>
      <c r="BN112" s="158">
        <v>612176.95644444448</v>
      </c>
      <c r="BO112" s="155">
        <f t="shared" si="43"/>
        <v>612176.95644444448</v>
      </c>
      <c r="BP112" s="158">
        <v>505653.11999999994</v>
      </c>
      <c r="BQ112" s="155">
        <f t="shared" si="44"/>
        <v>505653.11999999994</v>
      </c>
      <c r="BR112" s="158">
        <v>552593.54488888883</v>
      </c>
      <c r="BS112" s="155">
        <f t="shared" si="45"/>
        <v>552593.54488888883</v>
      </c>
      <c r="BT112" s="194">
        <v>738085.53777777776</v>
      </c>
      <c r="BU112" s="194"/>
      <c r="BV112" s="348">
        <f t="shared" si="50"/>
        <v>738085.53777777776</v>
      </c>
      <c r="BW112" s="195">
        <f t="shared" si="46"/>
        <v>505731.51288888894</v>
      </c>
      <c r="BX112" s="157">
        <f t="shared" si="51"/>
        <v>126432.87822222224</v>
      </c>
      <c r="BY112" s="157">
        <f>IF(E112*$CJ$10*'Year 7 Payments'!$L$20*IF(B112="",1,0.8)&lt;=(BW112-(J112*350)),E112*$CJ$10*'Year 7 Payments'!$L$20*IF(B112="",1,0.8),BW112-(IF(B112="",1,0.8)*J112*350))</f>
        <v>226607.10119822217</v>
      </c>
      <c r="BZ112" s="157">
        <f t="shared" si="52"/>
        <v>56651.775299555542</v>
      </c>
      <c r="CA112" s="157">
        <f t="shared" si="53"/>
        <v>279124.41169066681</v>
      </c>
      <c r="CB112" s="157">
        <f t="shared" si="54"/>
        <v>69781.102922666701</v>
      </c>
      <c r="CC112" s="157">
        <f t="shared" si="55"/>
        <v>1116497.6467626672</v>
      </c>
      <c r="CD112" s="201">
        <f t="shared" si="56"/>
        <v>279124.41169066681</v>
      </c>
      <c r="CE112" s="155">
        <f t="shared" si="57"/>
        <v>279124.41169066681</v>
      </c>
    </row>
    <row r="113" spans="1:83" x14ac:dyDescent="0.2">
      <c r="A113" s="147" t="s">
        <v>582</v>
      </c>
      <c r="B113" s="57" t="s">
        <v>469</v>
      </c>
      <c r="C113" s="57" t="s">
        <v>443</v>
      </c>
      <c r="D113" s="148" t="s">
        <v>141</v>
      </c>
      <c r="E113" s="197">
        <v>32039.555555555555</v>
      </c>
      <c r="F113" s="147">
        <f t="shared" si="47"/>
        <v>36864</v>
      </c>
      <c r="G113" s="342">
        <v>187</v>
      </c>
      <c r="H113" s="149">
        <f t="shared" si="31"/>
        <v>107</v>
      </c>
      <c r="I113" s="346">
        <v>0</v>
      </c>
      <c r="J113" s="150">
        <v>55</v>
      </c>
      <c r="K113"/>
      <c r="L113" s="151">
        <v>6016</v>
      </c>
      <c r="M113" s="151">
        <v>13114</v>
      </c>
      <c r="N113" s="151">
        <v>8926</v>
      </c>
      <c r="O113" s="151">
        <v>4968</v>
      </c>
      <c r="P113" s="151">
        <v>1974</v>
      </c>
      <c r="Q113" s="151">
        <v>1519</v>
      </c>
      <c r="R113" s="151">
        <v>318</v>
      </c>
      <c r="S113" s="151">
        <v>29</v>
      </c>
      <c r="T113" s="151">
        <v>36864</v>
      </c>
      <c r="U113" s="147"/>
      <c r="V113" s="152">
        <f t="shared" si="48"/>
        <v>0.16319444444444445</v>
      </c>
      <c r="W113" s="152">
        <f t="shared" si="32"/>
        <v>0.3557400173611111</v>
      </c>
      <c r="X113" s="152">
        <f t="shared" si="33"/>
        <v>0.24213324652777779</v>
      </c>
      <c r="Y113" s="152">
        <f t="shared" si="34"/>
        <v>0.134765625</v>
      </c>
      <c r="Z113" s="152">
        <f t="shared" si="35"/>
        <v>5.3548177083333336E-2</v>
      </c>
      <c r="AA113" s="152">
        <f t="shared" si="36"/>
        <v>4.1205512152777776E-2</v>
      </c>
      <c r="AB113" s="152">
        <f t="shared" si="37"/>
        <v>8.6263020833333339E-3</v>
      </c>
      <c r="AC113" s="152">
        <f t="shared" si="38"/>
        <v>7.8667534722222225E-4</v>
      </c>
      <c r="AD113" s="152"/>
      <c r="AE113" s="221">
        <v>20</v>
      </c>
      <c r="AF113" s="221">
        <v>14</v>
      </c>
      <c r="AG113" s="221">
        <v>46</v>
      </c>
      <c r="AH113" s="221">
        <v>0</v>
      </c>
      <c r="AI113" s="221">
        <v>14</v>
      </c>
      <c r="AJ113" s="221">
        <v>10</v>
      </c>
      <c r="AK113" s="221">
        <v>0</v>
      </c>
      <c r="AL113" s="221">
        <v>0</v>
      </c>
      <c r="AM113" s="221">
        <v>104</v>
      </c>
      <c r="AN113" s="147"/>
      <c r="AO113" s="221">
        <v>18</v>
      </c>
      <c r="AP113" s="221">
        <v>-4</v>
      </c>
      <c r="AQ113" s="221">
        <v>-6</v>
      </c>
      <c r="AR113" s="221">
        <v>-2</v>
      </c>
      <c r="AS113" s="221">
        <v>-4</v>
      </c>
      <c r="AT113" s="221">
        <v>-3</v>
      </c>
      <c r="AU113" s="221">
        <v>-2</v>
      </c>
      <c r="AV113" s="221">
        <v>0</v>
      </c>
      <c r="AW113" s="221">
        <v>-3</v>
      </c>
      <c r="AX113" s="56">
        <f t="shared" si="39"/>
        <v>-18</v>
      </c>
      <c r="AY113" s="56">
        <f t="shared" si="39"/>
        <v>4</v>
      </c>
      <c r="AZ113" s="56">
        <f t="shared" si="39"/>
        <v>6</v>
      </c>
      <c r="BA113" s="56">
        <f t="shared" si="39"/>
        <v>2</v>
      </c>
      <c r="BB113" s="56">
        <f t="shared" si="39"/>
        <v>4</v>
      </c>
      <c r="BC113" s="56">
        <f t="shared" si="39"/>
        <v>3</v>
      </c>
      <c r="BD113" s="56">
        <f t="shared" si="39"/>
        <v>2</v>
      </c>
      <c r="BE113" s="56">
        <f t="shared" ref="BE113:BF176" si="59">AV113*$AW$3</f>
        <v>0</v>
      </c>
      <c r="BF113" s="56">
        <f t="shared" si="58"/>
        <v>3</v>
      </c>
      <c r="BH113">
        <f t="shared" si="40"/>
        <v>0.8</v>
      </c>
      <c r="BI113">
        <f t="shared" si="49"/>
        <v>0.19999999999999996</v>
      </c>
      <c r="BJ113" s="154">
        <v>0</v>
      </c>
      <c r="BK113" s="155">
        <f t="shared" si="41"/>
        <v>0</v>
      </c>
      <c r="BL113" s="156">
        <v>227052.20533333335</v>
      </c>
      <c r="BM113" s="155">
        <f t="shared" si="42"/>
        <v>227052.20533333335</v>
      </c>
      <c r="BN113" s="158">
        <v>271309.38133333338</v>
      </c>
      <c r="BO113" s="155">
        <f t="shared" si="43"/>
        <v>271309.38133333338</v>
      </c>
      <c r="BP113" s="158">
        <v>165757.33333333337</v>
      </c>
      <c r="BQ113" s="155">
        <f t="shared" si="44"/>
        <v>165757.33333333337</v>
      </c>
      <c r="BR113" s="158">
        <v>131919.60355555554</v>
      </c>
      <c r="BS113" s="155">
        <f t="shared" si="45"/>
        <v>131919.60355555554</v>
      </c>
      <c r="BT113" s="194">
        <v>189413.50400000002</v>
      </c>
      <c r="BU113" s="194"/>
      <c r="BV113" s="348">
        <f t="shared" si="50"/>
        <v>189413.50400000002</v>
      </c>
      <c r="BW113" s="195">
        <f t="shared" si="46"/>
        <v>147146.10133333332</v>
      </c>
      <c r="BX113" s="157">
        <f t="shared" si="51"/>
        <v>36786.525333333331</v>
      </c>
      <c r="BY113" s="157">
        <f>IF(E113*$CJ$10*'Year 7 Payments'!$L$20*IF(B113="",1,0.8)&lt;=(BW113-(J113*350)),E113*$CJ$10*'Year 7 Payments'!$L$20*IF(B113="",1,0.8),BW113-(IF(B113="",1,0.8)*J113*350))</f>
        <v>131746.10133333332</v>
      </c>
      <c r="BZ113" s="157">
        <f t="shared" si="52"/>
        <v>32936.525333333331</v>
      </c>
      <c r="CA113" s="157">
        <f t="shared" si="53"/>
        <v>15400</v>
      </c>
      <c r="CB113" s="157">
        <f t="shared" si="54"/>
        <v>3850</v>
      </c>
      <c r="CC113" s="157">
        <f t="shared" si="55"/>
        <v>61600</v>
      </c>
      <c r="CD113" s="201">
        <f t="shared" si="56"/>
        <v>15400</v>
      </c>
      <c r="CE113" s="155">
        <f t="shared" si="57"/>
        <v>15400</v>
      </c>
    </row>
    <row r="114" spans="1:83" x14ac:dyDescent="0.2">
      <c r="A114" s="147" t="s">
        <v>583</v>
      </c>
      <c r="B114" s="57" t="s">
        <v>454</v>
      </c>
      <c r="C114" s="57" t="s">
        <v>443</v>
      </c>
      <c r="D114" s="148" t="s">
        <v>142</v>
      </c>
      <c r="E114" s="197">
        <v>40603.222222222226</v>
      </c>
      <c r="F114" s="147">
        <f t="shared" si="47"/>
        <v>42696</v>
      </c>
      <c r="G114" s="342">
        <v>204</v>
      </c>
      <c r="H114" s="149">
        <f t="shared" si="31"/>
        <v>241</v>
      </c>
      <c r="I114" s="346">
        <v>62.920444444444428</v>
      </c>
      <c r="J114" s="150">
        <v>108</v>
      </c>
      <c r="K114"/>
      <c r="L114" s="151">
        <v>3657</v>
      </c>
      <c r="M114" s="151">
        <v>6875</v>
      </c>
      <c r="N114" s="151">
        <v>14672</v>
      </c>
      <c r="O114" s="151">
        <v>9795</v>
      </c>
      <c r="P114" s="151">
        <v>4538</v>
      </c>
      <c r="Q114" s="151">
        <v>2024</v>
      </c>
      <c r="R114" s="151">
        <v>1036</v>
      </c>
      <c r="S114" s="151">
        <v>99</v>
      </c>
      <c r="T114" s="151">
        <v>42696</v>
      </c>
      <c r="U114" s="147"/>
      <c r="V114" s="152">
        <f t="shared" si="48"/>
        <v>8.5652051714446314E-2</v>
      </c>
      <c r="W114" s="152">
        <f t="shared" si="32"/>
        <v>0.16102210979951284</v>
      </c>
      <c r="X114" s="152">
        <f t="shared" si="33"/>
        <v>0.34363874836050218</v>
      </c>
      <c r="Y114" s="152">
        <f t="shared" si="34"/>
        <v>0.22941259134345138</v>
      </c>
      <c r="Z114" s="152">
        <f t="shared" si="35"/>
        <v>0.10628630316657298</v>
      </c>
      <c r="AA114" s="152">
        <f t="shared" si="36"/>
        <v>4.740490912497658E-2</v>
      </c>
      <c r="AB114" s="152">
        <f t="shared" si="37"/>
        <v>2.4264568109424772E-2</v>
      </c>
      <c r="AC114" s="152">
        <f t="shared" si="38"/>
        <v>2.3187183811129849E-3</v>
      </c>
      <c r="AD114" s="152"/>
      <c r="AE114" s="221">
        <v>38</v>
      </c>
      <c r="AF114" s="221">
        <v>47</v>
      </c>
      <c r="AG114" s="221">
        <v>125</v>
      </c>
      <c r="AH114" s="221">
        <v>2</v>
      </c>
      <c r="AI114" s="221">
        <v>12</v>
      </c>
      <c r="AJ114" s="221">
        <v>13</v>
      </c>
      <c r="AK114" s="221">
        <v>16</v>
      </c>
      <c r="AL114" s="221">
        <v>-1</v>
      </c>
      <c r="AM114" s="221">
        <v>252</v>
      </c>
      <c r="AN114" s="147"/>
      <c r="AO114" s="221">
        <v>-8</v>
      </c>
      <c r="AP114" s="221">
        <v>-4</v>
      </c>
      <c r="AQ114" s="221">
        <v>41</v>
      </c>
      <c r="AR114" s="221">
        <v>-17</v>
      </c>
      <c r="AS114" s="221">
        <v>3</v>
      </c>
      <c r="AT114" s="221">
        <v>1</v>
      </c>
      <c r="AU114" s="221">
        <v>-5</v>
      </c>
      <c r="AV114" s="221">
        <v>0</v>
      </c>
      <c r="AW114" s="221">
        <v>11</v>
      </c>
      <c r="AX114" s="56">
        <f t="shared" ref="AX114:BD150" si="60">AO114*$AW$3</f>
        <v>8</v>
      </c>
      <c r="AY114" s="56">
        <f t="shared" si="60"/>
        <v>4</v>
      </c>
      <c r="AZ114" s="56">
        <f t="shared" si="60"/>
        <v>-41</v>
      </c>
      <c r="BA114" s="56">
        <f t="shared" si="60"/>
        <v>17</v>
      </c>
      <c r="BB114" s="56">
        <f t="shared" si="60"/>
        <v>-3</v>
      </c>
      <c r="BC114" s="56">
        <f t="shared" si="60"/>
        <v>-1</v>
      </c>
      <c r="BD114" s="56">
        <f t="shared" si="60"/>
        <v>5</v>
      </c>
      <c r="BE114" s="56">
        <f t="shared" si="59"/>
        <v>0</v>
      </c>
      <c r="BF114" s="56">
        <f t="shared" si="58"/>
        <v>-11</v>
      </c>
      <c r="BH114">
        <f t="shared" si="40"/>
        <v>0.8</v>
      </c>
      <c r="BI114">
        <f t="shared" si="49"/>
        <v>0.19999999999999996</v>
      </c>
      <c r="BJ114" s="154">
        <v>207503.54133333336</v>
      </c>
      <c r="BK114" s="155">
        <f t="shared" si="41"/>
        <v>207503.54133333336</v>
      </c>
      <c r="BL114" s="156">
        <v>316184.80888888892</v>
      </c>
      <c r="BM114" s="155">
        <f t="shared" si="42"/>
        <v>316184.80888888892</v>
      </c>
      <c r="BN114" s="158">
        <v>413896.30133333337</v>
      </c>
      <c r="BO114" s="155">
        <f t="shared" si="43"/>
        <v>413896.30133333337</v>
      </c>
      <c r="BP114" s="158">
        <v>428207.04</v>
      </c>
      <c r="BQ114" s="155">
        <f t="shared" si="44"/>
        <v>428207.04</v>
      </c>
      <c r="BR114" s="158">
        <v>262295.25333333336</v>
      </c>
      <c r="BS114" s="155">
        <f t="shared" si="45"/>
        <v>262295.25333333336</v>
      </c>
      <c r="BT114" s="194">
        <v>213867.74577777777</v>
      </c>
      <c r="BU114" s="194"/>
      <c r="BV114" s="348">
        <f t="shared" si="50"/>
        <v>213867.74577777777</v>
      </c>
      <c r="BW114" s="195">
        <f t="shared" si="46"/>
        <v>305968.68266666669</v>
      </c>
      <c r="BX114" s="157">
        <f t="shared" si="51"/>
        <v>76492.170666666672</v>
      </c>
      <c r="BY114" s="157">
        <f>IF(E114*$CJ$10*'Year 7 Payments'!$L$20*IF(B114="",1,0.8)&lt;=(BW114-(J114*350)),E114*$CJ$10*'Year 7 Payments'!$L$20*IF(B114="",1,0.8),BW114-(IF(B114="",1,0.8)*J114*350))</f>
        <v>198736.20666311111</v>
      </c>
      <c r="BZ114" s="157">
        <f t="shared" si="52"/>
        <v>49684.051665777777</v>
      </c>
      <c r="CA114" s="157">
        <f t="shared" si="53"/>
        <v>107232.47600355558</v>
      </c>
      <c r="CB114" s="157">
        <f t="shared" si="54"/>
        <v>26808.119000888895</v>
      </c>
      <c r="CC114" s="157">
        <f t="shared" si="55"/>
        <v>428929.90401422232</v>
      </c>
      <c r="CD114" s="201">
        <f t="shared" si="56"/>
        <v>107232.47600355558</v>
      </c>
      <c r="CE114" s="155">
        <f t="shared" si="57"/>
        <v>107232.47600355558</v>
      </c>
    </row>
    <row r="115" spans="1:83" x14ac:dyDescent="0.2">
      <c r="A115" s="147" t="s">
        <v>584</v>
      </c>
      <c r="B115" s="57" t="s">
        <v>490</v>
      </c>
      <c r="C115" s="57" t="s">
        <v>459</v>
      </c>
      <c r="D115" s="148" t="s">
        <v>143</v>
      </c>
      <c r="E115" s="197">
        <v>37310.111111111109</v>
      </c>
      <c r="F115" s="147">
        <f t="shared" si="47"/>
        <v>47564</v>
      </c>
      <c r="G115" s="342">
        <v>503</v>
      </c>
      <c r="H115" s="149">
        <f t="shared" si="31"/>
        <v>355</v>
      </c>
      <c r="I115" s="346">
        <v>152.75955555555555</v>
      </c>
      <c r="J115" s="150">
        <v>26</v>
      </c>
      <c r="K115"/>
      <c r="L115" s="151">
        <v>20336</v>
      </c>
      <c r="M115" s="151">
        <v>12127</v>
      </c>
      <c r="N115" s="151">
        <v>8403</v>
      </c>
      <c r="O115" s="151">
        <v>4007</v>
      </c>
      <c r="P115" s="151">
        <v>1845</v>
      </c>
      <c r="Q115" s="151">
        <v>579</v>
      </c>
      <c r="R115" s="151">
        <v>251</v>
      </c>
      <c r="S115" s="151">
        <v>16</v>
      </c>
      <c r="T115" s="151">
        <v>47564</v>
      </c>
      <c r="U115" s="147"/>
      <c r="V115" s="152">
        <f t="shared" si="48"/>
        <v>0.42755024808678832</v>
      </c>
      <c r="W115" s="152">
        <f t="shared" si="32"/>
        <v>0.25496173576654613</v>
      </c>
      <c r="X115" s="152">
        <f t="shared" si="33"/>
        <v>0.17666722731477588</v>
      </c>
      <c r="Y115" s="152">
        <f t="shared" si="34"/>
        <v>8.4244386510806499E-2</v>
      </c>
      <c r="Z115" s="152">
        <f t="shared" si="35"/>
        <v>3.8789841056261036E-2</v>
      </c>
      <c r="AA115" s="152">
        <f t="shared" si="36"/>
        <v>1.2173072071314439E-2</v>
      </c>
      <c r="AB115" s="152">
        <f t="shared" si="37"/>
        <v>5.2771003279791437E-3</v>
      </c>
      <c r="AC115" s="152">
        <f t="shared" si="38"/>
        <v>3.3638886552855103E-4</v>
      </c>
      <c r="AD115" s="152"/>
      <c r="AE115" s="221">
        <v>135</v>
      </c>
      <c r="AF115" s="221">
        <v>29</v>
      </c>
      <c r="AG115" s="221">
        <v>80</v>
      </c>
      <c r="AH115" s="221">
        <v>34</v>
      </c>
      <c r="AI115" s="221">
        <v>35</v>
      </c>
      <c r="AJ115" s="221">
        <v>9</v>
      </c>
      <c r="AK115" s="221">
        <v>0</v>
      </c>
      <c r="AL115" s="221">
        <v>0</v>
      </c>
      <c r="AM115" s="221">
        <v>322</v>
      </c>
      <c r="AN115" s="147"/>
      <c r="AO115" s="221">
        <v>-43</v>
      </c>
      <c r="AP115" s="221">
        <v>17</v>
      </c>
      <c r="AQ115" s="221">
        <v>7</v>
      </c>
      <c r="AR115" s="221">
        <v>3</v>
      </c>
      <c r="AS115" s="221">
        <v>-10</v>
      </c>
      <c r="AT115" s="221">
        <v>-7</v>
      </c>
      <c r="AU115" s="221">
        <v>0</v>
      </c>
      <c r="AV115" s="221">
        <v>0</v>
      </c>
      <c r="AW115" s="221">
        <v>-33</v>
      </c>
      <c r="AX115" s="56">
        <f t="shared" si="60"/>
        <v>43</v>
      </c>
      <c r="AY115" s="56">
        <f t="shared" si="60"/>
        <v>-17</v>
      </c>
      <c r="AZ115" s="56">
        <f t="shared" si="60"/>
        <v>-7</v>
      </c>
      <c r="BA115" s="56">
        <f t="shared" si="60"/>
        <v>-3</v>
      </c>
      <c r="BB115" s="56">
        <f t="shared" si="60"/>
        <v>10</v>
      </c>
      <c r="BC115" s="56">
        <f t="shared" si="60"/>
        <v>7</v>
      </c>
      <c r="BD115" s="56">
        <f t="shared" si="60"/>
        <v>0</v>
      </c>
      <c r="BE115" s="56">
        <f t="shared" si="59"/>
        <v>0</v>
      </c>
      <c r="BF115" s="56">
        <f t="shared" si="58"/>
        <v>33</v>
      </c>
      <c r="BH115">
        <f t="shared" si="40"/>
        <v>0.8</v>
      </c>
      <c r="BI115">
        <f t="shared" si="49"/>
        <v>0.19999999999999996</v>
      </c>
      <c r="BJ115" s="154">
        <v>274155.41866666666</v>
      </c>
      <c r="BK115" s="155">
        <f t="shared" si="41"/>
        <v>274155.41866666666</v>
      </c>
      <c r="BL115" s="156">
        <v>233675.82755555553</v>
      </c>
      <c r="BM115" s="155">
        <f t="shared" si="42"/>
        <v>233675.82755555553</v>
      </c>
      <c r="BN115" s="158">
        <v>321342.92533333338</v>
      </c>
      <c r="BO115" s="155">
        <f t="shared" si="43"/>
        <v>321342.92533333338</v>
      </c>
      <c r="BP115" s="158">
        <v>119413.76000000001</v>
      </c>
      <c r="BQ115" s="155">
        <f t="shared" si="44"/>
        <v>119413.76000000001</v>
      </c>
      <c r="BR115" s="158">
        <v>208058.91911111111</v>
      </c>
      <c r="BS115" s="155">
        <f t="shared" si="45"/>
        <v>208058.91911111111</v>
      </c>
      <c r="BT115" s="194">
        <v>220396.86044444444</v>
      </c>
      <c r="BU115" s="194"/>
      <c r="BV115" s="348">
        <f t="shared" si="50"/>
        <v>220396.86044444444</v>
      </c>
      <c r="BW115" s="195">
        <f t="shared" si="46"/>
        <v>376821.696</v>
      </c>
      <c r="BX115" s="157">
        <f t="shared" si="51"/>
        <v>94205.423999999999</v>
      </c>
      <c r="BY115" s="157">
        <f>IF(E115*$CJ$10*'Year 7 Payments'!$L$20*IF(B115="",1,0.8)&lt;=(BW115-(J115*350)),E115*$CJ$10*'Year 7 Payments'!$L$20*IF(B115="",1,0.8),BW115-(IF(B115="",1,0.8)*J115*350))</f>
        <v>182617.77136355557</v>
      </c>
      <c r="BZ115" s="157">
        <f t="shared" si="52"/>
        <v>45654.442840888893</v>
      </c>
      <c r="CA115" s="157">
        <f t="shared" si="53"/>
        <v>194203.92463644443</v>
      </c>
      <c r="CB115" s="157">
        <f t="shared" si="54"/>
        <v>48550.981159111107</v>
      </c>
      <c r="CC115" s="157">
        <f t="shared" si="55"/>
        <v>776815.6985457777</v>
      </c>
      <c r="CD115" s="201">
        <f t="shared" si="56"/>
        <v>194203.92463644443</v>
      </c>
      <c r="CE115" s="155">
        <f t="shared" si="57"/>
        <v>194203.92463644443</v>
      </c>
    </row>
    <row r="116" spans="1:83" x14ac:dyDescent="0.2">
      <c r="A116" s="147" t="s">
        <v>585</v>
      </c>
      <c r="B116" s="57"/>
      <c r="C116" s="57" t="s">
        <v>461</v>
      </c>
      <c r="D116" s="148" t="s">
        <v>144</v>
      </c>
      <c r="E116" s="197">
        <v>102157.33333333334</v>
      </c>
      <c r="F116" s="147">
        <f t="shared" si="47"/>
        <v>112564</v>
      </c>
      <c r="G116" s="342">
        <v>463</v>
      </c>
      <c r="H116" s="149">
        <f t="shared" si="31"/>
        <v>2952</v>
      </c>
      <c r="I116" s="346">
        <v>2202.5928888888889</v>
      </c>
      <c r="J116" s="150">
        <v>641</v>
      </c>
      <c r="K116"/>
      <c r="L116" s="151">
        <v>10824</v>
      </c>
      <c r="M116" s="151">
        <v>21416</v>
      </c>
      <c r="N116" s="151">
        <v>41434</v>
      </c>
      <c r="O116" s="151">
        <v>22371</v>
      </c>
      <c r="P116" s="151">
        <v>10858</v>
      </c>
      <c r="Q116" s="151">
        <v>3231</v>
      </c>
      <c r="R116" s="151">
        <v>2089</v>
      </c>
      <c r="S116" s="151">
        <v>341</v>
      </c>
      <c r="T116" s="151">
        <v>112564</v>
      </c>
      <c r="U116" s="147"/>
      <c r="V116" s="152">
        <f t="shared" si="48"/>
        <v>9.6158629757293626E-2</v>
      </c>
      <c r="W116" s="152">
        <f t="shared" si="32"/>
        <v>0.19025620980064675</v>
      </c>
      <c r="X116" s="152">
        <f t="shared" si="33"/>
        <v>0.3680928183078071</v>
      </c>
      <c r="Y116" s="152">
        <f t="shared" si="34"/>
        <v>0.19874027220070359</v>
      </c>
      <c r="Z116" s="152">
        <f t="shared" si="35"/>
        <v>9.6460680146405603E-2</v>
      </c>
      <c r="AA116" s="152">
        <f t="shared" si="36"/>
        <v>2.8703670800611206E-2</v>
      </c>
      <c r="AB116" s="152">
        <f t="shared" si="37"/>
        <v>1.8558331260438505E-2</v>
      </c>
      <c r="AC116" s="152">
        <f t="shared" si="38"/>
        <v>3.0293877260935999E-3</v>
      </c>
      <c r="AD116" s="152"/>
      <c r="AE116" s="221">
        <v>519</v>
      </c>
      <c r="AF116" s="221">
        <v>399</v>
      </c>
      <c r="AG116" s="221">
        <v>1185</v>
      </c>
      <c r="AH116" s="221">
        <v>586</v>
      </c>
      <c r="AI116" s="221">
        <v>181</v>
      </c>
      <c r="AJ116" s="221">
        <v>17</v>
      </c>
      <c r="AK116" s="221">
        <v>21</v>
      </c>
      <c r="AL116" s="221">
        <v>3</v>
      </c>
      <c r="AM116" s="221">
        <v>2911</v>
      </c>
      <c r="AN116" s="147"/>
      <c r="AO116" s="221">
        <v>-42</v>
      </c>
      <c r="AP116" s="221">
        <v>-26</v>
      </c>
      <c r="AQ116" s="221">
        <v>16</v>
      </c>
      <c r="AR116" s="221">
        <v>23</v>
      </c>
      <c r="AS116" s="221">
        <v>-5</v>
      </c>
      <c r="AT116" s="221">
        <v>0</v>
      </c>
      <c r="AU116" s="221">
        <v>-7</v>
      </c>
      <c r="AV116" s="221">
        <v>0</v>
      </c>
      <c r="AW116" s="221">
        <v>-41</v>
      </c>
      <c r="AX116" s="56">
        <f t="shared" si="60"/>
        <v>42</v>
      </c>
      <c r="AY116" s="56">
        <f t="shared" si="60"/>
        <v>26</v>
      </c>
      <c r="AZ116" s="56">
        <f t="shared" si="60"/>
        <v>-16</v>
      </c>
      <c r="BA116" s="56">
        <f t="shared" si="60"/>
        <v>-23</v>
      </c>
      <c r="BB116" s="56">
        <f t="shared" si="60"/>
        <v>5</v>
      </c>
      <c r="BC116" s="56">
        <f t="shared" si="60"/>
        <v>0</v>
      </c>
      <c r="BD116" s="56">
        <f t="shared" si="60"/>
        <v>7</v>
      </c>
      <c r="BE116" s="56">
        <f t="shared" si="59"/>
        <v>0</v>
      </c>
      <c r="BF116" s="56">
        <f t="shared" si="58"/>
        <v>41</v>
      </c>
      <c r="BH116">
        <f t="shared" si="40"/>
        <v>1</v>
      </c>
      <c r="BI116">
        <f t="shared" si="49"/>
        <v>0</v>
      </c>
      <c r="BJ116" s="154">
        <v>923819.32666666654</v>
      </c>
      <c r="BK116" s="155">
        <f t="shared" si="41"/>
        <v>923819.32666666654</v>
      </c>
      <c r="BL116" s="156">
        <v>2227022.3022222221</v>
      </c>
      <c r="BM116" s="155">
        <f t="shared" si="42"/>
        <v>2227022.3022222221</v>
      </c>
      <c r="BN116" s="158">
        <v>2033027.7</v>
      </c>
      <c r="BO116" s="155">
        <f t="shared" si="43"/>
        <v>2033027.7</v>
      </c>
      <c r="BP116" s="158">
        <v>2158970.4</v>
      </c>
      <c r="BQ116" s="155">
        <f t="shared" si="44"/>
        <v>2158970.4</v>
      </c>
      <c r="BR116" s="158">
        <v>3208133.5262222225</v>
      </c>
      <c r="BS116" s="155">
        <f t="shared" si="45"/>
        <v>3208133.5262222225</v>
      </c>
      <c r="BT116" s="194">
        <v>2724243.3866666667</v>
      </c>
      <c r="BU116" s="194"/>
      <c r="BV116" s="348">
        <f t="shared" si="50"/>
        <v>2724243.3866666667</v>
      </c>
      <c r="BW116" s="195">
        <f t="shared" si="46"/>
        <v>4218371.0622222219</v>
      </c>
      <c r="BX116" s="157" t="str">
        <f t="shared" si="51"/>
        <v>0</v>
      </c>
      <c r="BY116" s="157">
        <f>IF(E116*$CJ$10*'Year 7 Payments'!$L$20*IF(B116="",1,0.8)&lt;=(BW116-(J116*350)),E116*$CJ$10*'Year 7 Payments'!$L$20*IF(B116="",1,0.8),BW116-(IF(B116="",1,0.8)*J116*350))</f>
        <v>625023.08309333341</v>
      </c>
      <c r="BZ116" s="157" t="str">
        <f t="shared" si="52"/>
        <v>0</v>
      </c>
      <c r="CA116" s="157">
        <f t="shared" si="53"/>
        <v>3593347.9791288883</v>
      </c>
      <c r="CB116" s="157">
        <f t="shared" si="54"/>
        <v>0</v>
      </c>
      <c r="CC116" s="157">
        <f t="shared" si="55"/>
        <v>14373391.916515553</v>
      </c>
      <c r="CD116" s="201">
        <f t="shared" si="56"/>
        <v>0</v>
      </c>
      <c r="CE116" s="155">
        <f t="shared" si="57"/>
        <v>3593347.9791288883</v>
      </c>
    </row>
    <row r="117" spans="1:83" x14ac:dyDescent="0.2">
      <c r="A117" s="147" t="s">
        <v>586</v>
      </c>
      <c r="B117" s="57" t="s">
        <v>568</v>
      </c>
      <c r="C117" s="57" t="s">
        <v>443</v>
      </c>
      <c r="D117" s="148" t="s">
        <v>145</v>
      </c>
      <c r="E117" s="197">
        <v>65957.555555555547</v>
      </c>
      <c r="F117" s="147">
        <f t="shared" si="47"/>
        <v>57640</v>
      </c>
      <c r="G117" s="342">
        <v>410</v>
      </c>
      <c r="H117" s="149">
        <f t="shared" si="31"/>
        <v>424</v>
      </c>
      <c r="I117" s="346">
        <v>215.50311111111114</v>
      </c>
      <c r="J117" s="150">
        <v>53</v>
      </c>
      <c r="K117"/>
      <c r="L117" s="151">
        <v>1086</v>
      </c>
      <c r="M117" s="151">
        <v>3393</v>
      </c>
      <c r="N117" s="151">
        <v>11813</v>
      </c>
      <c r="O117" s="151">
        <v>15884</v>
      </c>
      <c r="P117" s="151">
        <v>9931</v>
      </c>
      <c r="Q117" s="151">
        <v>6456</v>
      </c>
      <c r="R117" s="151">
        <v>7356</v>
      </c>
      <c r="S117" s="151">
        <v>1721</v>
      </c>
      <c r="T117" s="151">
        <v>57640</v>
      </c>
      <c r="U117" s="147"/>
      <c r="V117" s="152">
        <f t="shared" si="48"/>
        <v>1.8841082581540596E-2</v>
      </c>
      <c r="W117" s="152">
        <f t="shared" si="32"/>
        <v>5.8865371269951422E-2</v>
      </c>
      <c r="X117" s="152">
        <f t="shared" si="33"/>
        <v>0.20494448299791812</v>
      </c>
      <c r="Y117" s="152">
        <f t="shared" si="34"/>
        <v>0.27557251908396946</v>
      </c>
      <c r="Z117" s="152">
        <f t="shared" si="35"/>
        <v>0.17229354614850798</v>
      </c>
      <c r="AA117" s="152">
        <f t="shared" si="36"/>
        <v>0.11200555170020819</v>
      </c>
      <c r="AB117" s="152">
        <f t="shared" si="37"/>
        <v>0.12761970853573906</v>
      </c>
      <c r="AC117" s="152">
        <f t="shared" si="38"/>
        <v>2.9857737682165163E-2</v>
      </c>
      <c r="AD117" s="152"/>
      <c r="AE117" s="221">
        <v>21</v>
      </c>
      <c r="AF117" s="221">
        <v>18</v>
      </c>
      <c r="AG117" s="221">
        <v>114</v>
      </c>
      <c r="AH117" s="221">
        <v>114</v>
      </c>
      <c r="AI117" s="221">
        <v>67</v>
      </c>
      <c r="AJ117" s="221">
        <v>51</v>
      </c>
      <c r="AK117" s="221">
        <v>56</v>
      </c>
      <c r="AL117" s="221">
        <v>24</v>
      </c>
      <c r="AM117" s="221">
        <v>465</v>
      </c>
      <c r="AN117" s="147"/>
      <c r="AO117" s="221">
        <v>-3</v>
      </c>
      <c r="AP117" s="221">
        <v>12</v>
      </c>
      <c r="AQ117" s="221">
        <v>-6</v>
      </c>
      <c r="AR117" s="221">
        <v>14</v>
      </c>
      <c r="AS117" s="221">
        <v>-3</v>
      </c>
      <c r="AT117" s="221">
        <v>-1</v>
      </c>
      <c r="AU117" s="221">
        <v>18</v>
      </c>
      <c r="AV117" s="221">
        <v>10</v>
      </c>
      <c r="AW117" s="221">
        <v>41</v>
      </c>
      <c r="AX117" s="56">
        <f t="shared" si="60"/>
        <v>3</v>
      </c>
      <c r="AY117" s="56">
        <f t="shared" si="60"/>
        <v>-12</v>
      </c>
      <c r="AZ117" s="56">
        <f t="shared" si="60"/>
        <v>6</v>
      </c>
      <c r="BA117" s="56">
        <f t="shared" si="60"/>
        <v>-14</v>
      </c>
      <c r="BB117" s="56">
        <f t="shared" si="60"/>
        <v>3</v>
      </c>
      <c r="BC117" s="56">
        <f t="shared" si="60"/>
        <v>1</v>
      </c>
      <c r="BD117" s="56">
        <f t="shared" si="60"/>
        <v>-18</v>
      </c>
      <c r="BE117" s="56">
        <f t="shared" si="59"/>
        <v>-10</v>
      </c>
      <c r="BF117" s="56">
        <f t="shared" si="58"/>
        <v>-41</v>
      </c>
      <c r="BH117">
        <f t="shared" si="40"/>
        <v>0.8</v>
      </c>
      <c r="BI117">
        <f t="shared" si="49"/>
        <v>0.19999999999999996</v>
      </c>
      <c r="BJ117" s="154">
        <v>137525.4666666667</v>
      </c>
      <c r="BK117" s="155">
        <f t="shared" si="41"/>
        <v>137525.4666666667</v>
      </c>
      <c r="BL117" s="156">
        <v>446387.28799999994</v>
      </c>
      <c r="BM117" s="155">
        <f t="shared" si="42"/>
        <v>446387.28799999994</v>
      </c>
      <c r="BN117" s="158">
        <v>630673.98044444458</v>
      </c>
      <c r="BO117" s="155">
        <f t="shared" si="43"/>
        <v>630673.98044444458</v>
      </c>
      <c r="BP117" s="158">
        <v>296374.29333333339</v>
      </c>
      <c r="BQ117" s="155">
        <f t="shared" si="44"/>
        <v>296374.29333333339</v>
      </c>
      <c r="BR117" s="158">
        <v>268403.73511111113</v>
      </c>
      <c r="BS117" s="155">
        <f t="shared" si="45"/>
        <v>268403.73511111113</v>
      </c>
      <c r="BT117" s="194">
        <v>582689.90577777789</v>
      </c>
      <c r="BU117" s="194">
        <v>6160</v>
      </c>
      <c r="BV117" s="349">
        <f t="shared" si="50"/>
        <v>588849.90577777789</v>
      </c>
      <c r="BW117" s="195">
        <f t="shared" si="46"/>
        <v>601375.27466666664</v>
      </c>
      <c r="BX117" s="157">
        <f t="shared" si="51"/>
        <v>150343.81866666666</v>
      </c>
      <c r="BY117" s="157">
        <f>IF(E117*$CJ$10*'Year 7 Payments'!$L$20*IF(B117="",1,0.8)&lt;=(BW117-(J117*350)),E117*$CJ$10*'Year 7 Payments'!$L$20*IF(B117="",1,0.8),BW117-(IF(B117="",1,0.8)*J117*350))</f>
        <v>322835.32376177772</v>
      </c>
      <c r="BZ117" s="157">
        <f t="shared" si="52"/>
        <v>80708.83094044443</v>
      </c>
      <c r="CA117" s="157">
        <f t="shared" si="53"/>
        <v>278539.95090488892</v>
      </c>
      <c r="CB117" s="157">
        <f t="shared" si="54"/>
        <v>69634.987726222229</v>
      </c>
      <c r="CC117" s="157">
        <f t="shared" si="55"/>
        <v>1114159.8036195557</v>
      </c>
      <c r="CD117" s="201">
        <f t="shared" si="56"/>
        <v>278539.95090488892</v>
      </c>
      <c r="CE117" s="155">
        <f t="shared" si="57"/>
        <v>278539.95090488892</v>
      </c>
    </row>
    <row r="118" spans="1:83" x14ac:dyDescent="0.2">
      <c r="A118" s="147" t="s">
        <v>587</v>
      </c>
      <c r="B118" s="57"/>
      <c r="C118" s="57" t="s">
        <v>461</v>
      </c>
      <c r="D118" s="148" t="s">
        <v>146</v>
      </c>
      <c r="E118" s="197">
        <v>100910.77777777778</v>
      </c>
      <c r="F118" s="147">
        <f t="shared" si="47"/>
        <v>111681</v>
      </c>
      <c r="G118" s="342">
        <v>1046</v>
      </c>
      <c r="H118" s="149">
        <f t="shared" si="31"/>
        <v>1886</v>
      </c>
      <c r="I118" s="346">
        <v>1346.9124444444446</v>
      </c>
      <c r="J118" s="150">
        <v>111</v>
      </c>
      <c r="K118"/>
      <c r="L118" s="151">
        <v>7513</v>
      </c>
      <c r="M118" s="151">
        <v>31662</v>
      </c>
      <c r="N118" s="151">
        <v>33703</v>
      </c>
      <c r="O118" s="151">
        <v>22042</v>
      </c>
      <c r="P118" s="151">
        <v>11292</v>
      </c>
      <c r="Q118" s="151">
        <v>4280</v>
      </c>
      <c r="R118" s="151">
        <v>1141</v>
      </c>
      <c r="S118" s="151">
        <v>48</v>
      </c>
      <c r="T118" s="151">
        <v>111681</v>
      </c>
      <c r="U118" s="147"/>
      <c r="V118" s="152">
        <f t="shared" si="48"/>
        <v>6.7271962106356498E-2</v>
      </c>
      <c r="W118" s="152">
        <f t="shared" si="32"/>
        <v>0.28350390845354179</v>
      </c>
      <c r="X118" s="152">
        <f t="shared" si="33"/>
        <v>0.30177917461340781</v>
      </c>
      <c r="Y118" s="152">
        <f t="shared" si="34"/>
        <v>0.19736571126691202</v>
      </c>
      <c r="Z118" s="152">
        <f t="shared" si="35"/>
        <v>0.1011094098369463</v>
      </c>
      <c r="AA118" s="152">
        <f t="shared" si="36"/>
        <v>3.8323439080953786E-2</v>
      </c>
      <c r="AB118" s="152">
        <f t="shared" si="37"/>
        <v>1.0216599063403801E-2</v>
      </c>
      <c r="AC118" s="152">
        <f t="shared" si="38"/>
        <v>4.2979557847798639E-4</v>
      </c>
      <c r="AD118" s="152"/>
      <c r="AE118" s="221">
        <v>635</v>
      </c>
      <c r="AF118" s="221">
        <v>45</v>
      </c>
      <c r="AG118" s="221">
        <v>253</v>
      </c>
      <c r="AH118" s="221">
        <v>520</v>
      </c>
      <c r="AI118" s="221">
        <v>295</v>
      </c>
      <c r="AJ118" s="221">
        <v>123</v>
      </c>
      <c r="AK118" s="221">
        <v>24</v>
      </c>
      <c r="AL118" s="221">
        <v>0</v>
      </c>
      <c r="AM118" s="221">
        <v>1895</v>
      </c>
      <c r="AN118" s="147"/>
      <c r="AO118" s="221">
        <v>-1</v>
      </c>
      <c r="AP118" s="221">
        <v>-40</v>
      </c>
      <c r="AQ118" s="221">
        <v>0</v>
      </c>
      <c r="AR118" s="221">
        <v>8</v>
      </c>
      <c r="AS118" s="221">
        <v>30</v>
      </c>
      <c r="AT118" s="221">
        <v>9</v>
      </c>
      <c r="AU118" s="221">
        <v>3</v>
      </c>
      <c r="AV118" s="221">
        <v>0</v>
      </c>
      <c r="AW118" s="221">
        <v>9</v>
      </c>
      <c r="AX118" s="56">
        <f t="shared" si="60"/>
        <v>1</v>
      </c>
      <c r="AY118" s="56">
        <f t="shared" si="60"/>
        <v>40</v>
      </c>
      <c r="AZ118" s="56">
        <f t="shared" si="60"/>
        <v>0</v>
      </c>
      <c r="BA118" s="56">
        <f t="shared" si="60"/>
        <v>-8</v>
      </c>
      <c r="BB118" s="56">
        <f t="shared" si="60"/>
        <v>-30</v>
      </c>
      <c r="BC118" s="56">
        <f t="shared" si="60"/>
        <v>-9</v>
      </c>
      <c r="BD118" s="56">
        <f t="shared" si="60"/>
        <v>-3</v>
      </c>
      <c r="BE118" s="56">
        <f t="shared" si="59"/>
        <v>0</v>
      </c>
      <c r="BF118" s="56">
        <f t="shared" si="58"/>
        <v>-9</v>
      </c>
      <c r="BH118">
        <f t="shared" si="40"/>
        <v>1</v>
      </c>
      <c r="BI118">
        <f t="shared" si="49"/>
        <v>0</v>
      </c>
      <c r="BJ118" s="154">
        <v>2331376.4866666663</v>
      </c>
      <c r="BK118" s="155">
        <f t="shared" si="41"/>
        <v>2331376.4866666663</v>
      </c>
      <c r="BL118" s="156">
        <v>2073776.2711111109</v>
      </c>
      <c r="BM118" s="155">
        <f t="shared" si="42"/>
        <v>2073776.2711111109</v>
      </c>
      <c r="BN118" s="158">
        <v>4486525.8344444446</v>
      </c>
      <c r="BO118" s="155">
        <f t="shared" si="43"/>
        <v>4486525.8344444446</v>
      </c>
      <c r="BP118" s="158">
        <v>4249509.8666666672</v>
      </c>
      <c r="BQ118" s="155">
        <f t="shared" si="44"/>
        <v>4249509.8666666672</v>
      </c>
      <c r="BR118" s="158">
        <v>1678119.5422222223</v>
      </c>
      <c r="BS118" s="155">
        <f t="shared" si="45"/>
        <v>1678119.5422222223</v>
      </c>
      <c r="BT118" s="194">
        <v>3223333.9599999995</v>
      </c>
      <c r="BU118" s="194"/>
      <c r="BV118" s="348">
        <f t="shared" si="50"/>
        <v>3223333.9599999995</v>
      </c>
      <c r="BW118" s="195">
        <f t="shared" si="46"/>
        <v>2716429.7555555552</v>
      </c>
      <c r="BX118" s="157" t="str">
        <f t="shared" si="51"/>
        <v>0</v>
      </c>
      <c r="BY118" s="157">
        <f>IF(E118*$CJ$10*'Year 7 Payments'!$L$20*IF(B118="",1,0.8)&lt;=(BW118-(J118*350)),E118*$CJ$10*'Year 7 Payments'!$L$20*IF(B118="",1,0.8),BW118-(IF(B118="",1,0.8)*J118*350))</f>
        <v>617396.35703111114</v>
      </c>
      <c r="BZ118" s="157" t="str">
        <f t="shared" si="52"/>
        <v>0</v>
      </c>
      <c r="CA118" s="157">
        <f t="shared" si="53"/>
        <v>2099033.3985244441</v>
      </c>
      <c r="CB118" s="157">
        <f t="shared" si="54"/>
        <v>0</v>
      </c>
      <c r="CC118" s="157">
        <f t="shared" si="55"/>
        <v>8396133.5940977763</v>
      </c>
      <c r="CD118" s="201">
        <f t="shared" si="56"/>
        <v>0</v>
      </c>
      <c r="CE118" s="155">
        <f t="shared" si="57"/>
        <v>2099033.3985244441</v>
      </c>
    </row>
    <row r="119" spans="1:83" x14ac:dyDescent="0.2">
      <c r="A119" s="147" t="s">
        <v>588</v>
      </c>
      <c r="B119" s="57"/>
      <c r="C119" s="57" t="s">
        <v>446</v>
      </c>
      <c r="D119" s="148" t="s">
        <v>147</v>
      </c>
      <c r="E119" s="197">
        <v>44529.222222222226</v>
      </c>
      <c r="F119" s="147">
        <f t="shared" si="47"/>
        <v>56124</v>
      </c>
      <c r="G119" s="342">
        <v>445</v>
      </c>
      <c r="H119" s="149">
        <f t="shared" si="31"/>
        <v>544</v>
      </c>
      <c r="I119" s="346">
        <v>300.10533333333336</v>
      </c>
      <c r="J119" s="150">
        <v>152</v>
      </c>
      <c r="K119"/>
      <c r="L119" s="151">
        <v>26367</v>
      </c>
      <c r="M119" s="151">
        <v>12052</v>
      </c>
      <c r="N119" s="151">
        <v>7829</v>
      </c>
      <c r="O119" s="151">
        <v>4834</v>
      </c>
      <c r="P119" s="151">
        <v>3519</v>
      </c>
      <c r="Q119" s="151">
        <v>1101</v>
      </c>
      <c r="R119" s="151">
        <v>382</v>
      </c>
      <c r="S119" s="151">
        <v>40</v>
      </c>
      <c r="T119" s="151">
        <v>56124</v>
      </c>
      <c r="U119" s="147"/>
      <c r="V119" s="152">
        <f t="shared" si="48"/>
        <v>0.46979901646354499</v>
      </c>
      <c r="W119" s="152">
        <f t="shared" si="32"/>
        <v>0.21473879267336612</v>
      </c>
      <c r="X119" s="152">
        <f t="shared" si="33"/>
        <v>0.13949469032855819</v>
      </c>
      <c r="Y119" s="152">
        <f t="shared" si="34"/>
        <v>8.6130710569453359E-2</v>
      </c>
      <c r="Z119" s="152">
        <f t="shared" si="35"/>
        <v>6.2700449005772929E-2</v>
      </c>
      <c r="AA119" s="152">
        <f t="shared" si="36"/>
        <v>1.9617276031644218E-2</v>
      </c>
      <c r="AB119" s="152">
        <f t="shared" si="37"/>
        <v>6.8063573515786471E-3</v>
      </c>
      <c r="AC119" s="152">
        <f t="shared" si="38"/>
        <v>7.1270757608153375E-4</v>
      </c>
      <c r="AD119" s="152"/>
      <c r="AE119" s="221">
        <v>203</v>
      </c>
      <c r="AF119" s="221">
        <v>106</v>
      </c>
      <c r="AG119" s="221">
        <v>29</v>
      </c>
      <c r="AH119" s="221">
        <v>62</v>
      </c>
      <c r="AI119" s="221">
        <v>91</v>
      </c>
      <c r="AJ119" s="221">
        <v>24</v>
      </c>
      <c r="AK119" s="221">
        <v>8</v>
      </c>
      <c r="AL119" s="221">
        <v>0</v>
      </c>
      <c r="AM119" s="221">
        <v>523</v>
      </c>
      <c r="AN119" s="147"/>
      <c r="AO119" s="221">
        <v>-18</v>
      </c>
      <c r="AP119" s="221">
        <v>-1</v>
      </c>
      <c r="AQ119" s="221">
        <v>-2</v>
      </c>
      <c r="AR119" s="221">
        <v>-3</v>
      </c>
      <c r="AS119" s="221">
        <v>2</v>
      </c>
      <c r="AT119" s="221">
        <v>0</v>
      </c>
      <c r="AU119" s="221">
        <v>1</v>
      </c>
      <c r="AV119" s="221">
        <v>0</v>
      </c>
      <c r="AW119" s="221">
        <v>-21</v>
      </c>
      <c r="AX119" s="56">
        <f t="shared" si="60"/>
        <v>18</v>
      </c>
      <c r="AY119" s="56">
        <f t="shared" si="60"/>
        <v>1</v>
      </c>
      <c r="AZ119" s="56">
        <f t="shared" si="60"/>
        <v>2</v>
      </c>
      <c r="BA119" s="56">
        <f t="shared" si="60"/>
        <v>3</v>
      </c>
      <c r="BB119" s="56">
        <f t="shared" si="60"/>
        <v>-2</v>
      </c>
      <c r="BC119" s="56">
        <f t="shared" si="60"/>
        <v>0</v>
      </c>
      <c r="BD119" s="56">
        <f t="shared" si="60"/>
        <v>-1</v>
      </c>
      <c r="BE119" s="56">
        <f t="shared" si="59"/>
        <v>0</v>
      </c>
      <c r="BF119" s="56">
        <f t="shared" si="58"/>
        <v>21</v>
      </c>
      <c r="BH119">
        <f t="shared" si="40"/>
        <v>1</v>
      </c>
      <c r="BI119">
        <f t="shared" si="49"/>
        <v>0</v>
      </c>
      <c r="BJ119" s="154">
        <v>347331.76</v>
      </c>
      <c r="BK119" s="155">
        <f t="shared" si="41"/>
        <v>347331.76</v>
      </c>
      <c r="BL119" s="156">
        <v>509539.69444444438</v>
      </c>
      <c r="BM119" s="155">
        <f t="shared" si="42"/>
        <v>509539.69444444438</v>
      </c>
      <c r="BN119" s="158">
        <v>195246.19333333336</v>
      </c>
      <c r="BO119" s="155">
        <f t="shared" si="43"/>
        <v>195246.19333333336</v>
      </c>
      <c r="BP119" s="158">
        <v>672790.2666666666</v>
      </c>
      <c r="BQ119" s="155">
        <f t="shared" si="44"/>
        <v>672790.2666666666</v>
      </c>
      <c r="BR119" s="158">
        <v>440427.66666666663</v>
      </c>
      <c r="BS119" s="155">
        <f t="shared" si="45"/>
        <v>440427.66666666663</v>
      </c>
      <c r="BT119" s="194">
        <v>512120.74666666664</v>
      </c>
      <c r="BU119" s="194"/>
      <c r="BV119" s="348">
        <f t="shared" si="50"/>
        <v>512120.74666666664</v>
      </c>
      <c r="BW119" s="195">
        <f t="shared" si="46"/>
        <v>784669.58222222212</v>
      </c>
      <c r="BX119" s="157" t="str">
        <f t="shared" si="51"/>
        <v>0</v>
      </c>
      <c r="BY119" s="157">
        <f>IF(E119*$CJ$10*'Year 7 Payments'!$L$20*IF(B119="",1,0.8)&lt;=(BW119-(J119*350)),E119*$CJ$10*'Year 7 Payments'!$L$20*IF(B119="",1,0.8),BW119-(IF(B119="",1,0.8)*J119*350))</f>
        <v>272440.4685688889</v>
      </c>
      <c r="BZ119" s="157" t="str">
        <f t="shared" si="52"/>
        <v>0</v>
      </c>
      <c r="CA119" s="157">
        <f t="shared" si="53"/>
        <v>512229.11365333322</v>
      </c>
      <c r="CB119" s="157">
        <f t="shared" si="54"/>
        <v>0</v>
      </c>
      <c r="CC119" s="157">
        <f t="shared" si="55"/>
        <v>2048916.4546133329</v>
      </c>
      <c r="CD119" s="201">
        <f t="shared" si="56"/>
        <v>0</v>
      </c>
      <c r="CE119" s="155">
        <f t="shared" si="57"/>
        <v>512229.11365333322</v>
      </c>
    </row>
    <row r="120" spans="1:83" x14ac:dyDescent="0.2">
      <c r="A120" s="147" t="s">
        <v>589</v>
      </c>
      <c r="B120" s="57" t="s">
        <v>538</v>
      </c>
      <c r="C120" s="57" t="s">
        <v>464</v>
      </c>
      <c r="D120" s="148" t="s">
        <v>148</v>
      </c>
      <c r="E120" s="197">
        <v>40821.666666666664</v>
      </c>
      <c r="F120" s="147">
        <f t="shared" si="47"/>
        <v>40804</v>
      </c>
      <c r="G120" s="342">
        <v>361</v>
      </c>
      <c r="H120" s="149">
        <f t="shared" si="31"/>
        <v>350</v>
      </c>
      <c r="I120" s="346">
        <v>218.1577777777778</v>
      </c>
      <c r="J120" s="150">
        <v>40</v>
      </c>
      <c r="K120"/>
      <c r="L120" s="151">
        <v>3663</v>
      </c>
      <c r="M120" s="151">
        <v>8550</v>
      </c>
      <c r="N120" s="151">
        <v>9186</v>
      </c>
      <c r="O120" s="151">
        <v>6823</v>
      </c>
      <c r="P120" s="151">
        <v>6027</v>
      </c>
      <c r="Q120" s="151">
        <v>3962</v>
      </c>
      <c r="R120" s="151">
        <v>2426</v>
      </c>
      <c r="S120" s="151">
        <v>167</v>
      </c>
      <c r="T120" s="151">
        <v>40804</v>
      </c>
      <c r="U120" s="147"/>
      <c r="V120" s="152">
        <f t="shared" si="48"/>
        <v>8.9770610724438787E-2</v>
      </c>
      <c r="W120" s="152">
        <f t="shared" si="32"/>
        <v>0.20953828056072935</v>
      </c>
      <c r="X120" s="152">
        <f t="shared" si="33"/>
        <v>0.22512498774629938</v>
      </c>
      <c r="Y120" s="152">
        <f t="shared" si="34"/>
        <v>0.16721399862758554</v>
      </c>
      <c r="Z120" s="152">
        <f t="shared" si="35"/>
        <v>0.14770610724438782</v>
      </c>
      <c r="AA120" s="152">
        <f t="shared" si="36"/>
        <v>9.7098323693755512E-2</v>
      </c>
      <c r="AB120" s="152">
        <f t="shared" si="37"/>
        <v>5.945495539652975E-2</v>
      </c>
      <c r="AC120" s="152">
        <f t="shared" si="38"/>
        <v>4.0927360062738951E-3</v>
      </c>
      <c r="AD120" s="152"/>
      <c r="AE120" s="221">
        <v>-3</v>
      </c>
      <c r="AF120" s="221">
        <v>50</v>
      </c>
      <c r="AG120" s="221">
        <v>89</v>
      </c>
      <c r="AH120" s="221">
        <v>56</v>
      </c>
      <c r="AI120" s="221">
        <v>64</v>
      </c>
      <c r="AJ120" s="221">
        <v>46</v>
      </c>
      <c r="AK120" s="221">
        <v>15</v>
      </c>
      <c r="AL120" s="221">
        <v>1</v>
      </c>
      <c r="AM120" s="221">
        <v>318</v>
      </c>
      <c r="AN120" s="147"/>
      <c r="AO120" s="221">
        <v>-4</v>
      </c>
      <c r="AP120" s="221">
        <v>10</v>
      </c>
      <c r="AQ120" s="221">
        <v>-23</v>
      </c>
      <c r="AR120" s="221">
        <v>4</v>
      </c>
      <c r="AS120" s="221">
        <v>-5</v>
      </c>
      <c r="AT120" s="221">
        <v>-12</v>
      </c>
      <c r="AU120" s="221">
        <v>-3</v>
      </c>
      <c r="AV120" s="221">
        <v>1</v>
      </c>
      <c r="AW120" s="221">
        <v>-32</v>
      </c>
      <c r="AX120" s="56">
        <f t="shared" si="60"/>
        <v>4</v>
      </c>
      <c r="AY120" s="56">
        <f t="shared" si="60"/>
        <v>-10</v>
      </c>
      <c r="AZ120" s="56">
        <f t="shared" si="60"/>
        <v>23</v>
      </c>
      <c r="BA120" s="56">
        <f t="shared" si="60"/>
        <v>-4</v>
      </c>
      <c r="BB120" s="56">
        <f t="shared" si="60"/>
        <v>5</v>
      </c>
      <c r="BC120" s="56">
        <f t="shared" si="60"/>
        <v>12</v>
      </c>
      <c r="BD120" s="56">
        <f t="shared" si="60"/>
        <v>3</v>
      </c>
      <c r="BE120" s="56">
        <f t="shared" si="59"/>
        <v>-1</v>
      </c>
      <c r="BF120" s="56">
        <f t="shared" si="58"/>
        <v>32</v>
      </c>
      <c r="BH120">
        <f t="shared" si="40"/>
        <v>0.8</v>
      </c>
      <c r="BI120">
        <f t="shared" si="49"/>
        <v>0.19999999999999996</v>
      </c>
      <c r="BJ120" s="154">
        <v>315221.16266666667</v>
      </c>
      <c r="BK120" s="155">
        <f t="shared" si="41"/>
        <v>315221.16266666667</v>
      </c>
      <c r="BL120" s="156">
        <v>256793.1475555556</v>
      </c>
      <c r="BM120" s="155">
        <f t="shared" si="42"/>
        <v>256793.1475555556</v>
      </c>
      <c r="BN120" s="158">
        <v>202954.76622222224</v>
      </c>
      <c r="BO120" s="155">
        <f t="shared" si="43"/>
        <v>202954.76622222224</v>
      </c>
      <c r="BP120" s="158">
        <v>288147.09333333332</v>
      </c>
      <c r="BQ120" s="155">
        <f t="shared" si="44"/>
        <v>288147.09333333332</v>
      </c>
      <c r="BR120" s="158">
        <v>277948.14755555557</v>
      </c>
      <c r="BS120" s="155">
        <f t="shared" si="45"/>
        <v>277948.14755555557</v>
      </c>
      <c r="BT120" s="194">
        <v>486422.48355555558</v>
      </c>
      <c r="BU120" s="194"/>
      <c r="BV120" s="348">
        <f t="shared" si="50"/>
        <v>486422.48355555558</v>
      </c>
      <c r="BW120" s="195">
        <f t="shared" si="46"/>
        <v>477953.73155555548</v>
      </c>
      <c r="BX120" s="157">
        <f t="shared" si="51"/>
        <v>119488.43288888887</v>
      </c>
      <c r="BY120" s="157">
        <f>IF(E120*$CJ$10*'Year 7 Payments'!$L$20*IF(B120="",1,0.8)&lt;=(BW120-(J120*350)),E120*$CJ$10*'Year 7 Payments'!$L$20*IF(B120="",1,0.8),BW120-(IF(B120="",1,0.8)*J120*350))</f>
        <v>199805.40309333333</v>
      </c>
      <c r="BZ120" s="157">
        <f t="shared" si="52"/>
        <v>49951.350773333332</v>
      </c>
      <c r="CA120" s="157">
        <f t="shared" si="53"/>
        <v>278148.32846222213</v>
      </c>
      <c r="CB120" s="157">
        <f t="shared" si="54"/>
        <v>69537.082115555531</v>
      </c>
      <c r="CC120" s="157">
        <f t="shared" si="55"/>
        <v>1112593.3138488885</v>
      </c>
      <c r="CD120" s="201">
        <f t="shared" si="56"/>
        <v>278148.32846222213</v>
      </c>
      <c r="CE120" s="155">
        <f t="shared" si="57"/>
        <v>278148.32846222213</v>
      </c>
    </row>
    <row r="121" spans="1:83" x14ac:dyDescent="0.2">
      <c r="A121" s="147" t="s">
        <v>590</v>
      </c>
      <c r="B121" s="57"/>
      <c r="C121" s="57" t="s">
        <v>461</v>
      </c>
      <c r="D121" s="148" t="s">
        <v>149</v>
      </c>
      <c r="E121" s="197">
        <v>97791.555555555562</v>
      </c>
      <c r="F121" s="147">
        <f t="shared" si="47"/>
        <v>86793</v>
      </c>
      <c r="G121" s="342">
        <v>381</v>
      </c>
      <c r="H121" s="149">
        <f t="shared" si="31"/>
        <v>1268</v>
      </c>
      <c r="I121" s="346">
        <v>995.38933333333341</v>
      </c>
      <c r="J121" s="150">
        <v>86</v>
      </c>
      <c r="K121"/>
      <c r="L121" s="151">
        <v>3803</v>
      </c>
      <c r="M121" s="151">
        <v>6361</v>
      </c>
      <c r="N121" s="151">
        <v>14237</v>
      </c>
      <c r="O121" s="151">
        <v>24532</v>
      </c>
      <c r="P121" s="151">
        <v>15364</v>
      </c>
      <c r="Q121" s="151">
        <v>9217</v>
      </c>
      <c r="R121" s="151">
        <v>10965</v>
      </c>
      <c r="S121" s="151">
        <v>2314</v>
      </c>
      <c r="T121" s="151">
        <v>86793</v>
      </c>
      <c r="U121" s="147"/>
      <c r="V121" s="152">
        <f t="shared" si="48"/>
        <v>4.3816897676079866E-2</v>
      </c>
      <c r="W121" s="152">
        <f t="shared" si="32"/>
        <v>7.3289320567326857E-2</v>
      </c>
      <c r="X121" s="152">
        <f t="shared" si="33"/>
        <v>0.16403396587282384</v>
      </c>
      <c r="Y121" s="152">
        <f t="shared" si="34"/>
        <v>0.28264952242692382</v>
      </c>
      <c r="Z121" s="152">
        <f t="shared" si="35"/>
        <v>0.17701888401138341</v>
      </c>
      <c r="AA121" s="152">
        <f t="shared" si="36"/>
        <v>0.10619520007373867</v>
      </c>
      <c r="AB121" s="152">
        <f t="shared" si="37"/>
        <v>0.12633507310497391</v>
      </c>
      <c r="AC121" s="152">
        <f t="shared" si="38"/>
        <v>2.6661136266749624E-2</v>
      </c>
      <c r="AD121" s="152"/>
      <c r="AE121" s="221">
        <v>13</v>
      </c>
      <c r="AF121" s="221">
        <v>617</v>
      </c>
      <c r="AG121" s="221">
        <v>71</v>
      </c>
      <c r="AH121" s="221">
        <v>148</v>
      </c>
      <c r="AI121" s="221">
        <v>187</v>
      </c>
      <c r="AJ121" s="221">
        <v>121</v>
      </c>
      <c r="AK121" s="221">
        <v>137</v>
      </c>
      <c r="AL121" s="221">
        <v>88</v>
      </c>
      <c r="AM121" s="221">
        <v>1382</v>
      </c>
      <c r="AN121" s="147"/>
      <c r="AO121" s="221">
        <v>7</v>
      </c>
      <c r="AP121" s="221">
        <v>8</v>
      </c>
      <c r="AQ121" s="221">
        <v>22</v>
      </c>
      <c r="AR121" s="221">
        <v>32</v>
      </c>
      <c r="AS121" s="221">
        <v>27</v>
      </c>
      <c r="AT121" s="221">
        <v>15</v>
      </c>
      <c r="AU121" s="221">
        <v>7</v>
      </c>
      <c r="AV121" s="221">
        <v>-4</v>
      </c>
      <c r="AW121" s="221">
        <v>114</v>
      </c>
      <c r="AX121" s="56">
        <f t="shared" si="60"/>
        <v>-7</v>
      </c>
      <c r="AY121" s="56">
        <f t="shared" si="60"/>
        <v>-8</v>
      </c>
      <c r="AZ121" s="56">
        <f t="shared" si="60"/>
        <v>-22</v>
      </c>
      <c r="BA121" s="56">
        <f t="shared" si="60"/>
        <v>-32</v>
      </c>
      <c r="BB121" s="56">
        <f t="shared" si="60"/>
        <v>-27</v>
      </c>
      <c r="BC121" s="56">
        <f t="shared" si="60"/>
        <v>-15</v>
      </c>
      <c r="BD121" s="56">
        <f t="shared" si="60"/>
        <v>-7</v>
      </c>
      <c r="BE121" s="56">
        <f t="shared" si="59"/>
        <v>4</v>
      </c>
      <c r="BF121" s="56">
        <f t="shared" si="58"/>
        <v>-114</v>
      </c>
      <c r="BH121">
        <f t="shared" si="40"/>
        <v>1</v>
      </c>
      <c r="BI121">
        <f t="shared" si="49"/>
        <v>0</v>
      </c>
      <c r="BJ121" s="154">
        <v>909107.3</v>
      </c>
      <c r="BK121" s="155">
        <f t="shared" si="41"/>
        <v>909107.3</v>
      </c>
      <c r="BL121" s="156">
        <v>912934.97222222225</v>
      </c>
      <c r="BM121" s="155">
        <f t="shared" si="42"/>
        <v>912934.97222222225</v>
      </c>
      <c r="BN121" s="158">
        <v>1140727.1177777778</v>
      </c>
      <c r="BO121" s="155">
        <f t="shared" si="43"/>
        <v>1140727.1177777778</v>
      </c>
      <c r="BP121" s="158">
        <v>1674893.8666666667</v>
      </c>
      <c r="BQ121" s="155">
        <f t="shared" si="44"/>
        <v>1674893.8666666667</v>
      </c>
      <c r="BR121" s="158">
        <v>1085597.6044444446</v>
      </c>
      <c r="BS121" s="155">
        <f t="shared" si="45"/>
        <v>1085597.6044444446</v>
      </c>
      <c r="BT121" s="194">
        <v>2237539.9666666663</v>
      </c>
      <c r="BU121" s="194"/>
      <c r="BV121" s="348">
        <f t="shared" si="50"/>
        <v>2237539.9666666663</v>
      </c>
      <c r="BW121" s="195">
        <f t="shared" si="46"/>
        <v>2150919.9155555558</v>
      </c>
      <c r="BX121" s="157" t="str">
        <f t="shared" si="51"/>
        <v>0</v>
      </c>
      <c r="BY121" s="157">
        <f>IF(E121*$CJ$10*'Year 7 Payments'!$L$20*IF(B121="",1,0.8)&lt;=(BW121-(J121*350)),E121*$CJ$10*'Year 7 Payments'!$L$20*IF(B121="",1,0.8),BW121-(IF(B121="",1,0.8)*J121*350))</f>
        <v>598312.20686222217</v>
      </c>
      <c r="BZ121" s="157" t="str">
        <f t="shared" si="52"/>
        <v>0</v>
      </c>
      <c r="CA121" s="157">
        <f t="shared" si="53"/>
        <v>1552607.7086933337</v>
      </c>
      <c r="CB121" s="157">
        <f t="shared" si="54"/>
        <v>0</v>
      </c>
      <c r="CC121" s="157">
        <f t="shared" si="55"/>
        <v>6210430.8347733347</v>
      </c>
      <c r="CD121" s="201">
        <f t="shared" si="56"/>
        <v>0</v>
      </c>
      <c r="CE121" s="155">
        <f t="shared" si="57"/>
        <v>1552607.7086933337</v>
      </c>
    </row>
    <row r="122" spans="1:83" x14ac:dyDescent="0.2">
      <c r="A122" s="147" t="s">
        <v>591</v>
      </c>
      <c r="B122" s="57" t="s">
        <v>478</v>
      </c>
      <c r="C122" s="57" t="s">
        <v>449</v>
      </c>
      <c r="D122" s="148" t="s">
        <v>150</v>
      </c>
      <c r="E122" s="197">
        <v>37836.777777777781</v>
      </c>
      <c r="F122" s="147">
        <f t="shared" si="47"/>
        <v>38241</v>
      </c>
      <c r="G122" s="342">
        <v>314</v>
      </c>
      <c r="H122" s="149">
        <f t="shared" si="31"/>
        <v>532</v>
      </c>
      <c r="I122" s="346">
        <v>424.09733333333332</v>
      </c>
      <c r="J122" s="150">
        <v>94</v>
      </c>
      <c r="K122"/>
      <c r="L122" s="151">
        <v>4426</v>
      </c>
      <c r="M122" s="151">
        <v>8228</v>
      </c>
      <c r="N122" s="151">
        <v>7601</v>
      </c>
      <c r="O122" s="151">
        <v>6085</v>
      </c>
      <c r="P122" s="151">
        <v>5885</v>
      </c>
      <c r="Q122" s="151">
        <v>3336</v>
      </c>
      <c r="R122" s="151">
        <v>2454</v>
      </c>
      <c r="S122" s="151">
        <v>226</v>
      </c>
      <c r="T122" s="151">
        <v>38241</v>
      </c>
      <c r="U122" s="147"/>
      <c r="V122" s="152">
        <f t="shared" si="48"/>
        <v>0.11573965115975</v>
      </c>
      <c r="W122" s="152">
        <f t="shared" si="32"/>
        <v>0.21516173740226457</v>
      </c>
      <c r="X122" s="152">
        <f t="shared" si="33"/>
        <v>0.1987657226536963</v>
      </c>
      <c r="Y122" s="152">
        <f t="shared" si="34"/>
        <v>0.15912240788682305</v>
      </c>
      <c r="Z122" s="152">
        <f t="shared" si="35"/>
        <v>0.15389241913129886</v>
      </c>
      <c r="AA122" s="152">
        <f t="shared" si="36"/>
        <v>8.7236212442143246E-2</v>
      </c>
      <c r="AB122" s="152">
        <f t="shared" si="37"/>
        <v>6.4171962030281637E-2</v>
      </c>
      <c r="AC122" s="152">
        <f t="shared" si="38"/>
        <v>5.9098872937423186E-3</v>
      </c>
      <c r="AD122" s="152"/>
      <c r="AE122" s="221">
        <v>-34</v>
      </c>
      <c r="AF122" s="221">
        <v>143</v>
      </c>
      <c r="AG122" s="221">
        <v>82</v>
      </c>
      <c r="AH122" s="221">
        <v>118</v>
      </c>
      <c r="AI122" s="221">
        <v>144</v>
      </c>
      <c r="AJ122" s="221">
        <v>62</v>
      </c>
      <c r="AK122" s="221">
        <v>28</v>
      </c>
      <c r="AL122" s="221">
        <v>1</v>
      </c>
      <c r="AM122" s="221">
        <v>544</v>
      </c>
      <c r="AN122" s="147"/>
      <c r="AO122" s="221">
        <v>-32</v>
      </c>
      <c r="AP122" s="221">
        <v>22</v>
      </c>
      <c r="AQ122" s="221">
        <v>7</v>
      </c>
      <c r="AR122" s="221">
        <v>11</v>
      </c>
      <c r="AS122" s="221">
        <v>3</v>
      </c>
      <c r="AT122" s="221">
        <v>2</v>
      </c>
      <c r="AU122" s="221">
        <v>-2</v>
      </c>
      <c r="AV122" s="221">
        <v>1</v>
      </c>
      <c r="AW122" s="221">
        <v>12</v>
      </c>
      <c r="AX122" s="56">
        <f t="shared" si="60"/>
        <v>32</v>
      </c>
      <c r="AY122" s="56">
        <f t="shared" si="60"/>
        <v>-22</v>
      </c>
      <c r="AZ122" s="56">
        <f t="shared" si="60"/>
        <v>-7</v>
      </c>
      <c r="BA122" s="56">
        <f t="shared" si="60"/>
        <v>-11</v>
      </c>
      <c r="BB122" s="56">
        <f t="shared" si="60"/>
        <v>-3</v>
      </c>
      <c r="BC122" s="56">
        <f t="shared" si="60"/>
        <v>-2</v>
      </c>
      <c r="BD122" s="56">
        <f t="shared" si="60"/>
        <v>2</v>
      </c>
      <c r="BE122" s="56">
        <f t="shared" si="59"/>
        <v>-1</v>
      </c>
      <c r="BF122" s="56">
        <f t="shared" si="58"/>
        <v>-12</v>
      </c>
      <c r="BH122">
        <f t="shared" si="40"/>
        <v>0.8</v>
      </c>
      <c r="BI122">
        <f t="shared" si="49"/>
        <v>0.19999999999999996</v>
      </c>
      <c r="BJ122" s="154">
        <v>507756.81599999993</v>
      </c>
      <c r="BK122" s="155">
        <f t="shared" si="41"/>
        <v>507756.81599999993</v>
      </c>
      <c r="BL122" s="156">
        <v>340620.34222222224</v>
      </c>
      <c r="BM122" s="155">
        <f t="shared" si="42"/>
        <v>340620.34222222224</v>
      </c>
      <c r="BN122" s="158">
        <v>254362.61244444447</v>
      </c>
      <c r="BO122" s="155">
        <f t="shared" si="43"/>
        <v>254362.61244444447</v>
      </c>
      <c r="BP122" s="158">
        <v>535895.2533333333</v>
      </c>
      <c r="BQ122" s="155">
        <f t="shared" si="44"/>
        <v>535895.2533333333</v>
      </c>
      <c r="BR122" s="158">
        <v>543522.08355555567</v>
      </c>
      <c r="BS122" s="155">
        <f t="shared" si="45"/>
        <v>543522.08355555567</v>
      </c>
      <c r="BT122" s="194">
        <v>802476.59022222226</v>
      </c>
      <c r="BU122" s="194"/>
      <c r="BV122" s="348">
        <f t="shared" si="50"/>
        <v>802476.59022222226</v>
      </c>
      <c r="BW122" s="195">
        <f t="shared" si="46"/>
        <v>730461.44355555554</v>
      </c>
      <c r="BX122" s="157">
        <f t="shared" si="51"/>
        <v>182615.36088888888</v>
      </c>
      <c r="BY122" s="157">
        <f>IF(E122*$CJ$10*'Year 7 Payments'!$L$20*IF(B122="",1,0.8)&lt;=(BW122-(J122*350)),E122*$CJ$10*'Year 7 Payments'!$L$20*IF(B122="",1,0.8),BW122-(IF(B122="",1,0.8)*J122*350))</f>
        <v>185195.58981688891</v>
      </c>
      <c r="BZ122" s="157">
        <f t="shared" si="52"/>
        <v>46298.897454222228</v>
      </c>
      <c r="CA122" s="157">
        <f t="shared" si="53"/>
        <v>545265.85373866663</v>
      </c>
      <c r="CB122" s="157">
        <f t="shared" si="54"/>
        <v>136316.46343466666</v>
      </c>
      <c r="CC122" s="157">
        <f t="shared" si="55"/>
        <v>2181063.4149546665</v>
      </c>
      <c r="CD122" s="201">
        <f t="shared" si="56"/>
        <v>545265.85373866663</v>
      </c>
      <c r="CE122" s="155">
        <f t="shared" si="57"/>
        <v>545265.85373866663</v>
      </c>
    </row>
    <row r="123" spans="1:83" x14ac:dyDescent="0.2">
      <c r="A123" s="147" t="s">
        <v>592</v>
      </c>
      <c r="B123" s="57"/>
      <c r="C123" s="57" t="s">
        <v>461</v>
      </c>
      <c r="D123" s="148" t="s">
        <v>151</v>
      </c>
      <c r="E123" s="197">
        <v>104340.77777777778</v>
      </c>
      <c r="F123" s="147">
        <f t="shared" si="47"/>
        <v>107815</v>
      </c>
      <c r="G123" s="342">
        <v>732</v>
      </c>
      <c r="H123" s="149">
        <f t="shared" si="31"/>
        <v>881</v>
      </c>
      <c r="I123" s="346">
        <v>351.97022222222222</v>
      </c>
      <c r="J123" s="150">
        <v>13</v>
      </c>
      <c r="K123"/>
      <c r="L123" s="151">
        <v>7831</v>
      </c>
      <c r="M123" s="151">
        <v>18770</v>
      </c>
      <c r="N123" s="151">
        <v>33633</v>
      </c>
      <c r="O123" s="151">
        <v>26145</v>
      </c>
      <c r="P123" s="151">
        <v>10742</v>
      </c>
      <c r="Q123" s="151">
        <v>5369</v>
      </c>
      <c r="R123" s="151">
        <v>4624</v>
      </c>
      <c r="S123" s="151">
        <v>701</v>
      </c>
      <c r="T123" s="151">
        <v>107815</v>
      </c>
      <c r="U123" s="147"/>
      <c r="V123" s="152">
        <f t="shared" si="48"/>
        <v>7.2633678059639203E-2</v>
      </c>
      <c r="W123" s="152">
        <f t="shared" si="32"/>
        <v>0.1740945137504058</v>
      </c>
      <c r="X123" s="152">
        <f t="shared" si="33"/>
        <v>0.31195102722255713</v>
      </c>
      <c r="Y123" s="152">
        <f t="shared" si="34"/>
        <v>0.24249872466725408</v>
      </c>
      <c r="Z123" s="152">
        <f t="shared" si="35"/>
        <v>9.9633631683902976E-2</v>
      </c>
      <c r="AA123" s="152">
        <f t="shared" si="36"/>
        <v>4.9798265547465567E-2</v>
      </c>
      <c r="AB123" s="152">
        <f t="shared" si="37"/>
        <v>4.2888280851458516E-2</v>
      </c>
      <c r="AC123" s="152">
        <f t="shared" si="38"/>
        <v>6.5018782173167002E-3</v>
      </c>
      <c r="AD123" s="152"/>
      <c r="AE123" s="221">
        <v>209</v>
      </c>
      <c r="AF123" s="221">
        <v>210</v>
      </c>
      <c r="AG123" s="221">
        <v>247</v>
      </c>
      <c r="AH123" s="221">
        <v>53</v>
      </c>
      <c r="AI123" s="221">
        <v>13</v>
      </c>
      <c r="AJ123" s="221">
        <v>-8</v>
      </c>
      <c r="AK123" s="221">
        <v>18</v>
      </c>
      <c r="AL123" s="221">
        <v>19</v>
      </c>
      <c r="AM123" s="221">
        <v>761</v>
      </c>
      <c r="AN123" s="147"/>
      <c r="AO123" s="221">
        <v>18</v>
      </c>
      <c r="AP123" s="221">
        <v>-7</v>
      </c>
      <c r="AQ123" s="221">
        <v>-80</v>
      </c>
      <c r="AR123" s="221">
        <v>-28</v>
      </c>
      <c r="AS123" s="221">
        <v>-18</v>
      </c>
      <c r="AT123" s="221">
        <v>-5</v>
      </c>
      <c r="AU123" s="221">
        <v>0</v>
      </c>
      <c r="AV123" s="221">
        <v>0</v>
      </c>
      <c r="AW123" s="221">
        <v>-120</v>
      </c>
      <c r="AX123" s="56">
        <f t="shared" si="60"/>
        <v>-18</v>
      </c>
      <c r="AY123" s="56">
        <f t="shared" si="60"/>
        <v>7</v>
      </c>
      <c r="AZ123" s="56">
        <f t="shared" si="60"/>
        <v>80</v>
      </c>
      <c r="BA123" s="56">
        <f t="shared" si="60"/>
        <v>28</v>
      </c>
      <c r="BB123" s="56">
        <f t="shared" si="60"/>
        <v>18</v>
      </c>
      <c r="BC123" s="56">
        <f t="shared" si="60"/>
        <v>5</v>
      </c>
      <c r="BD123" s="56">
        <f t="shared" si="60"/>
        <v>0</v>
      </c>
      <c r="BE123" s="56">
        <f t="shared" si="59"/>
        <v>0</v>
      </c>
      <c r="BF123" s="56">
        <f t="shared" si="58"/>
        <v>120</v>
      </c>
      <c r="BH123">
        <f t="shared" si="40"/>
        <v>1</v>
      </c>
      <c r="BI123">
        <f t="shared" si="49"/>
        <v>0</v>
      </c>
      <c r="BJ123" s="154">
        <v>955961.90666666673</v>
      </c>
      <c r="BK123" s="155">
        <f t="shared" si="41"/>
        <v>955961.90666666673</v>
      </c>
      <c r="BL123" s="156">
        <v>774063.01555555558</v>
      </c>
      <c r="BM123" s="155">
        <f t="shared" si="42"/>
        <v>774063.01555555558</v>
      </c>
      <c r="BN123" s="158">
        <v>1364746.5233333332</v>
      </c>
      <c r="BO123" s="155">
        <f t="shared" si="43"/>
        <v>1364746.5233333332</v>
      </c>
      <c r="BP123" s="158">
        <v>1986302.2666666666</v>
      </c>
      <c r="BQ123" s="155">
        <f t="shared" si="44"/>
        <v>1986302.2666666666</v>
      </c>
      <c r="BR123" s="158">
        <v>853412.20888888882</v>
      </c>
      <c r="BS123" s="155">
        <f t="shared" si="45"/>
        <v>853412.20888888882</v>
      </c>
      <c r="BT123" s="194">
        <v>790584.66666666663</v>
      </c>
      <c r="BU123" s="194"/>
      <c r="BV123" s="348">
        <f t="shared" si="50"/>
        <v>790584.66666666663</v>
      </c>
      <c r="BW123" s="195">
        <f t="shared" si="46"/>
        <v>1181291.4933333332</v>
      </c>
      <c r="BX123" s="157" t="str">
        <f t="shared" si="51"/>
        <v>0</v>
      </c>
      <c r="BY123" s="157">
        <f>IF(E123*$CJ$10*'Year 7 Payments'!$L$20*IF(B123="",1,0.8)&lt;=(BW123-(J123*350)),E123*$CJ$10*'Year 7 Payments'!$L$20*IF(B123="",1,0.8),BW123-(IF(B123="",1,0.8)*J123*350))</f>
        <v>638381.92023111111</v>
      </c>
      <c r="BZ123" s="157" t="str">
        <f t="shared" si="52"/>
        <v>0</v>
      </c>
      <c r="CA123" s="157">
        <f t="shared" si="53"/>
        <v>542909.57310222206</v>
      </c>
      <c r="CB123" s="157">
        <f t="shared" si="54"/>
        <v>0</v>
      </c>
      <c r="CC123" s="157">
        <f t="shared" si="55"/>
        <v>2171638.2924088882</v>
      </c>
      <c r="CD123" s="201">
        <f t="shared" si="56"/>
        <v>0</v>
      </c>
      <c r="CE123" s="155">
        <f t="shared" si="57"/>
        <v>542909.57310222206</v>
      </c>
    </row>
    <row r="124" spans="1:83" x14ac:dyDescent="0.2">
      <c r="A124" s="147" t="s">
        <v>593</v>
      </c>
      <c r="B124" s="57" t="s">
        <v>467</v>
      </c>
      <c r="C124" s="57" t="s">
        <v>459</v>
      </c>
      <c r="D124" s="148" t="s">
        <v>152</v>
      </c>
      <c r="E124" s="197">
        <v>32937.444444444445</v>
      </c>
      <c r="F124" s="147">
        <f t="shared" si="47"/>
        <v>36606</v>
      </c>
      <c r="G124" s="342">
        <v>120</v>
      </c>
      <c r="H124" s="149">
        <f t="shared" si="31"/>
        <v>171</v>
      </c>
      <c r="I124" s="346">
        <v>101.02799999999996</v>
      </c>
      <c r="J124" s="150">
        <v>18</v>
      </c>
      <c r="K124"/>
      <c r="L124" s="151">
        <v>2203</v>
      </c>
      <c r="M124" s="151">
        <v>7700</v>
      </c>
      <c r="N124" s="151">
        <v>18791</v>
      </c>
      <c r="O124" s="151">
        <v>4275</v>
      </c>
      <c r="P124" s="151">
        <v>2295</v>
      </c>
      <c r="Q124" s="151">
        <v>927</v>
      </c>
      <c r="R124" s="151">
        <v>400</v>
      </c>
      <c r="S124" s="151">
        <v>15</v>
      </c>
      <c r="T124" s="151">
        <v>36606</v>
      </c>
      <c r="U124" s="147"/>
      <c r="V124" s="152">
        <f t="shared" si="48"/>
        <v>6.0181391028793094E-2</v>
      </c>
      <c r="W124" s="152">
        <f t="shared" si="32"/>
        <v>0.21034803037753375</v>
      </c>
      <c r="X124" s="152">
        <f t="shared" si="33"/>
        <v>0.51333114789925149</v>
      </c>
      <c r="Y124" s="152">
        <f t="shared" si="34"/>
        <v>0.1167841337485658</v>
      </c>
      <c r="Z124" s="152">
        <f t="shared" si="35"/>
        <v>6.269464022291428E-2</v>
      </c>
      <c r="AA124" s="152">
        <f t="shared" si="36"/>
        <v>2.5323717423373217E-2</v>
      </c>
      <c r="AB124" s="152">
        <f t="shared" si="37"/>
        <v>1.0927170409222533E-2</v>
      </c>
      <c r="AC124" s="152">
        <f t="shared" si="38"/>
        <v>4.0976889034584493E-4</v>
      </c>
      <c r="AD124" s="152"/>
      <c r="AE124" s="221">
        <v>-75</v>
      </c>
      <c r="AF124" s="221">
        <v>18</v>
      </c>
      <c r="AG124" s="221">
        <v>61</v>
      </c>
      <c r="AH124" s="221">
        <v>49</v>
      </c>
      <c r="AI124" s="221">
        <v>80</v>
      </c>
      <c r="AJ124" s="221">
        <v>42</v>
      </c>
      <c r="AK124" s="221">
        <v>7</v>
      </c>
      <c r="AL124" s="221">
        <v>0</v>
      </c>
      <c r="AM124" s="221">
        <v>182</v>
      </c>
      <c r="AN124" s="147"/>
      <c r="AO124" s="221">
        <v>19</v>
      </c>
      <c r="AP124" s="221">
        <v>1</v>
      </c>
      <c r="AQ124" s="221">
        <v>-5</v>
      </c>
      <c r="AR124" s="221">
        <v>-2</v>
      </c>
      <c r="AS124" s="221">
        <v>-2</v>
      </c>
      <c r="AT124" s="221">
        <v>0</v>
      </c>
      <c r="AU124" s="221">
        <v>0</v>
      </c>
      <c r="AV124" s="221">
        <v>0</v>
      </c>
      <c r="AW124" s="221">
        <v>11</v>
      </c>
      <c r="AX124" s="56">
        <f t="shared" si="60"/>
        <v>-19</v>
      </c>
      <c r="AY124" s="56">
        <f t="shared" si="60"/>
        <v>-1</v>
      </c>
      <c r="AZ124" s="56">
        <f t="shared" si="60"/>
        <v>5</v>
      </c>
      <c r="BA124" s="56">
        <f t="shared" si="60"/>
        <v>2</v>
      </c>
      <c r="BB124" s="56">
        <f t="shared" si="60"/>
        <v>2</v>
      </c>
      <c r="BC124" s="56">
        <f t="shared" si="60"/>
        <v>0</v>
      </c>
      <c r="BD124" s="56">
        <f t="shared" si="60"/>
        <v>0</v>
      </c>
      <c r="BE124" s="56">
        <f t="shared" si="59"/>
        <v>0</v>
      </c>
      <c r="BF124" s="56">
        <f t="shared" si="58"/>
        <v>-11</v>
      </c>
      <c r="BH124">
        <f t="shared" si="40"/>
        <v>0.8</v>
      </c>
      <c r="BI124">
        <f t="shared" si="49"/>
        <v>0.19999999999999996</v>
      </c>
      <c r="BJ124" s="154">
        <v>231938.2986666667</v>
      </c>
      <c r="BK124" s="155">
        <f t="shared" si="41"/>
        <v>231938.2986666667</v>
      </c>
      <c r="BL124" s="156">
        <v>210534.28977777777</v>
      </c>
      <c r="BM124" s="155">
        <f t="shared" si="42"/>
        <v>210534.28977777777</v>
      </c>
      <c r="BN124" s="158">
        <v>82991.708444444448</v>
      </c>
      <c r="BO124" s="155">
        <f t="shared" si="43"/>
        <v>82991.708444444448</v>
      </c>
      <c r="BP124" s="158">
        <v>178537.38666666669</v>
      </c>
      <c r="BQ124" s="155">
        <f t="shared" si="44"/>
        <v>178537.38666666669</v>
      </c>
      <c r="BR124" s="158">
        <v>278396.85866666673</v>
      </c>
      <c r="BS124" s="155">
        <f t="shared" si="45"/>
        <v>278396.85866666673</v>
      </c>
      <c r="BT124" s="194">
        <v>220907.66755555558</v>
      </c>
      <c r="BU124" s="194"/>
      <c r="BV124" s="348">
        <f t="shared" si="50"/>
        <v>220907.66755555558</v>
      </c>
      <c r="BW124" s="195">
        <f t="shared" si="46"/>
        <v>289878.06222222227</v>
      </c>
      <c r="BX124" s="157">
        <f t="shared" si="51"/>
        <v>72469.515555555568</v>
      </c>
      <c r="BY124" s="157">
        <f>IF(E124*$CJ$10*'Year 7 Payments'!$L$20*IF(B124="",1,0.8)&lt;=(BW124-(J124*350)),E124*$CJ$10*'Year 7 Payments'!$L$20*IF(B124="",1,0.8),BW124-(IF(B124="",1,0.8)*J124*350))</f>
        <v>161215.35207822223</v>
      </c>
      <c r="BZ124" s="157">
        <f t="shared" si="52"/>
        <v>40303.838019555558</v>
      </c>
      <c r="CA124" s="157">
        <f t="shared" si="53"/>
        <v>128662.71014400004</v>
      </c>
      <c r="CB124" s="157">
        <f t="shared" si="54"/>
        <v>32165.67753600001</v>
      </c>
      <c r="CC124" s="157">
        <f t="shared" si="55"/>
        <v>514650.84057600016</v>
      </c>
      <c r="CD124" s="201">
        <f t="shared" si="56"/>
        <v>128662.71014400004</v>
      </c>
      <c r="CE124" s="155">
        <f t="shared" si="57"/>
        <v>128662.71014400004</v>
      </c>
    </row>
    <row r="125" spans="1:83" x14ac:dyDescent="0.2">
      <c r="A125" s="147" t="s">
        <v>594</v>
      </c>
      <c r="B125" s="57" t="s">
        <v>538</v>
      </c>
      <c r="C125" s="57" t="s">
        <v>464</v>
      </c>
      <c r="D125" s="148" t="s">
        <v>153</v>
      </c>
      <c r="E125" s="197">
        <v>71442.444444444438</v>
      </c>
      <c r="F125" s="147">
        <f t="shared" si="47"/>
        <v>71178</v>
      </c>
      <c r="G125" s="342">
        <v>806</v>
      </c>
      <c r="H125" s="149">
        <f t="shared" si="31"/>
        <v>369</v>
      </c>
      <c r="I125" s="346">
        <v>151.8968888888889</v>
      </c>
      <c r="J125" s="150">
        <v>47</v>
      </c>
      <c r="K125"/>
      <c r="L125" s="151">
        <v>8429</v>
      </c>
      <c r="M125" s="151">
        <v>13913</v>
      </c>
      <c r="N125" s="151">
        <v>16397</v>
      </c>
      <c r="O125" s="151">
        <v>10637</v>
      </c>
      <c r="P125" s="151">
        <v>9310</v>
      </c>
      <c r="Q125" s="151">
        <v>6302</v>
      </c>
      <c r="R125" s="151">
        <v>5544</v>
      </c>
      <c r="S125" s="151">
        <v>646</v>
      </c>
      <c r="T125" s="151">
        <v>71178</v>
      </c>
      <c r="U125" s="147"/>
      <c r="V125" s="152">
        <f t="shared" si="48"/>
        <v>0.1184214223496024</v>
      </c>
      <c r="W125" s="152">
        <f t="shared" si="32"/>
        <v>0.19546770069403469</v>
      </c>
      <c r="X125" s="152">
        <f t="shared" si="33"/>
        <v>0.23036612436426987</v>
      </c>
      <c r="Y125" s="152">
        <f t="shared" si="34"/>
        <v>0.14944224338981146</v>
      </c>
      <c r="Z125" s="152">
        <f t="shared" si="35"/>
        <v>0.13079884233892494</v>
      </c>
      <c r="AA125" s="152">
        <f t="shared" si="36"/>
        <v>8.8538593385596678E-2</v>
      </c>
      <c r="AB125" s="152">
        <f t="shared" si="37"/>
        <v>7.7889235437916204E-2</v>
      </c>
      <c r="AC125" s="152">
        <f t="shared" si="38"/>
        <v>9.0758380398437716E-3</v>
      </c>
      <c r="AD125" s="152"/>
      <c r="AE125" s="221">
        <v>52</v>
      </c>
      <c r="AF125" s="221">
        <v>41</v>
      </c>
      <c r="AG125" s="221">
        <v>25</v>
      </c>
      <c r="AH125" s="221">
        <v>57</v>
      </c>
      <c r="AI125" s="221">
        <v>63</v>
      </c>
      <c r="AJ125" s="221">
        <v>45</v>
      </c>
      <c r="AK125" s="221">
        <v>65</v>
      </c>
      <c r="AL125" s="221">
        <v>16</v>
      </c>
      <c r="AM125" s="221">
        <v>364</v>
      </c>
      <c r="AN125" s="147"/>
      <c r="AO125" s="221">
        <v>51</v>
      </c>
      <c r="AP125" s="221">
        <v>-18</v>
      </c>
      <c r="AQ125" s="221">
        <v>-43</v>
      </c>
      <c r="AR125" s="221">
        <v>-2</v>
      </c>
      <c r="AS125" s="221">
        <v>-7</v>
      </c>
      <c r="AT125" s="221">
        <v>14</v>
      </c>
      <c r="AU125" s="221">
        <v>3</v>
      </c>
      <c r="AV125" s="221">
        <v>-3</v>
      </c>
      <c r="AW125" s="221">
        <v>-5</v>
      </c>
      <c r="AX125" s="56">
        <f t="shared" si="60"/>
        <v>-51</v>
      </c>
      <c r="AY125" s="56">
        <f t="shared" si="60"/>
        <v>18</v>
      </c>
      <c r="AZ125" s="56">
        <f t="shared" si="60"/>
        <v>43</v>
      </c>
      <c r="BA125" s="56">
        <f t="shared" si="60"/>
        <v>2</v>
      </c>
      <c r="BB125" s="56">
        <f t="shared" si="60"/>
        <v>7</v>
      </c>
      <c r="BC125" s="56">
        <f t="shared" si="60"/>
        <v>-14</v>
      </c>
      <c r="BD125" s="56">
        <f t="shared" si="60"/>
        <v>-3</v>
      </c>
      <c r="BE125" s="56">
        <f t="shared" si="59"/>
        <v>3</v>
      </c>
      <c r="BF125" s="56">
        <f t="shared" si="58"/>
        <v>5</v>
      </c>
      <c r="BH125">
        <f t="shared" si="40"/>
        <v>0.8</v>
      </c>
      <c r="BI125">
        <f t="shared" si="49"/>
        <v>0.19999999999999996</v>
      </c>
      <c r="BJ125" s="154">
        <v>272620.25066666672</v>
      </c>
      <c r="BK125" s="155">
        <f t="shared" si="41"/>
        <v>272620.25066666672</v>
      </c>
      <c r="BL125" s="156">
        <v>352735.97422222228</v>
      </c>
      <c r="BM125" s="155">
        <f t="shared" si="42"/>
        <v>352735.97422222228</v>
      </c>
      <c r="BN125" s="158">
        <v>172135.43200000003</v>
      </c>
      <c r="BO125" s="155">
        <f t="shared" si="43"/>
        <v>172135.43200000003</v>
      </c>
      <c r="BP125" s="158">
        <v>291884.15999999997</v>
      </c>
      <c r="BQ125" s="155">
        <f t="shared" si="44"/>
        <v>291884.15999999997</v>
      </c>
      <c r="BR125" s="158">
        <v>393815.31555555551</v>
      </c>
      <c r="BS125" s="155">
        <f t="shared" si="45"/>
        <v>393815.31555555551</v>
      </c>
      <c r="BT125" s="194">
        <v>162137.44711111111</v>
      </c>
      <c r="BU125" s="194"/>
      <c r="BV125" s="348">
        <f t="shared" si="50"/>
        <v>162137.44711111111</v>
      </c>
      <c r="BW125" s="195">
        <f t="shared" si="46"/>
        <v>548709.94133333338</v>
      </c>
      <c r="BX125" s="157">
        <f t="shared" si="51"/>
        <v>137177.48533333334</v>
      </c>
      <c r="BY125" s="157">
        <f>IF(E125*$CJ$10*'Year 7 Payments'!$L$20*IF(B125="",1,0.8)&lt;=(BW125-(J125*350)),E125*$CJ$10*'Year 7 Payments'!$L$20*IF(B125="",1,0.8),BW125-(IF(B125="",1,0.8)*J125*350))</f>
        <v>349681.6170382222</v>
      </c>
      <c r="BZ125" s="157">
        <f t="shared" si="52"/>
        <v>87420.404259555551</v>
      </c>
      <c r="CA125" s="157">
        <f t="shared" si="53"/>
        <v>199028.32429511118</v>
      </c>
      <c r="CB125" s="157">
        <f t="shared" si="54"/>
        <v>49757.081073777794</v>
      </c>
      <c r="CC125" s="157">
        <f t="shared" si="55"/>
        <v>796113.2971804447</v>
      </c>
      <c r="CD125" s="201">
        <f t="shared" si="56"/>
        <v>199028.32429511118</v>
      </c>
      <c r="CE125" s="155">
        <f t="shared" si="57"/>
        <v>199028.32429511118</v>
      </c>
    </row>
    <row r="126" spans="1:83" x14ac:dyDescent="0.2">
      <c r="A126" s="147" t="s">
        <v>595</v>
      </c>
      <c r="B126" s="57"/>
      <c r="C126" s="57" t="s">
        <v>461</v>
      </c>
      <c r="D126" s="148" t="s">
        <v>154</v>
      </c>
      <c r="E126" s="197">
        <v>98986.555555555547</v>
      </c>
      <c r="F126" s="147">
        <f t="shared" si="47"/>
        <v>90131</v>
      </c>
      <c r="G126" s="342">
        <v>651</v>
      </c>
      <c r="H126" s="149">
        <f t="shared" si="31"/>
        <v>755</v>
      </c>
      <c r="I126" s="346">
        <v>321.38711111111104</v>
      </c>
      <c r="J126" s="150">
        <v>120</v>
      </c>
      <c r="K126"/>
      <c r="L126" s="151">
        <v>665</v>
      </c>
      <c r="M126" s="151">
        <v>3609</v>
      </c>
      <c r="N126" s="151">
        <v>20059</v>
      </c>
      <c r="O126" s="151">
        <v>28634</v>
      </c>
      <c r="P126" s="151">
        <v>21909</v>
      </c>
      <c r="Q126" s="151">
        <v>7896</v>
      </c>
      <c r="R126" s="151">
        <v>6148</v>
      </c>
      <c r="S126" s="151">
        <v>1211</v>
      </c>
      <c r="T126" s="151">
        <v>90131</v>
      </c>
      <c r="U126" s="147"/>
      <c r="V126" s="152">
        <f t="shared" si="48"/>
        <v>7.378149582274689E-3</v>
      </c>
      <c r="W126" s="152">
        <f t="shared" si="32"/>
        <v>4.0041717056284738E-2</v>
      </c>
      <c r="X126" s="152">
        <f t="shared" si="33"/>
        <v>0.22255383830202705</v>
      </c>
      <c r="Y126" s="152">
        <f t="shared" si="34"/>
        <v>0.31769313554714806</v>
      </c>
      <c r="Z126" s="152">
        <f t="shared" si="35"/>
        <v>0.24307951759106189</v>
      </c>
      <c r="AA126" s="152">
        <f t="shared" si="36"/>
        <v>8.7605818197956306E-2</v>
      </c>
      <c r="AB126" s="152">
        <f t="shared" si="37"/>
        <v>6.8211825010262836E-2</v>
      </c>
      <c r="AC126" s="152">
        <f t="shared" si="38"/>
        <v>1.3435998712984433E-2</v>
      </c>
      <c r="AD126" s="152"/>
      <c r="AE126" s="221">
        <v>75</v>
      </c>
      <c r="AF126" s="221">
        <v>160</v>
      </c>
      <c r="AG126" s="221">
        <v>487</v>
      </c>
      <c r="AH126" s="221">
        <v>354</v>
      </c>
      <c r="AI126" s="221">
        <v>150</v>
      </c>
      <c r="AJ126" s="221">
        <v>52</v>
      </c>
      <c r="AK126" s="221">
        <v>19</v>
      </c>
      <c r="AL126" s="221">
        <v>12</v>
      </c>
      <c r="AM126" s="221">
        <v>1309</v>
      </c>
      <c r="AN126" s="147"/>
      <c r="AO126" s="221">
        <v>11</v>
      </c>
      <c r="AP126" s="221">
        <v>55</v>
      </c>
      <c r="AQ126" s="221">
        <v>209</v>
      </c>
      <c r="AR126" s="221">
        <v>150</v>
      </c>
      <c r="AS126" s="221">
        <v>87</v>
      </c>
      <c r="AT126" s="221">
        <v>20</v>
      </c>
      <c r="AU126" s="221">
        <v>21</v>
      </c>
      <c r="AV126" s="221">
        <v>1</v>
      </c>
      <c r="AW126" s="221">
        <v>554</v>
      </c>
      <c r="AX126" s="56">
        <f t="shared" si="60"/>
        <v>-11</v>
      </c>
      <c r="AY126" s="56">
        <f t="shared" si="60"/>
        <v>-55</v>
      </c>
      <c r="AZ126" s="56">
        <f t="shared" si="60"/>
        <v>-209</v>
      </c>
      <c r="BA126" s="56">
        <f t="shared" si="60"/>
        <v>-150</v>
      </c>
      <c r="BB126" s="56">
        <f t="shared" si="60"/>
        <v>-87</v>
      </c>
      <c r="BC126" s="56">
        <f t="shared" si="60"/>
        <v>-20</v>
      </c>
      <c r="BD126" s="56">
        <f t="shared" si="60"/>
        <v>-21</v>
      </c>
      <c r="BE126" s="56">
        <f t="shared" si="59"/>
        <v>-1</v>
      </c>
      <c r="BF126" s="56">
        <f t="shared" si="58"/>
        <v>-554</v>
      </c>
      <c r="BH126">
        <f t="shared" si="40"/>
        <v>1</v>
      </c>
      <c r="BI126">
        <f t="shared" si="49"/>
        <v>0</v>
      </c>
      <c r="BJ126" s="154">
        <v>678832.1</v>
      </c>
      <c r="BK126" s="155">
        <f t="shared" si="41"/>
        <v>678832.1</v>
      </c>
      <c r="BL126" s="156">
        <v>1041955.3188888889</v>
      </c>
      <c r="BM126" s="155">
        <f t="shared" si="42"/>
        <v>1041955.3188888889</v>
      </c>
      <c r="BN126" s="158">
        <v>1010387.1777777778</v>
      </c>
      <c r="BO126" s="155">
        <f t="shared" si="43"/>
        <v>1010387.1777777778</v>
      </c>
      <c r="BP126" s="158">
        <v>214413.86666666664</v>
      </c>
      <c r="BQ126" s="155">
        <f t="shared" si="44"/>
        <v>214413.86666666664</v>
      </c>
      <c r="BR126" s="158">
        <v>805370.23111111112</v>
      </c>
      <c r="BS126" s="155">
        <f t="shared" si="45"/>
        <v>805370.23111111112</v>
      </c>
      <c r="BT126" s="194">
        <v>1415936.2</v>
      </c>
      <c r="BU126" s="194"/>
      <c r="BV126" s="348">
        <f t="shared" si="50"/>
        <v>1415936.2</v>
      </c>
      <c r="BW126" s="195">
        <f t="shared" si="46"/>
        <v>1139204.3733333333</v>
      </c>
      <c r="BX126" s="157" t="str">
        <f t="shared" si="51"/>
        <v>0</v>
      </c>
      <c r="BY126" s="157">
        <f>IF(E126*$CJ$10*'Year 7 Payments'!$L$20*IF(B126="",1,0.8)&lt;=(BW126-(J126*350)),E126*$CJ$10*'Year 7 Payments'!$L$20*IF(B126="",1,0.8),BW126-(IF(B126="",1,0.8)*J126*350))</f>
        <v>605623.50366222218</v>
      </c>
      <c r="BZ126" s="157" t="str">
        <f t="shared" si="52"/>
        <v>0</v>
      </c>
      <c r="CA126" s="157">
        <f t="shared" si="53"/>
        <v>533580.86967111111</v>
      </c>
      <c r="CB126" s="157">
        <f t="shared" si="54"/>
        <v>0</v>
      </c>
      <c r="CC126" s="157">
        <f t="shared" si="55"/>
        <v>2134323.4786844444</v>
      </c>
      <c r="CD126" s="201">
        <f t="shared" si="56"/>
        <v>0</v>
      </c>
      <c r="CE126" s="155">
        <f t="shared" si="57"/>
        <v>533580.86967111111</v>
      </c>
    </row>
    <row r="127" spans="1:83" x14ac:dyDescent="0.2">
      <c r="A127" s="147" t="s">
        <v>596</v>
      </c>
      <c r="B127" s="57" t="s">
        <v>469</v>
      </c>
      <c r="C127" s="57" t="s">
        <v>443</v>
      </c>
      <c r="D127" s="148" t="s">
        <v>155</v>
      </c>
      <c r="E127" s="197">
        <v>43231.666666666672</v>
      </c>
      <c r="F127" s="147">
        <f t="shared" si="47"/>
        <v>38426</v>
      </c>
      <c r="G127" s="342">
        <v>220</v>
      </c>
      <c r="H127" s="149">
        <f t="shared" si="31"/>
        <v>628</v>
      </c>
      <c r="I127" s="346">
        <v>482.73999999999995</v>
      </c>
      <c r="J127" s="150">
        <v>97</v>
      </c>
      <c r="K127"/>
      <c r="L127" s="151">
        <v>701</v>
      </c>
      <c r="M127" s="151">
        <v>1966</v>
      </c>
      <c r="N127" s="151">
        <v>8876</v>
      </c>
      <c r="O127" s="151">
        <v>8664</v>
      </c>
      <c r="P127" s="151">
        <v>7653</v>
      </c>
      <c r="Q127" s="151">
        <v>6651</v>
      </c>
      <c r="R127" s="151">
        <v>3676</v>
      </c>
      <c r="S127" s="151">
        <v>239</v>
      </c>
      <c r="T127" s="151">
        <v>38426</v>
      </c>
      <c r="U127" s="147"/>
      <c r="V127" s="152">
        <f t="shared" si="48"/>
        <v>1.8242856399312966E-2</v>
      </c>
      <c r="W127" s="152">
        <f t="shared" si="32"/>
        <v>5.116327486597616E-2</v>
      </c>
      <c r="X127" s="152">
        <f t="shared" si="33"/>
        <v>0.2309894342372352</v>
      </c>
      <c r="Y127" s="152">
        <f t="shared" si="34"/>
        <v>0.22547233643886952</v>
      </c>
      <c r="Z127" s="152">
        <f t="shared" si="35"/>
        <v>0.19916202571175767</v>
      </c>
      <c r="AA127" s="152">
        <f t="shared" si="36"/>
        <v>0.17308593140061418</v>
      </c>
      <c r="AB127" s="152">
        <f t="shared" si="37"/>
        <v>9.5664393899963562E-2</v>
      </c>
      <c r="AC127" s="152">
        <f t="shared" si="38"/>
        <v>6.219747046270754E-3</v>
      </c>
      <c r="AD127" s="152"/>
      <c r="AE127" s="221">
        <v>17</v>
      </c>
      <c r="AF127" s="221">
        <v>81</v>
      </c>
      <c r="AG127" s="221">
        <v>212</v>
      </c>
      <c r="AH127" s="221">
        <v>124</v>
      </c>
      <c r="AI127" s="221">
        <v>110</v>
      </c>
      <c r="AJ127" s="221">
        <v>64</v>
      </c>
      <c r="AK127" s="221">
        <v>34</v>
      </c>
      <c r="AL127" s="221">
        <v>2</v>
      </c>
      <c r="AM127" s="221">
        <v>644</v>
      </c>
      <c r="AN127" s="147"/>
      <c r="AO127" s="221">
        <v>0</v>
      </c>
      <c r="AP127" s="221">
        <v>-2</v>
      </c>
      <c r="AQ127" s="221">
        <v>-2</v>
      </c>
      <c r="AR127" s="221">
        <v>13</v>
      </c>
      <c r="AS127" s="221">
        <v>4</v>
      </c>
      <c r="AT127" s="221">
        <v>4</v>
      </c>
      <c r="AU127" s="221">
        <v>-1</v>
      </c>
      <c r="AV127" s="221">
        <v>0</v>
      </c>
      <c r="AW127" s="221">
        <v>16</v>
      </c>
      <c r="AX127" s="56">
        <f t="shared" si="60"/>
        <v>0</v>
      </c>
      <c r="AY127" s="56">
        <f t="shared" si="60"/>
        <v>2</v>
      </c>
      <c r="AZ127" s="56">
        <f t="shared" si="60"/>
        <v>2</v>
      </c>
      <c r="BA127" s="56">
        <f t="shared" si="60"/>
        <v>-13</v>
      </c>
      <c r="BB127" s="56">
        <f t="shared" si="60"/>
        <v>-4</v>
      </c>
      <c r="BC127" s="56">
        <f t="shared" si="60"/>
        <v>-4</v>
      </c>
      <c r="BD127" s="56">
        <f t="shared" si="60"/>
        <v>1</v>
      </c>
      <c r="BE127" s="56">
        <f t="shared" si="59"/>
        <v>0</v>
      </c>
      <c r="BF127" s="56">
        <f t="shared" si="58"/>
        <v>-16</v>
      </c>
      <c r="BH127">
        <f t="shared" si="40"/>
        <v>0.8</v>
      </c>
      <c r="BI127">
        <f t="shared" si="49"/>
        <v>0.19999999999999996</v>
      </c>
      <c r="BJ127" s="154">
        <v>0</v>
      </c>
      <c r="BK127" s="155">
        <f t="shared" si="41"/>
        <v>0</v>
      </c>
      <c r="BL127" s="156">
        <v>421060.3404444445</v>
      </c>
      <c r="BM127" s="155">
        <f t="shared" si="42"/>
        <v>421060.3404444445</v>
      </c>
      <c r="BN127" s="158">
        <v>341135.41511111119</v>
      </c>
      <c r="BO127" s="155">
        <f t="shared" si="43"/>
        <v>341135.41511111119</v>
      </c>
      <c r="BP127" s="158">
        <v>449693.43999999994</v>
      </c>
      <c r="BQ127" s="155">
        <f t="shared" si="44"/>
        <v>449693.43999999994</v>
      </c>
      <c r="BR127" s="158">
        <v>371091.70488888893</v>
      </c>
      <c r="BS127" s="155">
        <f t="shared" si="45"/>
        <v>371091.70488888893</v>
      </c>
      <c r="BT127" s="194">
        <v>493581.29955555557</v>
      </c>
      <c r="BU127" s="194"/>
      <c r="BV127" s="348">
        <f t="shared" si="50"/>
        <v>493581.29955555557</v>
      </c>
      <c r="BW127" s="195">
        <f t="shared" si="46"/>
        <v>829465.20533333335</v>
      </c>
      <c r="BX127" s="157">
        <f t="shared" si="51"/>
        <v>207366.30133333334</v>
      </c>
      <c r="BY127" s="157">
        <f>IF(E127*$CJ$10*'Year 7 Payments'!$L$20*IF(B127="",1,0.8)&lt;=(BW127-(J127*350)),E127*$CJ$10*'Year 7 Payments'!$L$20*IF(B127="",1,0.8),BW127-(IF(B127="",1,0.8)*J127*350))</f>
        <v>211601.36981333338</v>
      </c>
      <c r="BZ127" s="157">
        <f t="shared" si="52"/>
        <v>52900.342453333345</v>
      </c>
      <c r="CA127" s="157">
        <f t="shared" si="53"/>
        <v>617863.83551999996</v>
      </c>
      <c r="CB127" s="157">
        <f t="shared" si="54"/>
        <v>154465.95887999999</v>
      </c>
      <c r="CC127" s="157">
        <f t="shared" si="55"/>
        <v>2471455.3420799999</v>
      </c>
      <c r="CD127" s="201">
        <f t="shared" si="56"/>
        <v>617863.83551999996</v>
      </c>
      <c r="CE127" s="155">
        <f t="shared" si="57"/>
        <v>617863.83551999996</v>
      </c>
    </row>
    <row r="128" spans="1:83" x14ac:dyDescent="0.2">
      <c r="A128" s="147" t="s">
        <v>597</v>
      </c>
      <c r="B128" s="57"/>
      <c r="C128" s="57" t="s">
        <v>543</v>
      </c>
      <c r="D128" s="148" t="s">
        <v>156</v>
      </c>
      <c r="E128" s="197">
        <v>33209.444444444445</v>
      </c>
      <c r="F128" s="147">
        <f t="shared" si="47"/>
        <v>43416</v>
      </c>
      <c r="G128" s="342">
        <v>732</v>
      </c>
      <c r="H128" s="149">
        <f t="shared" si="31"/>
        <v>396</v>
      </c>
      <c r="I128" s="346">
        <v>226.82888888888891</v>
      </c>
      <c r="J128" s="150">
        <v>105</v>
      </c>
      <c r="K128"/>
      <c r="L128" s="151">
        <v>24066</v>
      </c>
      <c r="M128" s="151">
        <v>7302</v>
      </c>
      <c r="N128" s="151">
        <v>6118</v>
      </c>
      <c r="O128" s="151">
        <v>3172</v>
      </c>
      <c r="P128" s="151">
        <v>1620</v>
      </c>
      <c r="Q128" s="151">
        <v>638</v>
      </c>
      <c r="R128" s="151">
        <v>442</v>
      </c>
      <c r="S128" s="151">
        <v>58</v>
      </c>
      <c r="T128" s="151">
        <v>43416</v>
      </c>
      <c r="U128" s="147"/>
      <c r="V128" s="152">
        <f t="shared" si="48"/>
        <v>0.55431177446102819</v>
      </c>
      <c r="W128" s="152">
        <f t="shared" si="32"/>
        <v>0.1681868435599779</v>
      </c>
      <c r="X128" s="152">
        <f t="shared" si="33"/>
        <v>0.14091579141330385</v>
      </c>
      <c r="Y128" s="152">
        <f t="shared" si="34"/>
        <v>7.3060622811866593E-2</v>
      </c>
      <c r="Z128" s="152">
        <f t="shared" si="35"/>
        <v>3.7313432835820892E-2</v>
      </c>
      <c r="AA128" s="152">
        <f t="shared" si="36"/>
        <v>1.4695043302008477E-2</v>
      </c>
      <c r="AB128" s="152">
        <f t="shared" si="37"/>
        <v>1.0180578588538788E-2</v>
      </c>
      <c r="AC128" s="152">
        <f t="shared" si="38"/>
        <v>1.335913027455316E-3</v>
      </c>
      <c r="AD128" s="152"/>
      <c r="AE128" s="221">
        <v>23</v>
      </c>
      <c r="AF128" s="221">
        <v>136</v>
      </c>
      <c r="AG128" s="221">
        <v>123</v>
      </c>
      <c r="AH128" s="221">
        <v>57</v>
      </c>
      <c r="AI128" s="221">
        <v>32</v>
      </c>
      <c r="AJ128" s="221">
        <v>21</v>
      </c>
      <c r="AK128" s="221">
        <v>11</v>
      </c>
      <c r="AL128" s="221">
        <v>-2</v>
      </c>
      <c r="AM128" s="221">
        <v>401</v>
      </c>
      <c r="AN128" s="147"/>
      <c r="AO128" s="221">
        <v>-28</v>
      </c>
      <c r="AP128" s="221">
        <v>25</v>
      </c>
      <c r="AQ128" s="221">
        <v>-1</v>
      </c>
      <c r="AR128" s="221">
        <v>5</v>
      </c>
      <c r="AS128" s="221">
        <v>1</v>
      </c>
      <c r="AT128" s="221">
        <v>1</v>
      </c>
      <c r="AU128" s="221">
        <v>0</v>
      </c>
      <c r="AV128" s="221">
        <v>2</v>
      </c>
      <c r="AW128" s="221">
        <v>5</v>
      </c>
      <c r="AX128" s="56">
        <f t="shared" si="60"/>
        <v>28</v>
      </c>
      <c r="AY128" s="56">
        <f t="shared" si="60"/>
        <v>-25</v>
      </c>
      <c r="AZ128" s="56">
        <f t="shared" si="60"/>
        <v>1</v>
      </c>
      <c r="BA128" s="56">
        <f t="shared" si="60"/>
        <v>-5</v>
      </c>
      <c r="BB128" s="56">
        <f t="shared" si="60"/>
        <v>-1</v>
      </c>
      <c r="BC128" s="56">
        <f t="shared" si="60"/>
        <v>-1</v>
      </c>
      <c r="BD128" s="56">
        <f t="shared" si="60"/>
        <v>0</v>
      </c>
      <c r="BE128" s="56">
        <f t="shared" si="59"/>
        <v>-2</v>
      </c>
      <c r="BF128" s="56">
        <f t="shared" si="58"/>
        <v>-5</v>
      </c>
      <c r="BH128">
        <f t="shared" si="40"/>
        <v>1</v>
      </c>
      <c r="BI128">
        <f t="shared" si="49"/>
        <v>0</v>
      </c>
      <c r="BJ128" s="154">
        <v>277129.80666666658</v>
      </c>
      <c r="BK128" s="155">
        <f t="shared" si="41"/>
        <v>277129.80666666658</v>
      </c>
      <c r="BL128" s="156">
        <v>491257.06444444443</v>
      </c>
      <c r="BM128" s="155">
        <f t="shared" si="42"/>
        <v>491257.06444444443</v>
      </c>
      <c r="BN128" s="158">
        <v>419498.56111111114</v>
      </c>
      <c r="BO128" s="155">
        <f t="shared" si="43"/>
        <v>419498.56111111114</v>
      </c>
      <c r="BP128" s="158">
        <v>144674.1333333333</v>
      </c>
      <c r="BQ128" s="155">
        <f t="shared" si="44"/>
        <v>144674.1333333333</v>
      </c>
      <c r="BR128" s="158">
        <v>350785.75777777779</v>
      </c>
      <c r="BS128" s="155">
        <f t="shared" si="45"/>
        <v>350785.75777777779</v>
      </c>
      <c r="BT128" s="194">
        <v>595948.81111111096</v>
      </c>
      <c r="BU128" s="194"/>
      <c r="BV128" s="348">
        <f t="shared" si="50"/>
        <v>595948.81111111096</v>
      </c>
      <c r="BW128" s="195">
        <f t="shared" si="46"/>
        <v>586881.74666666659</v>
      </c>
      <c r="BX128" s="157" t="str">
        <f t="shared" si="51"/>
        <v>0</v>
      </c>
      <c r="BY128" s="157">
        <f>IF(E128*$CJ$10*'Year 7 Payments'!$L$20*IF(B128="",1,0.8)&lt;=(BW128-(J128*350)),E128*$CJ$10*'Year 7 Payments'!$L$20*IF(B128="",1,0.8),BW128-(IF(B128="",1,0.8)*J128*350))</f>
        <v>203183.35137777778</v>
      </c>
      <c r="BZ128" s="157" t="str">
        <f t="shared" si="52"/>
        <v>0</v>
      </c>
      <c r="CA128" s="157">
        <f t="shared" si="53"/>
        <v>383698.39528888883</v>
      </c>
      <c r="CB128" s="157">
        <f t="shared" si="54"/>
        <v>0</v>
      </c>
      <c r="CC128" s="157">
        <f t="shared" si="55"/>
        <v>1534793.5811555553</v>
      </c>
      <c r="CD128" s="201">
        <f t="shared" si="56"/>
        <v>0</v>
      </c>
      <c r="CE128" s="155">
        <f t="shared" si="57"/>
        <v>383698.39528888883</v>
      </c>
    </row>
    <row r="129" spans="1:83" x14ac:dyDescent="0.2">
      <c r="A129" s="147" t="s">
        <v>598</v>
      </c>
      <c r="B129" s="57" t="s">
        <v>564</v>
      </c>
      <c r="C129" s="57" t="s">
        <v>443</v>
      </c>
      <c r="D129" s="148" t="s">
        <v>157</v>
      </c>
      <c r="E129" s="197">
        <v>35241.888888888891</v>
      </c>
      <c r="F129" s="147">
        <f t="shared" si="47"/>
        <v>43141</v>
      </c>
      <c r="G129" s="342">
        <v>523</v>
      </c>
      <c r="H129" s="149">
        <f t="shared" si="31"/>
        <v>143</v>
      </c>
      <c r="I129" s="346">
        <v>0</v>
      </c>
      <c r="J129" s="150">
        <v>20</v>
      </c>
      <c r="K129"/>
      <c r="L129" s="151">
        <v>14607</v>
      </c>
      <c r="M129" s="151">
        <v>12161</v>
      </c>
      <c r="N129" s="151">
        <v>7502</v>
      </c>
      <c r="O129" s="151">
        <v>5608</v>
      </c>
      <c r="P129" s="151">
        <v>2228</v>
      </c>
      <c r="Q129" s="151">
        <v>801</v>
      </c>
      <c r="R129" s="151">
        <v>195</v>
      </c>
      <c r="S129" s="151">
        <v>39</v>
      </c>
      <c r="T129" s="151">
        <v>43141</v>
      </c>
      <c r="U129" s="147"/>
      <c r="V129" s="152">
        <f t="shared" si="48"/>
        <v>0.33858742263739827</v>
      </c>
      <c r="W129" s="152">
        <f t="shared" si="32"/>
        <v>0.28188961776500315</v>
      </c>
      <c r="X129" s="152">
        <f t="shared" si="33"/>
        <v>0.17389490276071487</v>
      </c>
      <c r="Y129" s="152">
        <f t="shared" si="34"/>
        <v>0.12999235066410145</v>
      </c>
      <c r="Z129" s="152">
        <f t="shared" si="35"/>
        <v>5.1644607218191509E-2</v>
      </c>
      <c r="AA129" s="152">
        <f t="shared" si="36"/>
        <v>1.8567024408335457E-2</v>
      </c>
      <c r="AB129" s="152">
        <f t="shared" si="37"/>
        <v>4.5200621218794189E-3</v>
      </c>
      <c r="AC129" s="152">
        <f t="shared" si="38"/>
        <v>9.0401242437588376E-4</v>
      </c>
      <c r="AD129" s="152"/>
      <c r="AE129" s="221">
        <v>23</v>
      </c>
      <c r="AF129" s="221">
        <v>51</v>
      </c>
      <c r="AG129" s="221">
        <v>32</v>
      </c>
      <c r="AH129" s="221">
        <v>10</v>
      </c>
      <c r="AI129" s="221">
        <v>11</v>
      </c>
      <c r="AJ129" s="221">
        <v>5</v>
      </c>
      <c r="AK129" s="221">
        <v>3</v>
      </c>
      <c r="AL129" s="221">
        <v>-2</v>
      </c>
      <c r="AM129" s="221">
        <v>133</v>
      </c>
      <c r="AN129" s="147"/>
      <c r="AO129" s="221">
        <v>-5</v>
      </c>
      <c r="AP129" s="221">
        <v>-2</v>
      </c>
      <c r="AQ129" s="221">
        <v>-4</v>
      </c>
      <c r="AR129" s="221">
        <v>2</v>
      </c>
      <c r="AS129" s="221">
        <v>-5</v>
      </c>
      <c r="AT129" s="221">
        <v>-1</v>
      </c>
      <c r="AU129" s="221">
        <v>3</v>
      </c>
      <c r="AV129" s="221">
        <v>2</v>
      </c>
      <c r="AW129" s="221">
        <v>-10</v>
      </c>
      <c r="AX129" s="56">
        <f t="shared" si="60"/>
        <v>5</v>
      </c>
      <c r="AY129" s="56">
        <f t="shared" si="60"/>
        <v>2</v>
      </c>
      <c r="AZ129" s="56">
        <f t="shared" si="60"/>
        <v>4</v>
      </c>
      <c r="BA129" s="56">
        <f t="shared" si="60"/>
        <v>-2</v>
      </c>
      <c r="BB129" s="56">
        <f t="shared" si="60"/>
        <v>5</v>
      </c>
      <c r="BC129" s="56">
        <f t="shared" si="60"/>
        <v>1</v>
      </c>
      <c r="BD129" s="56">
        <f t="shared" si="60"/>
        <v>-3</v>
      </c>
      <c r="BE129" s="56">
        <f t="shared" si="59"/>
        <v>-2</v>
      </c>
      <c r="BF129" s="56">
        <f t="shared" si="58"/>
        <v>10</v>
      </c>
      <c r="BH129">
        <f t="shared" si="40"/>
        <v>0.8</v>
      </c>
      <c r="BI129">
        <f t="shared" si="49"/>
        <v>0.19999999999999996</v>
      </c>
      <c r="BJ129" s="154">
        <v>194710.47466666671</v>
      </c>
      <c r="BK129" s="155">
        <f t="shared" si="41"/>
        <v>194710.47466666671</v>
      </c>
      <c r="BL129" s="156">
        <v>189838.40888888889</v>
      </c>
      <c r="BM129" s="155">
        <f t="shared" si="42"/>
        <v>189838.40888888889</v>
      </c>
      <c r="BN129" s="158">
        <v>119096.54933333337</v>
      </c>
      <c r="BO129" s="155">
        <f t="shared" si="43"/>
        <v>119096.54933333337</v>
      </c>
      <c r="BP129" s="158">
        <v>382669.12</v>
      </c>
      <c r="BQ129" s="155">
        <f t="shared" si="44"/>
        <v>382669.12</v>
      </c>
      <c r="BR129" s="158">
        <v>119542.18133333336</v>
      </c>
      <c r="BS129" s="155">
        <f t="shared" si="45"/>
        <v>119542.18133333336</v>
      </c>
      <c r="BT129" s="194">
        <v>382055.1342222222</v>
      </c>
      <c r="BU129" s="194"/>
      <c r="BV129" s="348">
        <f t="shared" si="50"/>
        <v>382055.1342222222</v>
      </c>
      <c r="BW129" s="195">
        <f t="shared" si="46"/>
        <v>152573.7208888889</v>
      </c>
      <c r="BX129" s="157">
        <f t="shared" si="51"/>
        <v>38143.430222222225</v>
      </c>
      <c r="BY129" s="157">
        <f>IF(E129*$CJ$10*'Year 7 Payments'!$L$20*IF(B129="",1,0.8)&lt;=(BW129-(J129*350)),E129*$CJ$10*'Year 7 Payments'!$L$20*IF(B129="",1,0.8),BW129-(IF(B129="",1,0.8)*J129*350))</f>
        <v>146973.7208888889</v>
      </c>
      <c r="BZ129" s="157">
        <f t="shared" si="52"/>
        <v>36743.430222222225</v>
      </c>
      <c r="CA129" s="157">
        <f t="shared" si="53"/>
        <v>5600</v>
      </c>
      <c r="CB129" s="157">
        <f t="shared" si="54"/>
        <v>1400</v>
      </c>
      <c r="CC129" s="157">
        <f t="shared" si="55"/>
        <v>22400</v>
      </c>
      <c r="CD129" s="201">
        <f t="shared" si="56"/>
        <v>5600</v>
      </c>
      <c r="CE129" s="155">
        <f t="shared" si="57"/>
        <v>5600</v>
      </c>
    </row>
    <row r="130" spans="1:83" x14ac:dyDescent="0.2">
      <c r="A130" s="147" t="s">
        <v>599</v>
      </c>
      <c r="B130" s="57" t="s">
        <v>469</v>
      </c>
      <c r="C130" s="57" t="s">
        <v>443</v>
      </c>
      <c r="D130" s="148" t="s">
        <v>158</v>
      </c>
      <c r="E130" s="197">
        <v>49320.000000000007</v>
      </c>
      <c r="F130" s="147">
        <f t="shared" si="47"/>
        <v>54401</v>
      </c>
      <c r="G130" s="342">
        <v>177</v>
      </c>
      <c r="H130" s="149">
        <f t="shared" si="31"/>
        <v>612</v>
      </c>
      <c r="I130" s="346">
        <v>392.60888888888888</v>
      </c>
      <c r="J130" s="150">
        <v>110</v>
      </c>
      <c r="K130"/>
      <c r="L130" s="151">
        <v>8343</v>
      </c>
      <c r="M130" s="151">
        <v>14196</v>
      </c>
      <c r="N130" s="151">
        <v>12832</v>
      </c>
      <c r="O130" s="151">
        <v>9904</v>
      </c>
      <c r="P130" s="151">
        <v>5664</v>
      </c>
      <c r="Q130" s="151">
        <v>2479</v>
      </c>
      <c r="R130" s="151">
        <v>942</v>
      </c>
      <c r="S130" s="151">
        <v>41</v>
      </c>
      <c r="T130" s="151">
        <v>54401</v>
      </c>
      <c r="U130" s="147"/>
      <c r="V130" s="152">
        <f t="shared" si="48"/>
        <v>0.15336115144942189</v>
      </c>
      <c r="W130" s="152">
        <f t="shared" si="32"/>
        <v>0.2609510854579879</v>
      </c>
      <c r="X130" s="152">
        <f t="shared" si="33"/>
        <v>0.23587801694821786</v>
      </c>
      <c r="Y130" s="152">
        <f t="shared" si="34"/>
        <v>0.18205547692138013</v>
      </c>
      <c r="Z130" s="152">
        <f t="shared" si="35"/>
        <v>0.10411573316666974</v>
      </c>
      <c r="AA130" s="152">
        <f t="shared" si="36"/>
        <v>4.5569015275454497E-2</v>
      </c>
      <c r="AB130" s="152">
        <f t="shared" si="37"/>
        <v>1.7315858164371978E-2</v>
      </c>
      <c r="AC130" s="152">
        <f t="shared" si="38"/>
        <v>7.5366261649602024E-4</v>
      </c>
      <c r="AD130" s="152"/>
      <c r="AE130" s="221">
        <v>-2</v>
      </c>
      <c r="AF130" s="221">
        <v>85</v>
      </c>
      <c r="AG130" s="221">
        <v>198</v>
      </c>
      <c r="AH130" s="221">
        <v>118</v>
      </c>
      <c r="AI130" s="221">
        <v>111</v>
      </c>
      <c r="AJ130" s="221">
        <v>27</v>
      </c>
      <c r="AK130" s="221">
        <v>3</v>
      </c>
      <c r="AL130" s="221">
        <v>1</v>
      </c>
      <c r="AM130" s="221">
        <v>541</v>
      </c>
      <c r="AN130" s="147"/>
      <c r="AO130" s="221">
        <v>-48</v>
      </c>
      <c r="AP130" s="221">
        <v>-15</v>
      </c>
      <c r="AQ130" s="221">
        <v>-10</v>
      </c>
      <c r="AR130" s="221">
        <v>-1</v>
      </c>
      <c r="AS130" s="221">
        <v>-1</v>
      </c>
      <c r="AT130" s="221">
        <v>6</v>
      </c>
      <c r="AU130" s="221">
        <v>-2</v>
      </c>
      <c r="AV130" s="221">
        <v>0</v>
      </c>
      <c r="AW130" s="221">
        <v>-71</v>
      </c>
      <c r="AX130" s="56">
        <f t="shared" si="60"/>
        <v>48</v>
      </c>
      <c r="AY130" s="56">
        <f t="shared" si="60"/>
        <v>15</v>
      </c>
      <c r="AZ130" s="56">
        <f t="shared" si="60"/>
        <v>10</v>
      </c>
      <c r="BA130" s="56">
        <f t="shared" si="60"/>
        <v>1</v>
      </c>
      <c r="BB130" s="56">
        <f t="shared" si="60"/>
        <v>1</v>
      </c>
      <c r="BC130" s="56">
        <f t="shared" si="60"/>
        <v>-6</v>
      </c>
      <c r="BD130" s="56">
        <f t="shared" si="60"/>
        <v>2</v>
      </c>
      <c r="BE130" s="56">
        <f t="shared" si="59"/>
        <v>0</v>
      </c>
      <c r="BF130" s="56">
        <f t="shared" si="58"/>
        <v>71</v>
      </c>
      <c r="BH130">
        <f t="shared" si="40"/>
        <v>0.8</v>
      </c>
      <c r="BI130">
        <f t="shared" si="49"/>
        <v>0.19999999999999996</v>
      </c>
      <c r="BJ130" s="154">
        <v>124476.53866666666</v>
      </c>
      <c r="BK130" s="155">
        <f t="shared" si="41"/>
        <v>124476.53866666666</v>
      </c>
      <c r="BL130" s="156">
        <v>187809.1288888889</v>
      </c>
      <c r="BM130" s="155">
        <f t="shared" si="42"/>
        <v>187809.1288888889</v>
      </c>
      <c r="BN130" s="158">
        <v>139891.21066666665</v>
      </c>
      <c r="BO130" s="155">
        <f t="shared" si="43"/>
        <v>139891.21066666665</v>
      </c>
      <c r="BP130" s="158">
        <v>331449.17333333334</v>
      </c>
      <c r="BQ130" s="155">
        <f t="shared" si="44"/>
        <v>331449.17333333334</v>
      </c>
      <c r="BR130" s="158">
        <v>293359.26577777776</v>
      </c>
      <c r="BS130" s="155">
        <f t="shared" si="45"/>
        <v>293359.26577777776</v>
      </c>
      <c r="BT130" s="194">
        <v>738901.86844444461</v>
      </c>
      <c r="BU130" s="194"/>
      <c r="BV130" s="348">
        <f t="shared" si="50"/>
        <v>738901.86844444461</v>
      </c>
      <c r="BW130" s="195">
        <f t="shared" si="46"/>
        <v>752616.35911111115</v>
      </c>
      <c r="BX130" s="157">
        <f t="shared" si="51"/>
        <v>188154.08977777779</v>
      </c>
      <c r="BY130" s="157">
        <f>IF(E130*$CJ$10*'Year 7 Payments'!$L$20*IF(B130="",1,0.8)&lt;=(BW130-(J130*350)),E130*$CJ$10*'Year 7 Payments'!$L$20*IF(B130="",1,0.8),BW130-(IF(B130="",1,0.8)*J130*350))</f>
        <v>241401.27744000001</v>
      </c>
      <c r="BZ130" s="157">
        <f t="shared" si="52"/>
        <v>60350.319360000001</v>
      </c>
      <c r="CA130" s="157">
        <f t="shared" si="53"/>
        <v>511215.08167111117</v>
      </c>
      <c r="CB130" s="157">
        <f t="shared" si="54"/>
        <v>127803.77041777779</v>
      </c>
      <c r="CC130" s="157">
        <f t="shared" si="55"/>
        <v>2044860.3266844447</v>
      </c>
      <c r="CD130" s="201">
        <f t="shared" si="56"/>
        <v>511215.08167111117</v>
      </c>
      <c r="CE130" s="155">
        <f t="shared" si="57"/>
        <v>511215.08167111117</v>
      </c>
    </row>
    <row r="131" spans="1:83" x14ac:dyDescent="0.2">
      <c r="A131" s="147" t="s">
        <v>600</v>
      </c>
      <c r="B131" s="57"/>
      <c r="C131" s="57" t="s">
        <v>461</v>
      </c>
      <c r="D131" s="148" t="s">
        <v>159</v>
      </c>
      <c r="E131" s="197">
        <v>104206.33333333331</v>
      </c>
      <c r="F131" s="147">
        <f t="shared" si="47"/>
        <v>104271</v>
      </c>
      <c r="G131" s="342">
        <v>429</v>
      </c>
      <c r="H131" s="149">
        <f t="shared" si="31"/>
        <v>1053</v>
      </c>
      <c r="I131" s="346">
        <v>517.61911111111112</v>
      </c>
      <c r="J131" s="150">
        <v>71</v>
      </c>
      <c r="K131"/>
      <c r="L131" s="151">
        <v>5417</v>
      </c>
      <c r="M131" s="151">
        <v>10873</v>
      </c>
      <c r="N131" s="151">
        <v>27399</v>
      </c>
      <c r="O131" s="151">
        <v>35717</v>
      </c>
      <c r="P131" s="151">
        <v>15159</v>
      </c>
      <c r="Q131" s="151">
        <v>6360</v>
      </c>
      <c r="R131" s="151">
        <v>3033</v>
      </c>
      <c r="S131" s="151">
        <v>313</v>
      </c>
      <c r="T131" s="151">
        <v>104271</v>
      </c>
      <c r="U131" s="147"/>
      <c r="V131" s="152">
        <f t="shared" si="48"/>
        <v>5.1951165712422441E-2</v>
      </c>
      <c r="W131" s="152">
        <f t="shared" si="32"/>
        <v>0.10427635680102809</v>
      </c>
      <c r="X131" s="152">
        <f t="shared" si="33"/>
        <v>0.26276721236010014</v>
      </c>
      <c r="Y131" s="152">
        <f t="shared" si="34"/>
        <v>0.34254011182399707</v>
      </c>
      <c r="Z131" s="152">
        <f t="shared" si="35"/>
        <v>0.14538078660413731</v>
      </c>
      <c r="AA131" s="152">
        <f t="shared" si="36"/>
        <v>6.0994907500647351E-2</v>
      </c>
      <c r="AB131" s="152">
        <f t="shared" si="37"/>
        <v>2.908766579394079E-2</v>
      </c>
      <c r="AC131" s="152">
        <f t="shared" si="38"/>
        <v>3.0017934037268271E-3</v>
      </c>
      <c r="AD131" s="152"/>
      <c r="AE131" s="221">
        <v>210</v>
      </c>
      <c r="AF131" s="221">
        <v>51</v>
      </c>
      <c r="AG131" s="221">
        <v>507</v>
      </c>
      <c r="AH131" s="221">
        <v>119</v>
      </c>
      <c r="AI131" s="221">
        <v>59</v>
      </c>
      <c r="AJ131" s="221">
        <v>31</v>
      </c>
      <c r="AK131" s="221">
        <v>2</v>
      </c>
      <c r="AL131" s="221">
        <v>4</v>
      </c>
      <c r="AM131" s="221">
        <v>983</v>
      </c>
      <c r="AN131" s="147"/>
      <c r="AO131" s="221">
        <v>-24</v>
      </c>
      <c r="AP131" s="221">
        <v>-32</v>
      </c>
      <c r="AQ131" s="221">
        <v>-12</v>
      </c>
      <c r="AR131" s="221">
        <v>-7</v>
      </c>
      <c r="AS131" s="221">
        <v>14</v>
      </c>
      <c r="AT131" s="221">
        <v>-1</v>
      </c>
      <c r="AU131" s="221">
        <v>-6</v>
      </c>
      <c r="AV131" s="221">
        <v>-2</v>
      </c>
      <c r="AW131" s="221">
        <v>-70</v>
      </c>
      <c r="AX131" s="56">
        <f t="shared" si="60"/>
        <v>24</v>
      </c>
      <c r="AY131" s="56">
        <f t="shared" si="60"/>
        <v>32</v>
      </c>
      <c r="AZ131" s="56">
        <f t="shared" si="60"/>
        <v>12</v>
      </c>
      <c r="BA131" s="56">
        <f t="shared" si="60"/>
        <v>7</v>
      </c>
      <c r="BB131" s="56">
        <f t="shared" si="60"/>
        <v>-14</v>
      </c>
      <c r="BC131" s="56">
        <f t="shared" si="60"/>
        <v>1</v>
      </c>
      <c r="BD131" s="56">
        <f t="shared" si="60"/>
        <v>6</v>
      </c>
      <c r="BE131" s="56">
        <f t="shared" si="59"/>
        <v>2</v>
      </c>
      <c r="BF131" s="56">
        <f t="shared" si="58"/>
        <v>70</v>
      </c>
      <c r="BH131">
        <f t="shared" si="40"/>
        <v>1</v>
      </c>
      <c r="BI131">
        <f t="shared" si="49"/>
        <v>0</v>
      </c>
      <c r="BJ131" s="154">
        <v>396744.98</v>
      </c>
      <c r="BK131" s="155">
        <f t="shared" si="41"/>
        <v>396744.98</v>
      </c>
      <c r="BL131" s="156">
        <v>439993.04555555555</v>
      </c>
      <c r="BM131" s="155">
        <f t="shared" si="42"/>
        <v>439993.04555555555</v>
      </c>
      <c r="BN131" s="158">
        <v>960610.77333333355</v>
      </c>
      <c r="BO131" s="155">
        <f t="shared" si="43"/>
        <v>960610.77333333355</v>
      </c>
      <c r="BP131" s="158">
        <v>1616414.2666666666</v>
      </c>
      <c r="BQ131" s="155">
        <f t="shared" si="44"/>
        <v>1616414.2666666666</v>
      </c>
      <c r="BR131" s="158">
        <v>1428516.6711111113</v>
      </c>
      <c r="BS131" s="155">
        <f t="shared" si="45"/>
        <v>1428516.6711111113</v>
      </c>
      <c r="BT131" s="194">
        <v>2116676.6755555551</v>
      </c>
      <c r="BU131" s="194"/>
      <c r="BV131" s="348">
        <f t="shared" si="50"/>
        <v>2116676.6755555551</v>
      </c>
      <c r="BW131" s="195">
        <f t="shared" si="46"/>
        <v>1454138.8444444444</v>
      </c>
      <c r="BX131" s="157" t="str">
        <f t="shared" si="51"/>
        <v>0</v>
      </c>
      <c r="BY131" s="157">
        <f>IF(E131*$CJ$10*'Year 7 Payments'!$L$20*IF(B131="",1,0.8)&lt;=(BW131-(J131*350)),E131*$CJ$10*'Year 7 Payments'!$L$20*IF(B131="",1,0.8),BW131-(IF(B131="",1,0.8)*J131*350))</f>
        <v>637559.3568533333</v>
      </c>
      <c r="BZ131" s="157" t="str">
        <f t="shared" si="52"/>
        <v>0</v>
      </c>
      <c r="CA131" s="157">
        <f t="shared" si="53"/>
        <v>816579.4875911111</v>
      </c>
      <c r="CB131" s="157">
        <f t="shared" si="54"/>
        <v>0</v>
      </c>
      <c r="CC131" s="157">
        <f t="shared" si="55"/>
        <v>3266317.9503644444</v>
      </c>
      <c r="CD131" s="201">
        <f t="shared" si="56"/>
        <v>0</v>
      </c>
      <c r="CE131" s="155">
        <f t="shared" si="57"/>
        <v>816579.4875911111</v>
      </c>
    </row>
    <row r="132" spans="1:83" x14ac:dyDescent="0.2">
      <c r="A132" s="147" t="s">
        <v>601</v>
      </c>
      <c r="B132" s="57"/>
      <c r="C132" s="57" t="s">
        <v>476</v>
      </c>
      <c r="D132" s="148" t="s">
        <v>160</v>
      </c>
      <c r="E132" s="197">
        <v>80675</v>
      </c>
      <c r="F132" s="147">
        <f t="shared" si="47"/>
        <v>84018</v>
      </c>
      <c r="G132" s="342">
        <v>324</v>
      </c>
      <c r="H132" s="149">
        <f t="shared" si="31"/>
        <v>611</v>
      </c>
      <c r="I132" s="346">
        <v>274.18888888888893</v>
      </c>
      <c r="J132" s="150">
        <v>65</v>
      </c>
      <c r="K132"/>
      <c r="L132" s="151">
        <v>13030</v>
      </c>
      <c r="M132" s="151">
        <v>19582</v>
      </c>
      <c r="N132" s="151">
        <v>16418</v>
      </c>
      <c r="O132" s="151">
        <v>13090</v>
      </c>
      <c r="P132" s="151">
        <v>11438</v>
      </c>
      <c r="Q132" s="151">
        <v>6741</v>
      </c>
      <c r="R132" s="151">
        <v>3535</v>
      </c>
      <c r="S132" s="151">
        <v>184</v>
      </c>
      <c r="T132" s="151">
        <v>84018</v>
      </c>
      <c r="U132" s="147"/>
      <c r="V132" s="152">
        <f t="shared" si="48"/>
        <v>0.15508581494441667</v>
      </c>
      <c r="W132" s="152">
        <f t="shared" si="32"/>
        <v>0.2330691042395677</v>
      </c>
      <c r="X132" s="152">
        <f t="shared" si="33"/>
        <v>0.19541050727225118</v>
      </c>
      <c r="Y132" s="152">
        <f t="shared" si="34"/>
        <v>0.15579994763026969</v>
      </c>
      <c r="Z132" s="152">
        <f t="shared" si="35"/>
        <v>0.13613749434644956</v>
      </c>
      <c r="AA132" s="152">
        <f t="shared" si="36"/>
        <v>8.0232807255588082E-2</v>
      </c>
      <c r="AB132" s="152">
        <f t="shared" si="37"/>
        <v>4.2074317408174439E-2</v>
      </c>
      <c r="AC132" s="152">
        <f t="shared" si="38"/>
        <v>2.1900069032826301E-3</v>
      </c>
      <c r="AD132" s="152"/>
      <c r="AE132" s="221">
        <v>138</v>
      </c>
      <c r="AF132" s="221">
        <v>112</v>
      </c>
      <c r="AG132" s="221">
        <v>60</v>
      </c>
      <c r="AH132" s="221">
        <v>44</v>
      </c>
      <c r="AI132" s="221">
        <v>56</v>
      </c>
      <c r="AJ132" s="221">
        <v>91</v>
      </c>
      <c r="AK132" s="221">
        <v>16</v>
      </c>
      <c r="AL132" s="221">
        <v>-1</v>
      </c>
      <c r="AM132" s="221">
        <v>516</v>
      </c>
      <c r="AN132" s="147"/>
      <c r="AO132" s="221">
        <v>-8</v>
      </c>
      <c r="AP132" s="221">
        <v>-23</v>
      </c>
      <c r="AQ132" s="221">
        <v>-26</v>
      </c>
      <c r="AR132" s="221">
        <v>-8</v>
      </c>
      <c r="AS132" s="221">
        <v>-16</v>
      </c>
      <c r="AT132" s="221">
        <v>-6</v>
      </c>
      <c r="AU132" s="221">
        <v>-8</v>
      </c>
      <c r="AV132" s="221">
        <v>0</v>
      </c>
      <c r="AW132" s="221">
        <v>-95</v>
      </c>
      <c r="AX132" s="56">
        <f t="shared" si="60"/>
        <v>8</v>
      </c>
      <c r="AY132" s="56">
        <f t="shared" si="60"/>
        <v>23</v>
      </c>
      <c r="AZ132" s="56">
        <f t="shared" si="60"/>
        <v>26</v>
      </c>
      <c r="BA132" s="56">
        <f t="shared" si="60"/>
        <v>8</v>
      </c>
      <c r="BB132" s="56">
        <f t="shared" si="60"/>
        <v>16</v>
      </c>
      <c r="BC132" s="56">
        <f t="shared" si="60"/>
        <v>6</v>
      </c>
      <c r="BD132" s="56">
        <f t="shared" si="60"/>
        <v>8</v>
      </c>
      <c r="BE132" s="56">
        <f t="shared" si="59"/>
        <v>0</v>
      </c>
      <c r="BF132" s="56">
        <f t="shared" si="58"/>
        <v>95</v>
      </c>
      <c r="BH132">
        <f t="shared" si="40"/>
        <v>1</v>
      </c>
      <c r="BI132">
        <f t="shared" si="49"/>
        <v>0</v>
      </c>
      <c r="BJ132" s="154">
        <v>590719.85333333351</v>
      </c>
      <c r="BK132" s="155">
        <f t="shared" si="41"/>
        <v>590719.85333333351</v>
      </c>
      <c r="BL132" s="156">
        <v>824210.28444444435</v>
      </c>
      <c r="BM132" s="155">
        <f t="shared" si="42"/>
        <v>824210.28444444435</v>
      </c>
      <c r="BN132" s="158">
        <v>654545.8044444446</v>
      </c>
      <c r="BO132" s="155">
        <f t="shared" si="43"/>
        <v>654545.8044444446</v>
      </c>
      <c r="BP132" s="158">
        <v>737502.66666666663</v>
      </c>
      <c r="BQ132" s="155">
        <f t="shared" si="44"/>
        <v>737502.66666666663</v>
      </c>
      <c r="BR132" s="158">
        <v>784403.68222222233</v>
      </c>
      <c r="BS132" s="155">
        <f t="shared" si="45"/>
        <v>784403.68222222233</v>
      </c>
      <c r="BT132" s="194">
        <v>966254.11555555556</v>
      </c>
      <c r="BU132" s="194"/>
      <c r="BV132" s="348">
        <f t="shared" si="50"/>
        <v>966254.11555555556</v>
      </c>
      <c r="BW132" s="195">
        <f t="shared" si="46"/>
        <v>935727.36888888897</v>
      </c>
      <c r="BX132" s="157" t="str">
        <f t="shared" si="51"/>
        <v>0</v>
      </c>
      <c r="BY132" s="157">
        <f>IF(E132*$CJ$10*'Year 7 Payments'!$L$20*IF(B132="",1,0.8)&lt;=(BW132-(J132*350)),E132*$CJ$10*'Year 7 Payments'!$L$20*IF(B132="",1,0.8),BW132-(IF(B132="",1,0.8)*J132*350))</f>
        <v>493589.01199999999</v>
      </c>
      <c r="BZ132" s="157" t="str">
        <f t="shared" si="52"/>
        <v>0</v>
      </c>
      <c r="CA132" s="157">
        <f t="shared" si="53"/>
        <v>442138.35688888899</v>
      </c>
      <c r="CB132" s="157">
        <f t="shared" si="54"/>
        <v>0</v>
      </c>
      <c r="CC132" s="157">
        <f t="shared" si="55"/>
        <v>1768553.4275555559</v>
      </c>
      <c r="CD132" s="201">
        <f t="shared" si="56"/>
        <v>0</v>
      </c>
      <c r="CE132" s="155">
        <f t="shared" si="57"/>
        <v>442138.35688888899</v>
      </c>
    </row>
    <row r="133" spans="1:83" x14ac:dyDescent="0.2">
      <c r="A133" s="147" t="s">
        <v>602</v>
      </c>
      <c r="B133" s="57" t="s">
        <v>500</v>
      </c>
      <c r="C133" s="57" t="s">
        <v>459</v>
      </c>
      <c r="D133" s="148" t="s">
        <v>161</v>
      </c>
      <c r="E133" s="197">
        <v>48340.888888888883</v>
      </c>
      <c r="F133" s="147">
        <f t="shared" si="47"/>
        <v>42819</v>
      </c>
      <c r="G133" s="342">
        <v>297</v>
      </c>
      <c r="H133" s="149">
        <f t="shared" si="31"/>
        <v>343</v>
      </c>
      <c r="I133" s="346">
        <v>181.19200000000001</v>
      </c>
      <c r="J133" s="150">
        <v>45</v>
      </c>
      <c r="K133"/>
      <c r="L133" s="151">
        <v>607</v>
      </c>
      <c r="M133" s="151">
        <v>2933</v>
      </c>
      <c r="N133" s="151">
        <v>6735</v>
      </c>
      <c r="O133" s="151">
        <v>14074</v>
      </c>
      <c r="P133" s="151">
        <v>8700</v>
      </c>
      <c r="Q133" s="151">
        <v>4287</v>
      </c>
      <c r="R133" s="151">
        <v>4439</v>
      </c>
      <c r="S133" s="151">
        <v>1044</v>
      </c>
      <c r="T133" s="151">
        <v>42819</v>
      </c>
      <c r="U133" s="147"/>
      <c r="V133" s="152">
        <f t="shared" si="48"/>
        <v>1.4175949928769938E-2</v>
      </c>
      <c r="W133" s="152">
        <f t="shared" si="32"/>
        <v>6.8497629556972375E-2</v>
      </c>
      <c r="X133" s="152">
        <f t="shared" si="33"/>
        <v>0.15728998808939956</v>
      </c>
      <c r="Y133" s="152">
        <f t="shared" si="34"/>
        <v>0.3286858637520727</v>
      </c>
      <c r="Z133" s="152">
        <f t="shared" si="35"/>
        <v>0.20318083093953618</v>
      </c>
      <c r="AA133" s="152">
        <f t="shared" si="36"/>
        <v>0.10011910600434387</v>
      </c>
      <c r="AB133" s="152">
        <f t="shared" si="37"/>
        <v>0.10366893201616105</v>
      </c>
      <c r="AC133" s="152">
        <f t="shared" si="38"/>
        <v>2.4381699712744342E-2</v>
      </c>
      <c r="AD133" s="152"/>
      <c r="AE133" s="221">
        <v>26</v>
      </c>
      <c r="AF133" s="221">
        <v>18</v>
      </c>
      <c r="AG133" s="221">
        <v>112</v>
      </c>
      <c r="AH133" s="221">
        <v>97</v>
      </c>
      <c r="AI133" s="221">
        <v>49</v>
      </c>
      <c r="AJ133" s="221">
        <v>37</v>
      </c>
      <c r="AK133" s="221">
        <v>22</v>
      </c>
      <c r="AL133" s="221">
        <v>11</v>
      </c>
      <c r="AM133" s="221">
        <v>372</v>
      </c>
      <c r="AN133" s="147"/>
      <c r="AO133" s="221">
        <v>-2</v>
      </c>
      <c r="AP133" s="221">
        <v>20</v>
      </c>
      <c r="AQ133" s="221">
        <v>6</v>
      </c>
      <c r="AR133" s="221">
        <v>-1</v>
      </c>
      <c r="AS133" s="221">
        <v>11</v>
      </c>
      <c r="AT133" s="221">
        <v>0</v>
      </c>
      <c r="AU133" s="221">
        <v>-10</v>
      </c>
      <c r="AV133" s="221">
        <v>5</v>
      </c>
      <c r="AW133" s="221">
        <v>29</v>
      </c>
      <c r="AX133" s="56">
        <f t="shared" si="60"/>
        <v>2</v>
      </c>
      <c r="AY133" s="56">
        <f t="shared" si="60"/>
        <v>-20</v>
      </c>
      <c r="AZ133" s="56">
        <f t="shared" si="60"/>
        <v>-6</v>
      </c>
      <c r="BA133" s="56">
        <f t="shared" si="60"/>
        <v>1</v>
      </c>
      <c r="BB133" s="56">
        <f t="shared" si="60"/>
        <v>-11</v>
      </c>
      <c r="BC133" s="56">
        <f t="shared" si="60"/>
        <v>0</v>
      </c>
      <c r="BD133" s="56">
        <f t="shared" si="60"/>
        <v>10</v>
      </c>
      <c r="BE133" s="56">
        <f t="shared" si="59"/>
        <v>-5</v>
      </c>
      <c r="BF133" s="56">
        <f t="shared" si="58"/>
        <v>-29</v>
      </c>
      <c r="BH133">
        <f t="shared" si="40"/>
        <v>0.8</v>
      </c>
      <c r="BI133">
        <f t="shared" si="49"/>
        <v>0.19999999999999996</v>
      </c>
      <c r="BJ133" s="154">
        <v>305114.64</v>
      </c>
      <c r="BK133" s="155">
        <f t="shared" si="41"/>
        <v>305114.64</v>
      </c>
      <c r="BL133" s="156">
        <v>266699.15199999994</v>
      </c>
      <c r="BM133" s="155">
        <f t="shared" si="42"/>
        <v>266699.15199999994</v>
      </c>
      <c r="BN133" s="158">
        <v>368315.68177777785</v>
      </c>
      <c r="BO133" s="155">
        <f t="shared" si="43"/>
        <v>368315.68177777785</v>
      </c>
      <c r="BP133" s="158">
        <v>380797.97333333339</v>
      </c>
      <c r="BQ133" s="155">
        <f t="shared" si="44"/>
        <v>380797.97333333339</v>
      </c>
      <c r="BR133" s="158">
        <v>606487.58755555551</v>
      </c>
      <c r="BS133" s="155">
        <f t="shared" si="45"/>
        <v>606487.58755555551</v>
      </c>
      <c r="BT133" s="194">
        <v>427843.58400000003</v>
      </c>
      <c r="BU133" s="194"/>
      <c r="BV133" s="348">
        <f t="shared" si="50"/>
        <v>427843.58400000003</v>
      </c>
      <c r="BW133" s="195">
        <f t="shared" si="46"/>
        <v>470924.15644444455</v>
      </c>
      <c r="BX133" s="157">
        <f t="shared" si="51"/>
        <v>117731.03911111114</v>
      </c>
      <c r="BY133" s="157">
        <f>IF(E133*$CJ$10*'Year 7 Payments'!$L$20*IF(B133="",1,0.8)&lt;=(BW133-(J133*350)),E133*$CJ$10*'Year 7 Payments'!$L$20*IF(B133="",1,0.8),BW133-(IF(B133="",1,0.8)*J133*350))</f>
        <v>236608.92802844441</v>
      </c>
      <c r="BZ133" s="157">
        <f t="shared" si="52"/>
        <v>59152.232007111103</v>
      </c>
      <c r="CA133" s="157">
        <f t="shared" si="53"/>
        <v>234315.22841600014</v>
      </c>
      <c r="CB133" s="157">
        <f t="shared" si="54"/>
        <v>58578.807104000036</v>
      </c>
      <c r="CC133" s="157">
        <f t="shared" si="55"/>
        <v>937260.91366400057</v>
      </c>
      <c r="CD133" s="201">
        <f t="shared" si="56"/>
        <v>234315.22841600014</v>
      </c>
      <c r="CE133" s="155">
        <f t="shared" si="57"/>
        <v>234315.22841600014</v>
      </c>
    </row>
    <row r="134" spans="1:83" x14ac:dyDescent="0.2">
      <c r="A134" s="147" t="s">
        <v>603</v>
      </c>
      <c r="B134" s="57" t="s">
        <v>448</v>
      </c>
      <c r="C134" s="57" t="s">
        <v>449</v>
      </c>
      <c r="D134" s="148" t="s">
        <v>162</v>
      </c>
      <c r="E134" s="197">
        <v>36414.333333333336</v>
      </c>
      <c r="F134" s="147">
        <f t="shared" si="47"/>
        <v>41371</v>
      </c>
      <c r="G134" s="342">
        <v>517</v>
      </c>
      <c r="H134" s="149">
        <f t="shared" ref="H134:H197" si="61">AM134+BF134</f>
        <v>238</v>
      </c>
      <c r="I134" s="346">
        <v>72.78711111111113</v>
      </c>
      <c r="J134" s="150">
        <v>36</v>
      </c>
      <c r="K134"/>
      <c r="L134" s="151">
        <v>8463</v>
      </c>
      <c r="M134" s="151">
        <v>12816</v>
      </c>
      <c r="N134" s="151">
        <v>8759</v>
      </c>
      <c r="O134" s="151">
        <v>4716</v>
      </c>
      <c r="P134" s="151">
        <v>3662</v>
      </c>
      <c r="Q134" s="151">
        <v>2082</v>
      </c>
      <c r="R134" s="151">
        <v>827</v>
      </c>
      <c r="S134" s="151">
        <v>46</v>
      </c>
      <c r="T134" s="151">
        <v>41371</v>
      </c>
      <c r="U134" s="147"/>
      <c r="V134" s="152">
        <f t="shared" si="48"/>
        <v>0.20456358318628992</v>
      </c>
      <c r="W134" s="152">
        <f t="shared" ref="W134:W197" si="62">M134/T134</f>
        <v>0.30978221459476446</v>
      </c>
      <c r="X134" s="152">
        <f t="shared" ref="X134:X197" si="63">N134/T134</f>
        <v>0.21171835343598172</v>
      </c>
      <c r="Y134" s="152">
        <f t="shared" ref="Y134:Y197" si="64">O134/T134</f>
        <v>0.11399289357279253</v>
      </c>
      <c r="Z134" s="152">
        <f t="shared" ref="Z134:Z197" si="65">P134/T134</f>
        <v>8.8516110318822366E-2</v>
      </c>
      <c r="AA134" s="152">
        <f t="shared" ref="AA134:AA197" si="66">Q134/T134</f>
        <v>5.0325106958980931E-2</v>
      </c>
      <c r="AB134" s="152">
        <f t="shared" ref="AB134:AB197" si="67">R134/T134</f>
        <v>1.9989847961132193E-2</v>
      </c>
      <c r="AC134" s="152">
        <f t="shared" ref="AC134:AC197" si="68">S134/T134</f>
        <v>1.1118899712358899E-3</v>
      </c>
      <c r="AD134" s="152"/>
      <c r="AE134" s="221">
        <v>23</v>
      </c>
      <c r="AF134" s="221">
        <v>43</v>
      </c>
      <c r="AG134" s="221">
        <v>65</v>
      </c>
      <c r="AH134" s="221">
        <v>12</v>
      </c>
      <c r="AI134" s="221">
        <v>24</v>
      </c>
      <c r="AJ134" s="221">
        <v>8</v>
      </c>
      <c r="AK134" s="221">
        <v>1</v>
      </c>
      <c r="AL134" s="221">
        <v>-1</v>
      </c>
      <c r="AM134" s="221">
        <v>175</v>
      </c>
      <c r="AN134" s="147"/>
      <c r="AO134" s="221">
        <v>-5</v>
      </c>
      <c r="AP134" s="221">
        <v>-28</v>
      </c>
      <c r="AQ134" s="221">
        <v>-16</v>
      </c>
      <c r="AR134" s="221">
        <v>2</v>
      </c>
      <c r="AS134" s="221">
        <v>-4</v>
      </c>
      <c r="AT134" s="221">
        <v>-13</v>
      </c>
      <c r="AU134" s="221">
        <v>1</v>
      </c>
      <c r="AV134" s="221">
        <v>0</v>
      </c>
      <c r="AW134" s="221">
        <v>-63</v>
      </c>
      <c r="AX134" s="56">
        <f t="shared" si="60"/>
        <v>5</v>
      </c>
      <c r="AY134" s="56">
        <f t="shared" si="60"/>
        <v>28</v>
      </c>
      <c r="AZ134" s="56">
        <f t="shared" si="60"/>
        <v>16</v>
      </c>
      <c r="BA134" s="56">
        <f t="shared" si="60"/>
        <v>-2</v>
      </c>
      <c r="BB134" s="56">
        <f t="shared" si="60"/>
        <v>4</v>
      </c>
      <c r="BC134" s="56">
        <f t="shared" si="60"/>
        <v>13</v>
      </c>
      <c r="BD134" s="56">
        <f t="shared" si="60"/>
        <v>-1</v>
      </c>
      <c r="BE134" s="56">
        <f t="shared" si="59"/>
        <v>0</v>
      </c>
      <c r="BF134" s="56">
        <f t="shared" si="58"/>
        <v>63</v>
      </c>
      <c r="BH134">
        <f t="shared" ref="BH134:BH197" si="69">IF(B134="",1,0.8)</f>
        <v>0.8</v>
      </c>
      <c r="BI134">
        <f t="shared" si="49"/>
        <v>0.19999999999999996</v>
      </c>
      <c r="BJ134" s="154">
        <v>0</v>
      </c>
      <c r="BK134" s="155">
        <f t="shared" ref="BK134:BK197" si="70">BJ134</f>
        <v>0</v>
      </c>
      <c r="BL134" s="156">
        <v>147406.25066666672</v>
      </c>
      <c r="BM134" s="155">
        <f t="shared" ref="BM134:BM197" si="71">BL134</f>
        <v>147406.25066666672</v>
      </c>
      <c r="BN134" s="158">
        <v>170947.25600000005</v>
      </c>
      <c r="BO134" s="155">
        <f t="shared" ref="BO134:BO197" si="72">BN134</f>
        <v>170947.25600000005</v>
      </c>
      <c r="BP134" s="158">
        <v>132603.09333333335</v>
      </c>
      <c r="BQ134" s="155">
        <f t="shared" ref="BQ134:BQ197" si="73">BP134</f>
        <v>132603.09333333335</v>
      </c>
      <c r="BR134" s="158">
        <v>159362.81422222222</v>
      </c>
      <c r="BS134" s="155">
        <f t="shared" ref="BS134:BS197" si="74">BR134</f>
        <v>159362.81422222222</v>
      </c>
      <c r="BT134" s="194">
        <v>162999.26222222226</v>
      </c>
      <c r="BU134" s="194"/>
      <c r="BV134" s="348">
        <f t="shared" si="50"/>
        <v>162999.26222222226</v>
      </c>
      <c r="BW134" s="195">
        <f t="shared" ref="BW134:BW197" si="75">IF(B134="",1,0.8)*(IF(SUMPRODUCT($CG$10:$CN$10,AE134:AL134)+SUMPRODUCT($CG$10:$CN$10,AX134:BE134)&gt;0,SUMPRODUCT($CG$10:$CN$10,AE134:AL134)+SUMPRODUCT($CG$10:$CN$10,AX134:BE134),0)+J134*350)</f>
        <v>277379.10755555559</v>
      </c>
      <c r="BX134" s="157">
        <f t="shared" si="51"/>
        <v>69344.776888888897</v>
      </c>
      <c r="BY134" s="157">
        <f>IF(E134*$CJ$10*'Year 7 Payments'!$L$20*IF(B134="",1,0.8)&lt;=(BW134-(J134*350)),E134*$CJ$10*'Year 7 Payments'!$L$20*IF(B134="",1,0.8),BW134-(IF(B134="",1,0.8)*J134*350))</f>
        <v>178233.30461866668</v>
      </c>
      <c r="BZ134" s="157">
        <f t="shared" si="52"/>
        <v>44558.326154666669</v>
      </c>
      <c r="CA134" s="157">
        <f t="shared" si="53"/>
        <v>99145.802936888911</v>
      </c>
      <c r="CB134" s="157">
        <f t="shared" si="54"/>
        <v>24786.450734222228</v>
      </c>
      <c r="CC134" s="157">
        <f t="shared" si="55"/>
        <v>396583.21174755564</v>
      </c>
      <c r="CD134" s="201">
        <f t="shared" si="56"/>
        <v>99145.802936888911</v>
      </c>
      <c r="CE134" s="155">
        <f t="shared" si="57"/>
        <v>99145.802936888911</v>
      </c>
    </row>
    <row r="135" spans="1:83" x14ac:dyDescent="0.2">
      <c r="A135" s="147" t="s">
        <v>604</v>
      </c>
      <c r="B135" s="57"/>
      <c r="C135" s="57" t="s">
        <v>461</v>
      </c>
      <c r="D135" s="148" t="s">
        <v>163</v>
      </c>
      <c r="E135" s="197">
        <v>116424.22222222223</v>
      </c>
      <c r="F135" s="147">
        <f t="shared" ref="F135:F198" si="76">T135</f>
        <v>109987</v>
      </c>
      <c r="G135" s="342">
        <v>401</v>
      </c>
      <c r="H135" s="149">
        <f t="shared" si="61"/>
        <v>1074</v>
      </c>
      <c r="I135" s="346">
        <v>625.96977777777784</v>
      </c>
      <c r="J135" s="150">
        <v>95</v>
      </c>
      <c r="K135"/>
      <c r="L135" s="151">
        <v>962</v>
      </c>
      <c r="M135" s="151">
        <v>5819</v>
      </c>
      <c r="N135" s="151">
        <v>23956</v>
      </c>
      <c r="O135" s="151">
        <v>45555</v>
      </c>
      <c r="P135" s="151">
        <v>18422</v>
      </c>
      <c r="Q135" s="151">
        <v>9802</v>
      </c>
      <c r="R135" s="151">
        <v>5020</v>
      </c>
      <c r="S135" s="151">
        <v>451</v>
      </c>
      <c r="T135" s="151">
        <v>109987</v>
      </c>
      <c r="U135" s="147"/>
      <c r="V135" s="152">
        <f t="shared" ref="V135:V198" si="77">L135/T135</f>
        <v>8.7464882213352489E-3</v>
      </c>
      <c r="W135" s="152">
        <f t="shared" si="62"/>
        <v>5.2906252557120385E-2</v>
      </c>
      <c r="X135" s="152">
        <f t="shared" si="63"/>
        <v>0.21780755907516341</v>
      </c>
      <c r="Y135" s="152">
        <f t="shared" si="64"/>
        <v>0.41418531280969567</v>
      </c>
      <c r="Z135" s="152">
        <f t="shared" si="65"/>
        <v>0.16749252184349059</v>
      </c>
      <c r="AA135" s="152">
        <f t="shared" si="66"/>
        <v>8.911962322819969E-2</v>
      </c>
      <c r="AB135" s="152">
        <f t="shared" si="67"/>
        <v>4.5641757662269175E-2</v>
      </c>
      <c r="AC135" s="152">
        <f t="shared" si="68"/>
        <v>4.100484602725777E-3</v>
      </c>
      <c r="AD135" s="152"/>
      <c r="AE135" s="221">
        <v>59</v>
      </c>
      <c r="AF135" s="221">
        <v>86</v>
      </c>
      <c r="AG135" s="221">
        <v>362</v>
      </c>
      <c r="AH135" s="221">
        <v>269</v>
      </c>
      <c r="AI135" s="221">
        <v>101</v>
      </c>
      <c r="AJ135" s="221">
        <v>94</v>
      </c>
      <c r="AK135" s="221">
        <v>26</v>
      </c>
      <c r="AL135" s="221">
        <v>15</v>
      </c>
      <c r="AM135" s="221">
        <v>1012</v>
      </c>
      <c r="AN135" s="147"/>
      <c r="AO135" s="221">
        <v>-7</v>
      </c>
      <c r="AP135" s="221">
        <v>-17</v>
      </c>
      <c r="AQ135" s="221">
        <v>-11</v>
      </c>
      <c r="AR135" s="221">
        <v>-17</v>
      </c>
      <c r="AS135" s="221">
        <v>7</v>
      </c>
      <c r="AT135" s="221">
        <v>-15</v>
      </c>
      <c r="AU135" s="221">
        <v>1</v>
      </c>
      <c r="AV135" s="221">
        <v>-3</v>
      </c>
      <c r="AW135" s="221">
        <v>-62</v>
      </c>
      <c r="AX135" s="56">
        <f t="shared" si="60"/>
        <v>7</v>
      </c>
      <c r="AY135" s="56">
        <f t="shared" si="60"/>
        <v>17</v>
      </c>
      <c r="AZ135" s="56">
        <f t="shared" si="60"/>
        <v>11</v>
      </c>
      <c r="BA135" s="56">
        <f t="shared" si="60"/>
        <v>17</v>
      </c>
      <c r="BB135" s="56">
        <f t="shared" si="60"/>
        <v>-7</v>
      </c>
      <c r="BC135" s="56">
        <f t="shared" si="60"/>
        <v>15</v>
      </c>
      <c r="BD135" s="56">
        <f t="shared" si="60"/>
        <v>-1</v>
      </c>
      <c r="BE135" s="56">
        <f t="shared" si="59"/>
        <v>3</v>
      </c>
      <c r="BF135" s="56">
        <f t="shared" si="58"/>
        <v>62</v>
      </c>
      <c r="BH135">
        <f t="shared" si="69"/>
        <v>1</v>
      </c>
      <c r="BI135">
        <f t="shared" ref="BI135:BI198" si="78">1-BH135</f>
        <v>0</v>
      </c>
      <c r="BJ135" s="154">
        <v>1848758.0466666666</v>
      </c>
      <c r="BK135" s="155">
        <f t="shared" si="70"/>
        <v>1848758.0466666666</v>
      </c>
      <c r="BL135" s="156">
        <v>1120350.2311111111</v>
      </c>
      <c r="BM135" s="155">
        <f t="shared" si="71"/>
        <v>1120350.2311111111</v>
      </c>
      <c r="BN135" s="158">
        <v>2354192.0177777782</v>
      </c>
      <c r="BO135" s="155">
        <f t="shared" si="72"/>
        <v>2354192.0177777782</v>
      </c>
      <c r="BP135" s="158">
        <v>1462767.8666666665</v>
      </c>
      <c r="BQ135" s="155">
        <f t="shared" si="73"/>
        <v>1462767.8666666665</v>
      </c>
      <c r="BR135" s="158">
        <v>1159645.888888889</v>
      </c>
      <c r="BS135" s="155">
        <f t="shared" si="74"/>
        <v>1159645.888888889</v>
      </c>
      <c r="BT135" s="194">
        <v>1137018.5244444446</v>
      </c>
      <c r="BU135" s="194"/>
      <c r="BV135" s="348">
        <f t="shared" ref="BV135:BV198" si="79">BT135+BU135</f>
        <v>1137018.5244444446</v>
      </c>
      <c r="BW135" s="195">
        <f t="shared" si="75"/>
        <v>1703019.6666666665</v>
      </c>
      <c r="BX135" s="157" t="str">
        <f t="shared" ref="BX135:BX198" si="80">IF($B135="","0",(25%*BW135))</f>
        <v>0</v>
      </c>
      <c r="BY135" s="157">
        <f>IF(E135*$CJ$10*'Year 7 Payments'!$L$20*IF(B135="",1,0.8)&lt;=(BW135-(J135*350)),E135*$CJ$10*'Year 7 Payments'!$L$20*IF(B135="",1,0.8),BW135-(IF(B135="",1,0.8)*J135*350))</f>
        <v>712311.33336888894</v>
      </c>
      <c r="BZ135" s="157" t="str">
        <f t="shared" ref="BZ135:BZ198" si="81">IF($B135="","0",(25%*BY135))</f>
        <v>0</v>
      </c>
      <c r="CA135" s="157">
        <f t="shared" ref="CA135:CA198" si="82">BW135-BY135</f>
        <v>990708.33329777757</v>
      </c>
      <c r="CB135" s="157">
        <f t="shared" ref="CB135:CB198" si="83">BX135-BZ135</f>
        <v>0</v>
      </c>
      <c r="CC135" s="157">
        <f t="shared" ref="CC135:CC198" si="84">CA135*4</f>
        <v>3962833.3331911103</v>
      </c>
      <c r="CD135" s="201">
        <f t="shared" ref="CD135:CD198" si="85">CB135*4</f>
        <v>0</v>
      </c>
      <c r="CE135" s="155">
        <f t="shared" ref="CE135:CE198" si="86">CA135</f>
        <v>990708.33329777757</v>
      </c>
    </row>
    <row r="136" spans="1:83" x14ac:dyDescent="0.2">
      <c r="A136" s="147" t="s">
        <v>605</v>
      </c>
      <c r="B136" s="57" t="s">
        <v>478</v>
      </c>
      <c r="C136" s="57" t="s">
        <v>449</v>
      </c>
      <c r="D136" s="148" t="s">
        <v>164</v>
      </c>
      <c r="E136" s="197">
        <v>43298.333333333328</v>
      </c>
      <c r="F136" s="147">
        <f t="shared" si="76"/>
        <v>49103</v>
      </c>
      <c r="G136" s="342">
        <v>381</v>
      </c>
      <c r="H136" s="149">
        <f t="shared" si="61"/>
        <v>656</v>
      </c>
      <c r="I136" s="346">
        <v>476.58444444444439</v>
      </c>
      <c r="J136" s="150">
        <v>41</v>
      </c>
      <c r="K136"/>
      <c r="L136" s="151">
        <v>8315</v>
      </c>
      <c r="M136" s="151">
        <v>15473</v>
      </c>
      <c r="N136" s="151">
        <v>10818</v>
      </c>
      <c r="O136" s="151">
        <v>7214</v>
      </c>
      <c r="P136" s="151">
        <v>4132</v>
      </c>
      <c r="Q136" s="151">
        <v>2100</v>
      </c>
      <c r="R136" s="151">
        <v>984</v>
      </c>
      <c r="S136" s="151">
        <v>67</v>
      </c>
      <c r="T136" s="151">
        <v>49103</v>
      </c>
      <c r="U136" s="147"/>
      <c r="V136" s="152">
        <f t="shared" si="77"/>
        <v>0.1693379223265381</v>
      </c>
      <c r="W136" s="152">
        <f t="shared" si="62"/>
        <v>0.31511312954401971</v>
      </c>
      <c r="X136" s="152">
        <f t="shared" si="63"/>
        <v>0.22031240453740097</v>
      </c>
      <c r="Y136" s="152">
        <f t="shared" si="64"/>
        <v>0.14691566706718531</v>
      </c>
      <c r="Z136" s="152">
        <f t="shared" si="65"/>
        <v>8.4149644624564687E-2</v>
      </c>
      <c r="AA136" s="152">
        <f t="shared" si="66"/>
        <v>4.2767244363888152E-2</v>
      </c>
      <c r="AB136" s="152">
        <f t="shared" si="67"/>
        <v>2.0039508787650449E-2</v>
      </c>
      <c r="AC136" s="152">
        <f t="shared" si="68"/>
        <v>1.3644787487526221E-3</v>
      </c>
      <c r="AD136" s="152"/>
      <c r="AE136" s="221">
        <v>32</v>
      </c>
      <c r="AF136" s="221">
        <v>202</v>
      </c>
      <c r="AG136" s="221">
        <v>110</v>
      </c>
      <c r="AH136" s="221">
        <v>109</v>
      </c>
      <c r="AI136" s="221">
        <v>122</v>
      </c>
      <c r="AJ136" s="221">
        <v>60</v>
      </c>
      <c r="AK136" s="221">
        <v>19</v>
      </c>
      <c r="AL136" s="221">
        <v>4</v>
      </c>
      <c r="AM136" s="221">
        <v>658</v>
      </c>
      <c r="AN136" s="147"/>
      <c r="AO136" s="221">
        <v>-24</v>
      </c>
      <c r="AP136" s="221">
        <v>-2</v>
      </c>
      <c r="AQ136" s="221">
        <v>19</v>
      </c>
      <c r="AR136" s="221">
        <v>4</v>
      </c>
      <c r="AS136" s="221">
        <v>4</v>
      </c>
      <c r="AT136" s="221">
        <v>-3</v>
      </c>
      <c r="AU136" s="221">
        <v>3</v>
      </c>
      <c r="AV136" s="221">
        <v>1</v>
      </c>
      <c r="AW136" s="221">
        <v>2</v>
      </c>
      <c r="AX136" s="56">
        <f t="shared" si="60"/>
        <v>24</v>
      </c>
      <c r="AY136" s="56">
        <f t="shared" si="60"/>
        <v>2</v>
      </c>
      <c r="AZ136" s="56">
        <f t="shared" si="60"/>
        <v>-19</v>
      </c>
      <c r="BA136" s="56">
        <f t="shared" si="60"/>
        <v>-4</v>
      </c>
      <c r="BB136" s="56">
        <f t="shared" si="60"/>
        <v>-4</v>
      </c>
      <c r="BC136" s="56">
        <f t="shared" si="60"/>
        <v>3</v>
      </c>
      <c r="BD136" s="56">
        <f t="shared" si="60"/>
        <v>-3</v>
      </c>
      <c r="BE136" s="56">
        <f t="shared" si="59"/>
        <v>-1</v>
      </c>
      <c r="BF136" s="56">
        <f t="shared" si="58"/>
        <v>-2</v>
      </c>
      <c r="BH136">
        <f t="shared" si="69"/>
        <v>0.8</v>
      </c>
      <c r="BI136">
        <f t="shared" si="78"/>
        <v>0.19999999999999996</v>
      </c>
      <c r="BJ136" s="154">
        <v>349762.44266666664</v>
      </c>
      <c r="BK136" s="155">
        <f t="shared" si="70"/>
        <v>349762.44266666664</v>
      </c>
      <c r="BL136" s="156">
        <v>361527.14044444443</v>
      </c>
      <c r="BM136" s="155">
        <f t="shared" si="71"/>
        <v>361527.14044444443</v>
      </c>
      <c r="BN136" s="158">
        <v>311968.8835555556</v>
      </c>
      <c r="BO136" s="155">
        <f t="shared" si="72"/>
        <v>311968.8835555556</v>
      </c>
      <c r="BP136" s="158">
        <v>370846.4</v>
      </c>
      <c r="BQ136" s="155">
        <f t="shared" si="73"/>
        <v>370846.4</v>
      </c>
      <c r="BR136" s="158">
        <v>580637.3280000001</v>
      </c>
      <c r="BS136" s="155">
        <f t="shared" si="74"/>
        <v>580637.3280000001</v>
      </c>
      <c r="BT136" s="194">
        <v>935635.7297777778</v>
      </c>
      <c r="BU136" s="194"/>
      <c r="BV136" s="348">
        <f t="shared" si="79"/>
        <v>935635.7297777778</v>
      </c>
      <c r="BW136" s="195">
        <f t="shared" si="75"/>
        <v>806579.27822222223</v>
      </c>
      <c r="BX136" s="157">
        <f t="shared" si="80"/>
        <v>201644.81955555556</v>
      </c>
      <c r="BY136" s="157">
        <f>IF(E136*$CJ$10*'Year 7 Payments'!$L$20*IF(B136="",1,0.8)&lt;=(BW136-(J136*350)),E136*$CJ$10*'Year 7 Payments'!$L$20*IF(B136="",1,0.8),BW136-(IF(B136="",1,0.8)*J136*350))</f>
        <v>211927.67594666668</v>
      </c>
      <c r="BZ136" s="157">
        <f t="shared" si="81"/>
        <v>52981.918986666671</v>
      </c>
      <c r="CA136" s="157">
        <f t="shared" si="82"/>
        <v>594651.60227555549</v>
      </c>
      <c r="CB136" s="157">
        <f t="shared" si="83"/>
        <v>148662.90056888887</v>
      </c>
      <c r="CC136" s="157">
        <f t="shared" si="84"/>
        <v>2378606.409102222</v>
      </c>
      <c r="CD136" s="201">
        <f t="shared" si="85"/>
        <v>594651.60227555549</v>
      </c>
      <c r="CE136" s="155">
        <f t="shared" si="86"/>
        <v>594651.60227555549</v>
      </c>
    </row>
    <row r="137" spans="1:83" x14ac:dyDescent="0.2">
      <c r="A137" s="147" t="s">
        <v>606</v>
      </c>
      <c r="B137" s="57" t="s">
        <v>442</v>
      </c>
      <c r="C137" s="57" t="s">
        <v>443</v>
      </c>
      <c r="D137" s="148" t="s">
        <v>165</v>
      </c>
      <c r="E137" s="197">
        <v>66640.222222222219</v>
      </c>
      <c r="F137" s="147">
        <f t="shared" si="76"/>
        <v>60158</v>
      </c>
      <c r="G137" s="342">
        <v>340</v>
      </c>
      <c r="H137" s="149">
        <f t="shared" si="61"/>
        <v>1108</v>
      </c>
      <c r="I137" s="346">
        <v>931.66133333333323</v>
      </c>
      <c r="J137" s="150">
        <v>167</v>
      </c>
      <c r="K137"/>
      <c r="L137" s="151">
        <v>2247</v>
      </c>
      <c r="M137" s="151">
        <v>5829</v>
      </c>
      <c r="N137" s="151">
        <v>12444</v>
      </c>
      <c r="O137" s="151">
        <v>13113</v>
      </c>
      <c r="P137" s="151">
        <v>10614</v>
      </c>
      <c r="Q137" s="151">
        <v>7836</v>
      </c>
      <c r="R137" s="151">
        <v>7297</v>
      </c>
      <c r="S137" s="151">
        <v>778</v>
      </c>
      <c r="T137" s="151">
        <v>60158</v>
      </c>
      <c r="U137" s="147"/>
      <c r="V137" s="152">
        <f t="shared" si="77"/>
        <v>3.7351640679543871E-2</v>
      </c>
      <c r="W137" s="152">
        <f t="shared" si="62"/>
        <v>9.6894843578576417E-2</v>
      </c>
      <c r="X137" s="152">
        <f t="shared" si="63"/>
        <v>0.20685528109312146</v>
      </c>
      <c r="Y137" s="152">
        <f t="shared" si="64"/>
        <v>0.21797599654243824</v>
      </c>
      <c r="Z137" s="152">
        <f t="shared" si="65"/>
        <v>0.17643538681472123</v>
      </c>
      <c r="AA137" s="152">
        <f t="shared" si="66"/>
        <v>0.13025698992652682</v>
      </c>
      <c r="AB137" s="152">
        <f t="shared" si="67"/>
        <v>0.12129725057348981</v>
      </c>
      <c r="AC137" s="152">
        <f t="shared" si="68"/>
        <v>1.2932610791582167E-2</v>
      </c>
      <c r="AD137" s="152"/>
      <c r="AE137" s="221">
        <v>42</v>
      </c>
      <c r="AF137" s="221">
        <v>158</v>
      </c>
      <c r="AG137" s="221">
        <v>260</v>
      </c>
      <c r="AH137" s="221">
        <v>284</v>
      </c>
      <c r="AI137" s="221">
        <v>164</v>
      </c>
      <c r="AJ137" s="221">
        <v>115</v>
      </c>
      <c r="AK137" s="221">
        <v>117</v>
      </c>
      <c r="AL137" s="221">
        <v>11</v>
      </c>
      <c r="AM137" s="221">
        <v>1151</v>
      </c>
      <c r="AN137" s="147"/>
      <c r="AO137" s="221">
        <v>3</v>
      </c>
      <c r="AP137" s="221">
        <v>0</v>
      </c>
      <c r="AQ137" s="221">
        <v>8</v>
      </c>
      <c r="AR137" s="221">
        <v>-3</v>
      </c>
      <c r="AS137" s="221">
        <v>23</v>
      </c>
      <c r="AT137" s="221">
        <v>10</v>
      </c>
      <c r="AU137" s="221">
        <v>4</v>
      </c>
      <c r="AV137" s="221">
        <v>-2</v>
      </c>
      <c r="AW137" s="221">
        <v>43</v>
      </c>
      <c r="AX137" s="56">
        <f t="shared" si="60"/>
        <v>-3</v>
      </c>
      <c r="AY137" s="56">
        <f t="shared" si="60"/>
        <v>0</v>
      </c>
      <c r="AZ137" s="56">
        <f t="shared" si="60"/>
        <v>-8</v>
      </c>
      <c r="BA137" s="56">
        <f t="shared" si="60"/>
        <v>3</v>
      </c>
      <c r="BB137" s="56">
        <f t="shared" si="60"/>
        <v>-23</v>
      </c>
      <c r="BC137" s="56">
        <f t="shared" si="60"/>
        <v>-10</v>
      </c>
      <c r="BD137" s="56">
        <f t="shared" si="60"/>
        <v>-4</v>
      </c>
      <c r="BE137" s="56">
        <f t="shared" si="59"/>
        <v>2</v>
      </c>
      <c r="BF137" s="56">
        <f t="shared" si="58"/>
        <v>-43</v>
      </c>
      <c r="BH137">
        <f t="shared" si="69"/>
        <v>0.8</v>
      </c>
      <c r="BI137">
        <f t="shared" si="78"/>
        <v>0.19999999999999996</v>
      </c>
      <c r="BJ137" s="154">
        <v>378802.70400000003</v>
      </c>
      <c r="BK137" s="155">
        <f t="shared" si="70"/>
        <v>378802.70400000003</v>
      </c>
      <c r="BL137" s="156">
        <v>390579.05066666665</v>
      </c>
      <c r="BM137" s="155">
        <f t="shared" si="71"/>
        <v>390579.05066666665</v>
      </c>
      <c r="BN137" s="158">
        <v>397081.14222222229</v>
      </c>
      <c r="BO137" s="155">
        <f t="shared" si="72"/>
        <v>397081.14222222229</v>
      </c>
      <c r="BP137" s="158">
        <v>776436.16</v>
      </c>
      <c r="BQ137" s="155">
        <f t="shared" si="73"/>
        <v>776436.16</v>
      </c>
      <c r="BR137" s="158">
        <v>993864.90666666673</v>
      </c>
      <c r="BS137" s="155">
        <f t="shared" si="74"/>
        <v>993864.90666666673</v>
      </c>
      <c r="BT137" s="194">
        <v>1461536.2471111112</v>
      </c>
      <c r="BU137" s="194"/>
      <c r="BV137" s="348">
        <f t="shared" si="79"/>
        <v>1461536.2471111112</v>
      </c>
      <c r="BW137" s="195">
        <f t="shared" si="75"/>
        <v>1512962.2257777778</v>
      </c>
      <c r="BX137" s="157">
        <f t="shared" si="80"/>
        <v>378240.55644444446</v>
      </c>
      <c r="BY137" s="157">
        <f>IF(E137*$CJ$10*'Year 7 Payments'!$L$20*IF(B137="",1,0.8)&lt;=(BW137-(J137*350)),E137*$CJ$10*'Year 7 Payments'!$L$20*IF(B137="",1,0.8),BW137-(IF(B137="",1,0.8)*J137*350))</f>
        <v>326176.6985671111</v>
      </c>
      <c r="BZ137" s="157">
        <f t="shared" si="81"/>
        <v>81544.174641777776</v>
      </c>
      <c r="CA137" s="157">
        <f t="shared" si="82"/>
        <v>1186785.5272106668</v>
      </c>
      <c r="CB137" s="157">
        <f t="shared" si="83"/>
        <v>296696.3818026667</v>
      </c>
      <c r="CC137" s="157">
        <f t="shared" si="84"/>
        <v>4747142.1088426672</v>
      </c>
      <c r="CD137" s="201">
        <f t="shared" si="85"/>
        <v>1186785.5272106668</v>
      </c>
      <c r="CE137" s="155">
        <f t="shared" si="86"/>
        <v>1186785.5272106668</v>
      </c>
    </row>
    <row r="138" spans="1:83" x14ac:dyDescent="0.2">
      <c r="A138" s="147" t="s">
        <v>607</v>
      </c>
      <c r="B138" s="57"/>
      <c r="C138" s="57" t="s">
        <v>461</v>
      </c>
      <c r="D138" s="148" t="s">
        <v>166</v>
      </c>
      <c r="E138" s="197">
        <v>103033.44444444442</v>
      </c>
      <c r="F138" s="147">
        <f t="shared" si="76"/>
        <v>100824</v>
      </c>
      <c r="G138" s="342">
        <v>277</v>
      </c>
      <c r="H138" s="149">
        <f t="shared" si="61"/>
        <v>1279</v>
      </c>
      <c r="I138" s="346">
        <v>918.42177777777795</v>
      </c>
      <c r="J138" s="150">
        <v>89</v>
      </c>
      <c r="K138"/>
      <c r="L138" s="151">
        <v>2193</v>
      </c>
      <c r="M138" s="151">
        <v>8756</v>
      </c>
      <c r="N138" s="151">
        <v>26352</v>
      </c>
      <c r="O138" s="151">
        <v>37772</v>
      </c>
      <c r="P138" s="151">
        <v>15191</v>
      </c>
      <c r="Q138" s="151">
        <v>5761</v>
      </c>
      <c r="R138" s="151">
        <v>3889</v>
      </c>
      <c r="S138" s="151">
        <v>910</v>
      </c>
      <c r="T138" s="151">
        <v>100824</v>
      </c>
      <c r="U138" s="147"/>
      <c r="V138" s="152">
        <f t="shared" si="77"/>
        <v>2.1750773625327301E-2</v>
      </c>
      <c r="W138" s="152">
        <f t="shared" si="62"/>
        <v>8.6844402126477829E-2</v>
      </c>
      <c r="X138" s="152">
        <f t="shared" si="63"/>
        <v>0.26136634134729825</v>
      </c>
      <c r="Y138" s="152">
        <f t="shared" si="64"/>
        <v>0.37463302388320241</v>
      </c>
      <c r="Z138" s="152">
        <f t="shared" si="65"/>
        <v>0.15066849162897722</v>
      </c>
      <c r="AA138" s="152">
        <f t="shared" si="66"/>
        <v>5.7139173212727129E-2</v>
      </c>
      <c r="AB138" s="152">
        <f t="shared" si="67"/>
        <v>3.8572165357454571E-2</v>
      </c>
      <c r="AC138" s="152">
        <f t="shared" si="68"/>
        <v>9.0256288185352699E-3</v>
      </c>
      <c r="AD138" s="152"/>
      <c r="AE138" s="221">
        <v>114</v>
      </c>
      <c r="AF138" s="221">
        <v>41</v>
      </c>
      <c r="AG138" s="221">
        <v>386</v>
      </c>
      <c r="AH138" s="221">
        <v>195</v>
      </c>
      <c r="AI138" s="221">
        <v>303</v>
      </c>
      <c r="AJ138" s="221">
        <v>51</v>
      </c>
      <c r="AK138" s="221">
        <v>36</v>
      </c>
      <c r="AL138" s="221">
        <v>27</v>
      </c>
      <c r="AM138" s="221">
        <v>1153</v>
      </c>
      <c r="AN138" s="147"/>
      <c r="AO138" s="221">
        <v>-8</v>
      </c>
      <c r="AP138" s="221">
        <v>-21</v>
      </c>
      <c r="AQ138" s="221">
        <v>-29</v>
      </c>
      <c r="AR138" s="221">
        <v>-39</v>
      </c>
      <c r="AS138" s="221">
        <v>-18</v>
      </c>
      <c r="AT138" s="221">
        <v>-7</v>
      </c>
      <c r="AU138" s="221">
        <v>0</v>
      </c>
      <c r="AV138" s="221">
        <v>-4</v>
      </c>
      <c r="AW138" s="221">
        <v>-126</v>
      </c>
      <c r="AX138" s="56">
        <f t="shared" si="60"/>
        <v>8</v>
      </c>
      <c r="AY138" s="56">
        <f t="shared" si="60"/>
        <v>21</v>
      </c>
      <c r="AZ138" s="56">
        <f t="shared" si="60"/>
        <v>29</v>
      </c>
      <c r="BA138" s="56">
        <f t="shared" si="60"/>
        <v>39</v>
      </c>
      <c r="BB138" s="56">
        <f t="shared" si="60"/>
        <v>18</v>
      </c>
      <c r="BC138" s="56">
        <f t="shared" si="60"/>
        <v>7</v>
      </c>
      <c r="BD138" s="56">
        <f t="shared" si="60"/>
        <v>0</v>
      </c>
      <c r="BE138" s="56">
        <f t="shared" si="59"/>
        <v>4</v>
      </c>
      <c r="BF138" s="56">
        <f t="shared" si="58"/>
        <v>126</v>
      </c>
      <c r="BH138">
        <f t="shared" si="69"/>
        <v>1</v>
      </c>
      <c r="BI138">
        <f t="shared" si="78"/>
        <v>0</v>
      </c>
      <c r="BJ138" s="154">
        <v>1362781.4266666663</v>
      </c>
      <c r="BK138" s="155">
        <f t="shared" si="70"/>
        <v>1362781.4266666663</v>
      </c>
      <c r="BL138" s="156">
        <v>2151968.0811111107</v>
      </c>
      <c r="BM138" s="155">
        <f t="shared" si="71"/>
        <v>2151968.0811111107</v>
      </c>
      <c r="BN138" s="158">
        <v>1191347.7677777777</v>
      </c>
      <c r="BO138" s="155">
        <f t="shared" si="72"/>
        <v>1191347.7677777777</v>
      </c>
      <c r="BP138" s="158">
        <v>518942.79999999993</v>
      </c>
      <c r="BQ138" s="155">
        <f t="shared" si="73"/>
        <v>518942.79999999993</v>
      </c>
      <c r="BR138" s="158">
        <v>571012.41111111105</v>
      </c>
      <c r="BS138" s="155">
        <f t="shared" si="74"/>
        <v>571012.41111111105</v>
      </c>
      <c r="BT138" s="194">
        <v>2252213.5222222218</v>
      </c>
      <c r="BU138" s="194"/>
      <c r="BV138" s="348">
        <f t="shared" si="79"/>
        <v>2252213.5222222218</v>
      </c>
      <c r="BW138" s="195">
        <f t="shared" si="75"/>
        <v>2066314.5555555557</v>
      </c>
      <c r="BX138" s="157" t="str">
        <f t="shared" si="80"/>
        <v>0</v>
      </c>
      <c r="BY138" s="157">
        <f>IF(E138*$CJ$10*'Year 7 Payments'!$L$20*IF(B138="",1,0.8)&lt;=(BW138-(J138*350)),E138*$CJ$10*'Year 7 Payments'!$L$20*IF(B138="",1,0.8),BW138-(IF(B138="",1,0.8)*J138*350))</f>
        <v>630383.34113777766</v>
      </c>
      <c r="BZ138" s="157" t="str">
        <f t="shared" si="81"/>
        <v>0</v>
      </c>
      <c r="CA138" s="157">
        <f t="shared" si="82"/>
        <v>1435931.214417778</v>
      </c>
      <c r="CB138" s="157">
        <f t="shared" si="83"/>
        <v>0</v>
      </c>
      <c r="CC138" s="157">
        <f t="shared" si="84"/>
        <v>5743724.8576711118</v>
      </c>
      <c r="CD138" s="201">
        <f t="shared" si="85"/>
        <v>0</v>
      </c>
      <c r="CE138" s="155">
        <f t="shared" si="86"/>
        <v>1435931.214417778</v>
      </c>
    </row>
    <row r="139" spans="1:83" x14ac:dyDescent="0.2">
      <c r="A139" s="147" t="s">
        <v>608</v>
      </c>
      <c r="B139" s="57" t="s">
        <v>507</v>
      </c>
      <c r="C139" s="57" t="s">
        <v>459</v>
      </c>
      <c r="D139" s="148" t="s">
        <v>167</v>
      </c>
      <c r="E139" s="197">
        <v>69170.111111111109</v>
      </c>
      <c r="F139" s="147">
        <f t="shared" si="76"/>
        <v>75479</v>
      </c>
      <c r="G139" s="342">
        <v>232</v>
      </c>
      <c r="H139" s="149">
        <f t="shared" si="61"/>
        <v>832</v>
      </c>
      <c r="I139" s="346">
        <v>473.8751111111111</v>
      </c>
      <c r="J139" s="150">
        <v>49</v>
      </c>
      <c r="K139"/>
      <c r="L139" s="151">
        <v>11676</v>
      </c>
      <c r="M139" s="151">
        <v>19965</v>
      </c>
      <c r="N139" s="151">
        <v>17664</v>
      </c>
      <c r="O139" s="151">
        <v>11689</v>
      </c>
      <c r="P139" s="151">
        <v>8885</v>
      </c>
      <c r="Q139" s="151">
        <v>3683</v>
      </c>
      <c r="R139" s="151">
        <v>1751</v>
      </c>
      <c r="S139" s="151">
        <v>166</v>
      </c>
      <c r="T139" s="151">
        <v>75479</v>
      </c>
      <c r="U139" s="147"/>
      <c r="V139" s="152">
        <f t="shared" si="77"/>
        <v>0.15469203354575445</v>
      </c>
      <c r="W139" s="152">
        <f t="shared" si="62"/>
        <v>0.26451065859378103</v>
      </c>
      <c r="X139" s="152">
        <f t="shared" si="63"/>
        <v>0.23402535804660898</v>
      </c>
      <c r="Y139" s="152">
        <f t="shared" si="64"/>
        <v>0.15486426688217914</v>
      </c>
      <c r="Z139" s="152">
        <f t="shared" si="65"/>
        <v>0.11771486108718981</v>
      </c>
      <c r="AA139" s="152">
        <f t="shared" si="66"/>
        <v>4.8795029080936421E-2</v>
      </c>
      <c r="AB139" s="152">
        <f t="shared" si="67"/>
        <v>2.3198505544588559E-2</v>
      </c>
      <c r="AC139" s="152">
        <f t="shared" si="68"/>
        <v>2.1992872189615653E-3</v>
      </c>
      <c r="AD139" s="152"/>
      <c r="AE139" s="221">
        <v>183</v>
      </c>
      <c r="AF139" s="221">
        <v>195</v>
      </c>
      <c r="AG139" s="221">
        <v>80</v>
      </c>
      <c r="AH139" s="221">
        <v>39</v>
      </c>
      <c r="AI139" s="221">
        <v>76</v>
      </c>
      <c r="AJ139" s="221">
        <v>32</v>
      </c>
      <c r="AK139" s="221">
        <v>30</v>
      </c>
      <c r="AL139" s="221">
        <v>2</v>
      </c>
      <c r="AM139" s="221">
        <v>637</v>
      </c>
      <c r="AN139" s="147"/>
      <c r="AO139" s="221">
        <v>-63</v>
      </c>
      <c r="AP139" s="221">
        <v>-47</v>
      </c>
      <c r="AQ139" s="221">
        <v>-23</v>
      </c>
      <c r="AR139" s="221">
        <v>-36</v>
      </c>
      <c r="AS139" s="221">
        <v>-9</v>
      </c>
      <c r="AT139" s="221">
        <v>-9</v>
      </c>
      <c r="AU139" s="221">
        <v>-4</v>
      </c>
      <c r="AV139" s="221">
        <v>-4</v>
      </c>
      <c r="AW139" s="221">
        <v>-195</v>
      </c>
      <c r="AX139" s="56">
        <f t="shared" si="60"/>
        <v>63</v>
      </c>
      <c r="AY139" s="56">
        <f t="shared" si="60"/>
        <v>47</v>
      </c>
      <c r="AZ139" s="56">
        <f t="shared" si="60"/>
        <v>23</v>
      </c>
      <c r="BA139" s="56">
        <f t="shared" si="60"/>
        <v>36</v>
      </c>
      <c r="BB139" s="56">
        <f t="shared" si="60"/>
        <v>9</v>
      </c>
      <c r="BC139" s="56">
        <f t="shared" si="60"/>
        <v>9</v>
      </c>
      <c r="BD139" s="56">
        <f t="shared" si="60"/>
        <v>4</v>
      </c>
      <c r="BE139" s="56">
        <f t="shared" si="59"/>
        <v>4</v>
      </c>
      <c r="BF139" s="56">
        <f t="shared" si="58"/>
        <v>195</v>
      </c>
      <c r="BH139">
        <f t="shared" si="69"/>
        <v>0.8</v>
      </c>
      <c r="BI139">
        <f t="shared" si="78"/>
        <v>0.19999999999999996</v>
      </c>
      <c r="BJ139" s="154">
        <v>831677.26400000008</v>
      </c>
      <c r="BK139" s="155">
        <f t="shared" si="70"/>
        <v>831677.26400000008</v>
      </c>
      <c r="BL139" s="156">
        <v>1081790.6533333333</v>
      </c>
      <c r="BM139" s="155">
        <f t="shared" si="71"/>
        <v>1081790.6533333333</v>
      </c>
      <c r="BN139" s="158">
        <v>992361.79288888897</v>
      </c>
      <c r="BO139" s="155">
        <f t="shared" si="72"/>
        <v>992361.79288888897</v>
      </c>
      <c r="BP139" s="158">
        <v>438409.49333333329</v>
      </c>
      <c r="BQ139" s="155">
        <f t="shared" si="73"/>
        <v>438409.49333333329</v>
      </c>
      <c r="BR139" s="158">
        <v>1058603.7084444447</v>
      </c>
      <c r="BS139" s="155">
        <f t="shared" si="74"/>
        <v>1058603.7084444447</v>
      </c>
      <c r="BT139" s="194">
        <v>562617.71377777774</v>
      </c>
      <c r="BU139" s="194"/>
      <c r="BV139" s="348">
        <f t="shared" si="79"/>
        <v>562617.71377777774</v>
      </c>
      <c r="BW139" s="195">
        <f t="shared" si="75"/>
        <v>932135.80444444437</v>
      </c>
      <c r="BX139" s="157">
        <f t="shared" si="80"/>
        <v>233033.95111111109</v>
      </c>
      <c r="BY139" s="157">
        <f>IF(E139*$CJ$10*'Year 7 Payments'!$L$20*IF(B139="",1,0.8)&lt;=(BW139-(J139*350)),E139*$CJ$10*'Year 7 Payments'!$L$20*IF(B139="",1,0.8),BW139-(IF(B139="",1,0.8)*J139*350))</f>
        <v>338559.47248355555</v>
      </c>
      <c r="BZ139" s="157">
        <f t="shared" si="81"/>
        <v>84639.868120888888</v>
      </c>
      <c r="CA139" s="157">
        <f t="shared" si="82"/>
        <v>593576.33196088881</v>
      </c>
      <c r="CB139" s="157">
        <f t="shared" si="83"/>
        <v>148394.0829902222</v>
      </c>
      <c r="CC139" s="157">
        <f t="shared" si="84"/>
        <v>2374305.3278435552</v>
      </c>
      <c r="CD139" s="201">
        <f t="shared" si="85"/>
        <v>593576.33196088881</v>
      </c>
      <c r="CE139" s="155">
        <f t="shared" si="86"/>
        <v>593576.33196088881</v>
      </c>
    </row>
    <row r="140" spans="1:83" x14ac:dyDescent="0.2">
      <c r="A140" s="147" t="s">
        <v>609</v>
      </c>
      <c r="B140" s="57" t="s">
        <v>503</v>
      </c>
      <c r="C140" s="57" t="s">
        <v>446</v>
      </c>
      <c r="D140" s="148" t="s">
        <v>168</v>
      </c>
      <c r="E140" s="197">
        <v>27458.444444444442</v>
      </c>
      <c r="F140" s="147">
        <f t="shared" si="76"/>
        <v>36740</v>
      </c>
      <c r="G140" s="342">
        <v>710</v>
      </c>
      <c r="H140" s="149">
        <f>AM140+BF140</f>
        <v>168</v>
      </c>
      <c r="I140" s="346">
        <v>22.055111111111145</v>
      </c>
      <c r="J140" s="150">
        <v>16</v>
      </c>
      <c r="K140"/>
      <c r="L140" s="151">
        <v>21742</v>
      </c>
      <c r="M140" s="151">
        <v>5517</v>
      </c>
      <c r="N140" s="151">
        <v>5505</v>
      </c>
      <c r="O140" s="151">
        <v>2662</v>
      </c>
      <c r="P140" s="151">
        <v>856</v>
      </c>
      <c r="Q140" s="151">
        <v>274</v>
      </c>
      <c r="R140" s="151">
        <v>170</v>
      </c>
      <c r="S140" s="151">
        <v>14</v>
      </c>
      <c r="T140" s="151">
        <v>36740</v>
      </c>
      <c r="U140" s="147"/>
      <c r="V140" s="152">
        <f t="shared" si="77"/>
        <v>0.59178007621121398</v>
      </c>
      <c r="W140" s="152">
        <f t="shared" si="62"/>
        <v>0.15016330974414807</v>
      </c>
      <c r="X140" s="152">
        <f t="shared" si="63"/>
        <v>0.14983669025585195</v>
      </c>
      <c r="Y140" s="152">
        <f t="shared" si="64"/>
        <v>7.2455089820359281E-2</v>
      </c>
      <c r="Z140" s="152">
        <f t="shared" si="65"/>
        <v>2.3298856831790962E-2</v>
      </c>
      <c r="AA140" s="152">
        <f t="shared" si="66"/>
        <v>7.4578116494284155E-3</v>
      </c>
      <c r="AB140" s="152">
        <f t="shared" si="67"/>
        <v>4.6271094175285793E-3</v>
      </c>
      <c r="AC140" s="152">
        <f t="shared" si="68"/>
        <v>3.8105606967882419E-4</v>
      </c>
      <c r="AD140" s="152"/>
      <c r="AE140" s="221">
        <v>7</v>
      </c>
      <c r="AF140" s="221">
        <v>55</v>
      </c>
      <c r="AG140" s="221">
        <v>13</v>
      </c>
      <c r="AH140" s="221">
        <v>21</v>
      </c>
      <c r="AI140" s="221">
        <v>-2</v>
      </c>
      <c r="AJ140" s="221">
        <v>-5</v>
      </c>
      <c r="AK140" s="221">
        <v>1</v>
      </c>
      <c r="AL140" s="221">
        <v>0</v>
      </c>
      <c r="AM140" s="221">
        <v>90</v>
      </c>
      <c r="AN140" s="147"/>
      <c r="AO140" s="221">
        <v>-46</v>
      </c>
      <c r="AP140" s="221">
        <v>-16</v>
      </c>
      <c r="AQ140" s="221">
        <v>-13</v>
      </c>
      <c r="AR140" s="221">
        <v>0</v>
      </c>
      <c r="AS140" s="221">
        <v>2</v>
      </c>
      <c r="AT140" s="221">
        <v>-3</v>
      </c>
      <c r="AU140" s="221">
        <v>-2</v>
      </c>
      <c r="AV140" s="221">
        <v>0</v>
      </c>
      <c r="AW140" s="221">
        <v>-78</v>
      </c>
      <c r="AX140" s="56">
        <f t="shared" si="60"/>
        <v>46</v>
      </c>
      <c r="AY140" s="56">
        <f t="shared" si="60"/>
        <v>16</v>
      </c>
      <c r="AZ140" s="56">
        <f t="shared" si="60"/>
        <v>13</v>
      </c>
      <c r="BA140" s="56">
        <f t="shared" si="60"/>
        <v>0</v>
      </c>
      <c r="BB140" s="56">
        <f t="shared" si="60"/>
        <v>-2</v>
      </c>
      <c r="BC140" s="56">
        <f t="shared" si="60"/>
        <v>3</v>
      </c>
      <c r="BD140" s="56">
        <f t="shared" si="60"/>
        <v>2</v>
      </c>
      <c r="BE140" s="56">
        <f t="shared" si="59"/>
        <v>0</v>
      </c>
      <c r="BF140" s="56">
        <f t="shared" si="58"/>
        <v>78</v>
      </c>
      <c r="BH140">
        <f t="shared" si="69"/>
        <v>0.8</v>
      </c>
      <c r="BI140">
        <f t="shared" si="78"/>
        <v>0.19999999999999996</v>
      </c>
      <c r="BJ140" s="154">
        <v>62941.888000000014</v>
      </c>
      <c r="BK140" s="155">
        <f t="shared" si="70"/>
        <v>62941.888000000014</v>
      </c>
      <c r="BL140" s="156">
        <v>52370.619555555553</v>
      </c>
      <c r="BM140" s="155">
        <f t="shared" si="71"/>
        <v>52370.619555555553</v>
      </c>
      <c r="BN140" s="158">
        <v>5320</v>
      </c>
      <c r="BO140" s="155">
        <f t="shared" si="72"/>
        <v>5320</v>
      </c>
      <c r="BP140" s="158">
        <v>226142.61333333334</v>
      </c>
      <c r="BQ140" s="155">
        <f t="shared" si="73"/>
        <v>226142.61333333334</v>
      </c>
      <c r="BR140" s="158">
        <v>105011.98044444445</v>
      </c>
      <c r="BS140" s="155">
        <f t="shared" si="74"/>
        <v>105011.98044444445</v>
      </c>
      <c r="BT140" s="194">
        <v>179507.15377777777</v>
      </c>
      <c r="BU140" s="194"/>
      <c r="BV140" s="348">
        <f t="shared" si="79"/>
        <v>179507.15377777777</v>
      </c>
      <c r="BW140" s="195">
        <f t="shared" si="75"/>
        <v>165865.5751111111</v>
      </c>
      <c r="BX140" s="157">
        <f t="shared" si="80"/>
        <v>41466.393777777776</v>
      </c>
      <c r="BY140" s="157">
        <f>IF(E140*$CJ$10*'Year 7 Payments'!$L$20*IF(B140="",1,0.8)&lt;=(BW140-(J140*350)),E140*$CJ$10*'Year 7 Payments'!$L$20*IF(B140="",1,0.8),BW140-(IF(B140="",1,0.8)*J140*350))</f>
        <v>134397.8825102222</v>
      </c>
      <c r="BZ140" s="157">
        <f t="shared" si="81"/>
        <v>33599.470627555551</v>
      </c>
      <c r="CA140" s="157">
        <f>BW140-BY140</f>
        <v>31467.692600888899</v>
      </c>
      <c r="CB140" s="157">
        <f t="shared" si="83"/>
        <v>7866.9231502222246</v>
      </c>
      <c r="CC140" s="157">
        <f t="shared" si="84"/>
        <v>125870.77040355559</v>
      </c>
      <c r="CD140" s="201">
        <f t="shared" si="85"/>
        <v>31467.692600888899</v>
      </c>
      <c r="CE140" s="155">
        <f>CA140</f>
        <v>31467.692600888899</v>
      </c>
    </row>
    <row r="141" spans="1:83" x14ac:dyDescent="0.2">
      <c r="A141" s="147" t="s">
        <v>610</v>
      </c>
      <c r="B141" s="57" t="s">
        <v>458</v>
      </c>
      <c r="C141" s="57" t="s">
        <v>459</v>
      </c>
      <c r="D141" s="148" t="s">
        <v>169</v>
      </c>
      <c r="E141" s="197">
        <v>48414.999999999993</v>
      </c>
      <c r="F141" s="147">
        <f t="shared" si="76"/>
        <v>60631</v>
      </c>
      <c r="G141" s="342">
        <v>388</v>
      </c>
      <c r="H141" s="149">
        <f t="shared" si="61"/>
        <v>578</v>
      </c>
      <c r="I141" s="346">
        <v>256.89555555555563</v>
      </c>
      <c r="J141" s="150">
        <v>0</v>
      </c>
      <c r="K141"/>
      <c r="L141" s="151">
        <v>18958</v>
      </c>
      <c r="M141" s="151">
        <v>22776</v>
      </c>
      <c r="N141" s="151">
        <v>11100</v>
      </c>
      <c r="O141" s="151">
        <v>4275</v>
      </c>
      <c r="P141" s="151">
        <v>2254</v>
      </c>
      <c r="Q141" s="151">
        <v>895</v>
      </c>
      <c r="R141" s="151">
        <v>355</v>
      </c>
      <c r="S141" s="151">
        <v>18</v>
      </c>
      <c r="T141" s="151">
        <v>60631</v>
      </c>
      <c r="U141" s="147"/>
      <c r="V141" s="152">
        <f t="shared" si="77"/>
        <v>0.31267833286602564</v>
      </c>
      <c r="W141" s="152">
        <f t="shared" si="62"/>
        <v>0.37564942026356152</v>
      </c>
      <c r="X141" s="152">
        <f t="shared" si="63"/>
        <v>0.1830746647754449</v>
      </c>
      <c r="Y141" s="152">
        <f t="shared" si="64"/>
        <v>7.0508485758110542E-2</v>
      </c>
      <c r="Z141" s="152">
        <f t="shared" si="65"/>
        <v>3.7175702198545296E-2</v>
      </c>
      <c r="AA141" s="152">
        <f t="shared" si="66"/>
        <v>1.4761425673335422E-2</v>
      </c>
      <c r="AB141" s="152">
        <f t="shared" si="67"/>
        <v>5.8550906302056701E-3</v>
      </c>
      <c r="AC141" s="152">
        <f t="shared" si="68"/>
        <v>2.9687783477099172E-4</v>
      </c>
      <c r="AD141" s="152"/>
      <c r="AE141" s="221">
        <v>216</v>
      </c>
      <c r="AF141" s="221">
        <v>180</v>
      </c>
      <c r="AG141" s="221">
        <v>19</v>
      </c>
      <c r="AH141" s="221">
        <v>26</v>
      </c>
      <c r="AI141" s="221">
        <v>29</v>
      </c>
      <c r="AJ141" s="221">
        <v>12</v>
      </c>
      <c r="AK141" s="221">
        <v>2</v>
      </c>
      <c r="AL141" s="221">
        <v>0</v>
      </c>
      <c r="AM141" s="221">
        <v>484</v>
      </c>
      <c r="AN141" s="147"/>
      <c r="AO141" s="221">
        <v>-52</v>
      </c>
      <c r="AP141" s="221">
        <v>-38</v>
      </c>
      <c r="AQ141" s="221">
        <v>-3</v>
      </c>
      <c r="AR141" s="221">
        <v>-1</v>
      </c>
      <c r="AS141" s="221">
        <v>-2</v>
      </c>
      <c r="AT141" s="221">
        <v>1</v>
      </c>
      <c r="AU141" s="221">
        <v>2</v>
      </c>
      <c r="AV141" s="221">
        <v>-1</v>
      </c>
      <c r="AW141" s="221">
        <v>-94</v>
      </c>
      <c r="AX141" s="56">
        <f t="shared" si="60"/>
        <v>52</v>
      </c>
      <c r="AY141" s="56">
        <f t="shared" si="60"/>
        <v>38</v>
      </c>
      <c r="AZ141" s="56">
        <f t="shared" si="60"/>
        <v>3</v>
      </c>
      <c r="BA141" s="56">
        <f t="shared" si="60"/>
        <v>1</v>
      </c>
      <c r="BB141" s="56">
        <f t="shared" si="60"/>
        <v>2</v>
      </c>
      <c r="BC141" s="56">
        <f t="shared" si="60"/>
        <v>-1</v>
      </c>
      <c r="BD141" s="56">
        <f t="shared" si="60"/>
        <v>-2</v>
      </c>
      <c r="BE141" s="56">
        <f t="shared" si="59"/>
        <v>1</v>
      </c>
      <c r="BF141" s="56">
        <f t="shared" si="58"/>
        <v>94</v>
      </c>
      <c r="BH141">
        <f t="shared" si="69"/>
        <v>0.8</v>
      </c>
      <c r="BI141">
        <f t="shared" si="78"/>
        <v>0.19999999999999996</v>
      </c>
      <c r="BJ141" s="154">
        <v>416286.38933333335</v>
      </c>
      <c r="BK141" s="155">
        <f t="shared" si="70"/>
        <v>416286.38933333335</v>
      </c>
      <c r="BL141" s="156">
        <v>596549.46933333331</v>
      </c>
      <c r="BM141" s="155">
        <f t="shared" si="71"/>
        <v>596549.46933333331</v>
      </c>
      <c r="BN141" s="158">
        <v>241271.47733333334</v>
      </c>
      <c r="BO141" s="155">
        <f t="shared" si="72"/>
        <v>241271.47733333334</v>
      </c>
      <c r="BP141" s="158">
        <v>281127.89333333337</v>
      </c>
      <c r="BQ141" s="155">
        <f t="shared" si="73"/>
        <v>281127.89333333337</v>
      </c>
      <c r="BR141" s="158">
        <v>248773.59111111113</v>
      </c>
      <c r="BS141" s="155">
        <f t="shared" si="74"/>
        <v>248773.59111111113</v>
      </c>
      <c r="BT141" s="194">
        <v>533045.04711111111</v>
      </c>
      <c r="BU141" s="194"/>
      <c r="BV141" s="348">
        <f t="shared" si="79"/>
        <v>533045.04711111111</v>
      </c>
      <c r="BW141" s="195">
        <f t="shared" si="75"/>
        <v>551321.40444444434</v>
      </c>
      <c r="BX141" s="157">
        <f t="shared" si="80"/>
        <v>137830.35111111109</v>
      </c>
      <c r="BY141" s="157">
        <f>IF(E141*$CJ$10*'Year 7 Payments'!$L$20*IF(B141="",1,0.8)&lt;=(BW141-(J141*350)),E141*$CJ$10*'Year 7 Payments'!$L$20*IF(B141="",1,0.8),BW141-(IF(B141="",1,0.8)*J141*350))</f>
        <v>236971.67167999997</v>
      </c>
      <c r="BZ141" s="157">
        <f t="shared" si="81"/>
        <v>59242.917919999993</v>
      </c>
      <c r="CA141" s="157">
        <f t="shared" si="82"/>
        <v>314349.73276444437</v>
      </c>
      <c r="CB141" s="157">
        <f t="shared" si="83"/>
        <v>78587.433191111093</v>
      </c>
      <c r="CC141" s="157">
        <f t="shared" si="84"/>
        <v>1257398.9310577775</v>
      </c>
      <c r="CD141" s="201">
        <f t="shared" si="85"/>
        <v>314349.73276444437</v>
      </c>
      <c r="CE141" s="155">
        <f t="shared" si="86"/>
        <v>314349.73276444437</v>
      </c>
    </row>
    <row r="142" spans="1:83" x14ac:dyDescent="0.2">
      <c r="A142" s="147" t="s">
        <v>611</v>
      </c>
      <c r="B142" s="57"/>
      <c r="C142" s="57" t="s">
        <v>443</v>
      </c>
      <c r="D142" s="148" t="s">
        <v>170</v>
      </c>
      <c r="E142" s="197">
        <v>64285.666666666657</v>
      </c>
      <c r="F142" s="147">
        <f t="shared" si="76"/>
        <v>70480</v>
      </c>
      <c r="G142" s="342">
        <v>665</v>
      </c>
      <c r="H142" s="149">
        <f t="shared" si="61"/>
        <v>411</v>
      </c>
      <c r="I142" s="346">
        <v>108.41288888888892</v>
      </c>
      <c r="J142" s="150">
        <v>33</v>
      </c>
      <c r="K142"/>
      <c r="L142" s="151">
        <v>10220</v>
      </c>
      <c r="M142" s="151">
        <v>18100</v>
      </c>
      <c r="N142" s="151">
        <v>17205</v>
      </c>
      <c r="O142" s="151">
        <v>13140</v>
      </c>
      <c r="P142" s="151">
        <v>7052</v>
      </c>
      <c r="Q142" s="151">
        <v>3117</v>
      </c>
      <c r="R142" s="151">
        <v>1502</v>
      </c>
      <c r="S142" s="151">
        <v>144</v>
      </c>
      <c r="T142" s="151">
        <v>70480</v>
      </c>
      <c r="U142" s="147"/>
      <c r="V142" s="152">
        <f t="shared" si="77"/>
        <v>0.14500567536889897</v>
      </c>
      <c r="W142" s="152">
        <f t="shared" si="62"/>
        <v>0.25681044267877412</v>
      </c>
      <c r="X142" s="152">
        <f t="shared" si="63"/>
        <v>0.24411180476730987</v>
      </c>
      <c r="Y142" s="152">
        <f t="shared" si="64"/>
        <v>0.18643586833144155</v>
      </c>
      <c r="Z142" s="152">
        <f t="shared" si="65"/>
        <v>0.10005675368898978</v>
      </c>
      <c r="AA142" s="152">
        <f t="shared" si="66"/>
        <v>4.4225312145289443E-2</v>
      </c>
      <c r="AB142" s="152">
        <f t="shared" si="67"/>
        <v>2.131101021566402E-2</v>
      </c>
      <c r="AC142" s="152">
        <f t="shared" si="68"/>
        <v>2.0431328036322363E-3</v>
      </c>
      <c r="AD142" s="152"/>
      <c r="AE142" s="221">
        <v>132</v>
      </c>
      <c r="AF142" s="221">
        <v>74</v>
      </c>
      <c r="AG142" s="221">
        <v>103</v>
      </c>
      <c r="AH142" s="221">
        <v>42</v>
      </c>
      <c r="AI142" s="221">
        <v>25</v>
      </c>
      <c r="AJ142" s="221">
        <v>17</v>
      </c>
      <c r="AK142" s="221">
        <v>8</v>
      </c>
      <c r="AL142" s="221">
        <v>1</v>
      </c>
      <c r="AM142" s="221">
        <v>402</v>
      </c>
      <c r="AN142" s="147"/>
      <c r="AO142" s="221">
        <v>21</v>
      </c>
      <c r="AP142" s="221">
        <v>-23</v>
      </c>
      <c r="AQ142" s="221">
        <v>-8</v>
      </c>
      <c r="AR142" s="221">
        <v>8</v>
      </c>
      <c r="AS142" s="221">
        <v>1</v>
      </c>
      <c r="AT142" s="221">
        <v>4</v>
      </c>
      <c r="AU142" s="221">
        <v>-12</v>
      </c>
      <c r="AV142" s="221">
        <v>0</v>
      </c>
      <c r="AW142" s="221">
        <v>-9</v>
      </c>
      <c r="AX142" s="56">
        <f t="shared" si="60"/>
        <v>-21</v>
      </c>
      <c r="AY142" s="56">
        <f t="shared" si="60"/>
        <v>23</v>
      </c>
      <c r="AZ142" s="56">
        <f t="shared" si="60"/>
        <v>8</v>
      </c>
      <c r="BA142" s="56">
        <f t="shared" si="60"/>
        <v>-8</v>
      </c>
      <c r="BB142" s="56">
        <f t="shared" si="60"/>
        <v>-1</v>
      </c>
      <c r="BC142" s="56">
        <f t="shared" si="60"/>
        <v>-4</v>
      </c>
      <c r="BD142" s="56">
        <f t="shared" si="60"/>
        <v>12</v>
      </c>
      <c r="BE142" s="56">
        <f t="shared" si="59"/>
        <v>0</v>
      </c>
      <c r="BF142" s="56">
        <f t="shared" si="58"/>
        <v>9</v>
      </c>
      <c r="BH142">
        <f t="shared" si="69"/>
        <v>1</v>
      </c>
      <c r="BI142">
        <f t="shared" si="78"/>
        <v>0</v>
      </c>
      <c r="BJ142" s="154">
        <v>484537.4</v>
      </c>
      <c r="BK142" s="155">
        <f t="shared" si="70"/>
        <v>484537.4</v>
      </c>
      <c r="BL142" s="156">
        <v>657819.59222222213</v>
      </c>
      <c r="BM142" s="155">
        <f t="shared" si="71"/>
        <v>657819.59222222213</v>
      </c>
      <c r="BN142" s="158">
        <v>585739.89777777775</v>
      </c>
      <c r="BO142" s="155">
        <f t="shared" si="72"/>
        <v>585739.89777777775</v>
      </c>
      <c r="BP142" s="158">
        <v>766125.60000000009</v>
      </c>
      <c r="BQ142" s="155">
        <f t="shared" si="73"/>
        <v>766125.60000000009</v>
      </c>
      <c r="BR142" s="158">
        <v>561865.4933333334</v>
      </c>
      <c r="BS142" s="155">
        <f t="shared" si="74"/>
        <v>561865.4933333334</v>
      </c>
      <c r="BT142" s="194">
        <v>864198.78222222207</v>
      </c>
      <c r="BU142" s="194"/>
      <c r="BV142" s="348">
        <f t="shared" si="79"/>
        <v>864198.78222222207</v>
      </c>
      <c r="BW142" s="195">
        <f t="shared" si="75"/>
        <v>570689.15555555548</v>
      </c>
      <c r="BX142" s="157" t="str">
        <f t="shared" si="80"/>
        <v>0</v>
      </c>
      <c r="BY142" s="157">
        <f>IF(E142*$CJ$10*'Year 7 Payments'!$L$20*IF(B142="",1,0.8)&lt;=(BW142-(J142*350)),E142*$CJ$10*'Year 7 Payments'!$L$20*IF(B142="",1,0.8),BW142-(IF(B142="",1,0.8)*J142*350))</f>
        <v>393315.13722666656</v>
      </c>
      <c r="BZ142" s="157" t="str">
        <f t="shared" si="81"/>
        <v>0</v>
      </c>
      <c r="CA142" s="157">
        <f t="shared" si="82"/>
        <v>177374.01832888892</v>
      </c>
      <c r="CB142" s="157">
        <f t="shared" si="83"/>
        <v>0</v>
      </c>
      <c r="CC142" s="157">
        <f t="shared" si="84"/>
        <v>709496.0733155557</v>
      </c>
      <c r="CD142" s="201">
        <f t="shared" si="85"/>
        <v>0</v>
      </c>
      <c r="CE142" s="155">
        <f t="shared" si="86"/>
        <v>177374.01832888892</v>
      </c>
    </row>
    <row r="143" spans="1:83" x14ac:dyDescent="0.2">
      <c r="A143" s="147" t="s">
        <v>612</v>
      </c>
      <c r="B143" s="57"/>
      <c r="C143" s="57" t="s">
        <v>472</v>
      </c>
      <c r="D143" s="148" t="s">
        <v>171</v>
      </c>
      <c r="E143" s="197">
        <v>1494.7777777777778</v>
      </c>
      <c r="F143" s="147">
        <f t="shared" si="76"/>
        <v>1205</v>
      </c>
      <c r="G143" s="342">
        <v>0</v>
      </c>
      <c r="H143" s="149">
        <f t="shared" si="61"/>
        <v>5</v>
      </c>
      <c r="I143" s="346">
        <v>0</v>
      </c>
      <c r="J143" s="150">
        <v>2</v>
      </c>
      <c r="K143"/>
      <c r="L143" s="151">
        <v>15</v>
      </c>
      <c r="M143" s="151">
        <v>37</v>
      </c>
      <c r="N143" s="151">
        <v>95</v>
      </c>
      <c r="O143" s="151">
        <v>263</v>
      </c>
      <c r="P143" s="151">
        <v>339</v>
      </c>
      <c r="Q143" s="151">
        <v>300</v>
      </c>
      <c r="R143" s="151">
        <v>146</v>
      </c>
      <c r="S143" s="151">
        <v>10</v>
      </c>
      <c r="T143" s="151">
        <v>1205</v>
      </c>
      <c r="U143" s="147"/>
      <c r="V143" s="152">
        <f t="shared" si="77"/>
        <v>1.2448132780082987E-2</v>
      </c>
      <c r="W143" s="152">
        <f t="shared" si="62"/>
        <v>3.0705394190871368E-2</v>
      </c>
      <c r="X143" s="152">
        <f t="shared" si="63"/>
        <v>7.8838174273858919E-2</v>
      </c>
      <c r="Y143" s="152">
        <f t="shared" si="64"/>
        <v>0.21825726141078838</v>
      </c>
      <c r="Z143" s="152">
        <f t="shared" si="65"/>
        <v>0.28132780082987552</v>
      </c>
      <c r="AA143" s="152">
        <f t="shared" si="66"/>
        <v>0.24896265560165975</v>
      </c>
      <c r="AB143" s="152">
        <f t="shared" si="67"/>
        <v>0.12116182572614108</v>
      </c>
      <c r="AC143" s="152">
        <f t="shared" si="68"/>
        <v>8.2987551867219917E-3</v>
      </c>
      <c r="AD143" s="152"/>
      <c r="AE143" s="221">
        <v>0</v>
      </c>
      <c r="AF143" s="221">
        <v>2</v>
      </c>
      <c r="AG143" s="221">
        <v>3</v>
      </c>
      <c r="AH143" s="221">
        <v>3</v>
      </c>
      <c r="AI143" s="221">
        <v>0</v>
      </c>
      <c r="AJ143" s="221">
        <v>-1</v>
      </c>
      <c r="AK143" s="221">
        <v>-2</v>
      </c>
      <c r="AL143" s="221">
        <v>0</v>
      </c>
      <c r="AM143" s="221">
        <v>5</v>
      </c>
      <c r="AN143" s="147"/>
      <c r="AO143" s="221">
        <v>0</v>
      </c>
      <c r="AP143" s="221">
        <v>0</v>
      </c>
      <c r="AQ143" s="221">
        <v>0</v>
      </c>
      <c r="AR143" s="221">
        <v>0</v>
      </c>
      <c r="AS143" s="221">
        <v>0</v>
      </c>
      <c r="AT143" s="221">
        <v>0</v>
      </c>
      <c r="AU143" s="221">
        <v>0</v>
      </c>
      <c r="AV143" s="221">
        <v>0</v>
      </c>
      <c r="AW143" s="221">
        <v>0</v>
      </c>
      <c r="AX143" s="56">
        <f t="shared" si="60"/>
        <v>0</v>
      </c>
      <c r="AY143" s="56">
        <f t="shared" si="60"/>
        <v>0</v>
      </c>
      <c r="AZ143" s="56">
        <f t="shared" si="60"/>
        <v>0</v>
      </c>
      <c r="BA143" s="56">
        <f t="shared" si="60"/>
        <v>0</v>
      </c>
      <c r="BB143" s="56">
        <f t="shared" si="60"/>
        <v>0</v>
      </c>
      <c r="BC143" s="56">
        <f t="shared" si="60"/>
        <v>0</v>
      </c>
      <c r="BD143" s="56">
        <f t="shared" si="60"/>
        <v>0</v>
      </c>
      <c r="BE143" s="56">
        <f t="shared" si="59"/>
        <v>0</v>
      </c>
      <c r="BF143" s="56">
        <f t="shared" si="58"/>
        <v>0</v>
      </c>
      <c r="BH143">
        <f t="shared" si="69"/>
        <v>1</v>
      </c>
      <c r="BI143">
        <f t="shared" si="78"/>
        <v>0</v>
      </c>
      <c r="BJ143" s="154">
        <v>0</v>
      </c>
      <c r="BK143" s="155">
        <f t="shared" si="70"/>
        <v>0</v>
      </c>
      <c r="BL143" s="156">
        <v>22920.471111111106</v>
      </c>
      <c r="BM143" s="155">
        <f t="shared" si="71"/>
        <v>22920.471111111106</v>
      </c>
      <c r="BN143" s="158">
        <v>6899.7322222222228</v>
      </c>
      <c r="BO143" s="155">
        <f t="shared" si="72"/>
        <v>6899.7322222222228</v>
      </c>
      <c r="BP143" s="158">
        <v>18114.133333333331</v>
      </c>
      <c r="BQ143" s="155">
        <f t="shared" si="73"/>
        <v>18114.133333333331</v>
      </c>
      <c r="BR143" s="158">
        <v>9460.315555555555</v>
      </c>
      <c r="BS143" s="155">
        <f t="shared" si="74"/>
        <v>9460.315555555555</v>
      </c>
      <c r="BT143" s="194">
        <v>0</v>
      </c>
      <c r="BU143" s="194"/>
      <c r="BV143" s="348">
        <f t="shared" si="79"/>
        <v>0</v>
      </c>
      <c r="BW143" s="195">
        <f t="shared" si="75"/>
        <v>4438.9244444444439</v>
      </c>
      <c r="BX143" s="157" t="str">
        <f t="shared" si="80"/>
        <v>0</v>
      </c>
      <c r="BY143" s="157">
        <f>IF(E143*$CJ$10*'Year 7 Payments'!$L$20*IF(B143="",1,0.8)&lt;=(BW143-(J143*350)),E143*$CJ$10*'Year 7 Payments'!$L$20*IF(B143="",1,0.8),BW143-(IF(B143="",1,0.8)*J143*350))</f>
        <v>3738.9244444444439</v>
      </c>
      <c r="BZ143" s="157" t="str">
        <f t="shared" si="81"/>
        <v>0</v>
      </c>
      <c r="CA143" s="157">
        <f t="shared" si="82"/>
        <v>700</v>
      </c>
      <c r="CB143" s="157">
        <f t="shared" si="83"/>
        <v>0</v>
      </c>
      <c r="CC143" s="157">
        <f t="shared" si="84"/>
        <v>2800</v>
      </c>
      <c r="CD143" s="201">
        <f t="shared" si="85"/>
        <v>0</v>
      </c>
      <c r="CE143" s="155">
        <f t="shared" si="86"/>
        <v>700</v>
      </c>
    </row>
    <row r="144" spans="1:83" x14ac:dyDescent="0.2">
      <c r="A144" s="147" t="s">
        <v>613</v>
      </c>
      <c r="B144" s="57"/>
      <c r="C144" s="57" t="s">
        <v>461</v>
      </c>
      <c r="D144" s="148" t="s">
        <v>172</v>
      </c>
      <c r="E144" s="197">
        <v>111616.55555555555</v>
      </c>
      <c r="F144" s="147">
        <f t="shared" si="76"/>
        <v>106868</v>
      </c>
      <c r="G144" s="342">
        <v>499</v>
      </c>
      <c r="H144" s="149">
        <f t="shared" si="61"/>
        <v>1726</v>
      </c>
      <c r="I144" s="346">
        <v>1470.3115555555555</v>
      </c>
      <c r="J144" s="150">
        <v>438</v>
      </c>
      <c r="K144"/>
      <c r="L144" s="151">
        <v>4468</v>
      </c>
      <c r="M144" s="151">
        <v>6155</v>
      </c>
      <c r="N144" s="151">
        <v>29543</v>
      </c>
      <c r="O144" s="151">
        <v>32214</v>
      </c>
      <c r="P144" s="151">
        <v>17842</v>
      </c>
      <c r="Q144" s="151">
        <v>8973</v>
      </c>
      <c r="R144" s="151">
        <v>6766</v>
      </c>
      <c r="S144" s="151">
        <v>907</v>
      </c>
      <c r="T144" s="151">
        <v>106868</v>
      </c>
      <c r="U144" s="147"/>
      <c r="V144" s="152">
        <f t="shared" si="77"/>
        <v>4.180858629337126E-2</v>
      </c>
      <c r="W144" s="152">
        <f t="shared" si="62"/>
        <v>5.7594415540666993E-2</v>
      </c>
      <c r="X144" s="152">
        <f t="shared" si="63"/>
        <v>0.27644383725717708</v>
      </c>
      <c r="Y144" s="152">
        <f t="shared" si="64"/>
        <v>0.30143728712055995</v>
      </c>
      <c r="Z144" s="152">
        <f t="shared" si="65"/>
        <v>0.16695362503275069</v>
      </c>
      <c r="AA144" s="152">
        <f t="shared" si="66"/>
        <v>8.3963394093648239E-2</v>
      </c>
      <c r="AB144" s="152">
        <f t="shared" si="67"/>
        <v>6.3311749073623538E-2</v>
      </c>
      <c r="AC144" s="152">
        <f t="shared" si="68"/>
        <v>8.4871055882022681E-3</v>
      </c>
      <c r="AD144" s="152"/>
      <c r="AE144" s="221">
        <v>126</v>
      </c>
      <c r="AF144" s="221">
        <v>33</v>
      </c>
      <c r="AG144" s="221">
        <v>153</v>
      </c>
      <c r="AH144" s="221">
        <v>266</v>
      </c>
      <c r="AI144" s="221">
        <v>344</v>
      </c>
      <c r="AJ144" s="221">
        <v>308</v>
      </c>
      <c r="AK144" s="221">
        <v>44</v>
      </c>
      <c r="AL144" s="221">
        <v>-2</v>
      </c>
      <c r="AM144" s="221">
        <v>1272</v>
      </c>
      <c r="AN144" s="147"/>
      <c r="AO144" s="221">
        <v>-15</v>
      </c>
      <c r="AP144" s="221">
        <v>-50</v>
      </c>
      <c r="AQ144" s="221">
        <v>-122</v>
      </c>
      <c r="AR144" s="221">
        <v>-149</v>
      </c>
      <c r="AS144" s="221">
        <v>-65</v>
      </c>
      <c r="AT144" s="221">
        <v>-24</v>
      </c>
      <c r="AU144" s="221">
        <v>-24</v>
      </c>
      <c r="AV144" s="221">
        <v>-5</v>
      </c>
      <c r="AW144" s="221">
        <v>-454</v>
      </c>
      <c r="AX144" s="56">
        <f t="shared" si="60"/>
        <v>15</v>
      </c>
      <c r="AY144" s="56">
        <f t="shared" si="60"/>
        <v>50</v>
      </c>
      <c r="AZ144" s="56">
        <f t="shared" si="60"/>
        <v>122</v>
      </c>
      <c r="BA144" s="56">
        <f t="shared" si="60"/>
        <v>149</v>
      </c>
      <c r="BB144" s="56">
        <f t="shared" si="60"/>
        <v>65</v>
      </c>
      <c r="BC144" s="56">
        <f t="shared" si="60"/>
        <v>24</v>
      </c>
      <c r="BD144" s="56">
        <f t="shared" si="60"/>
        <v>24</v>
      </c>
      <c r="BE144" s="56">
        <f t="shared" si="59"/>
        <v>5</v>
      </c>
      <c r="BF144" s="56">
        <f t="shared" si="58"/>
        <v>454</v>
      </c>
      <c r="BH144">
        <f t="shared" si="69"/>
        <v>1</v>
      </c>
      <c r="BI144">
        <f t="shared" si="78"/>
        <v>0</v>
      </c>
      <c r="BJ144" s="154">
        <v>3706471.24</v>
      </c>
      <c r="BK144" s="155">
        <f t="shared" si="70"/>
        <v>3706471.24</v>
      </c>
      <c r="BL144" s="156">
        <v>1973696.2444444443</v>
      </c>
      <c r="BM144" s="155">
        <f t="shared" si="71"/>
        <v>1973696.2444444443</v>
      </c>
      <c r="BN144" s="158">
        <v>3521448.9633333334</v>
      </c>
      <c r="BO144" s="155">
        <f t="shared" si="72"/>
        <v>3521448.9633333334</v>
      </c>
      <c r="BP144" s="158">
        <v>2805179.5999999996</v>
      </c>
      <c r="BQ144" s="155">
        <f t="shared" si="73"/>
        <v>2805179.5999999996</v>
      </c>
      <c r="BR144" s="158">
        <v>1774548.4888888889</v>
      </c>
      <c r="BS144" s="155">
        <f t="shared" si="74"/>
        <v>1774548.4888888889</v>
      </c>
      <c r="BT144" s="194">
        <v>1469655.5377777778</v>
      </c>
      <c r="BU144" s="194"/>
      <c r="BV144" s="348">
        <f t="shared" si="79"/>
        <v>1469655.5377777778</v>
      </c>
      <c r="BW144" s="195">
        <f t="shared" si="75"/>
        <v>3085126.6177777778</v>
      </c>
      <c r="BX144" s="157" t="str">
        <f t="shared" si="80"/>
        <v>0</v>
      </c>
      <c r="BY144" s="157">
        <f>IF(E144*$CJ$10*'Year 7 Payments'!$L$20*IF(B144="",1,0.8)&lt;=(BW144-(J144*350)),E144*$CJ$10*'Year 7 Payments'!$L$20*IF(B144="",1,0.8),BW144-(IF(B144="",1,0.8)*J144*350))</f>
        <v>682896.87486222223</v>
      </c>
      <c r="BZ144" s="157" t="str">
        <f t="shared" si="81"/>
        <v>0</v>
      </c>
      <c r="CA144" s="157">
        <f t="shared" si="82"/>
        <v>2402229.7429155558</v>
      </c>
      <c r="CB144" s="157">
        <f t="shared" si="83"/>
        <v>0</v>
      </c>
      <c r="CC144" s="157">
        <f t="shared" si="84"/>
        <v>9608918.9716622233</v>
      </c>
      <c r="CD144" s="201">
        <f t="shared" si="85"/>
        <v>0</v>
      </c>
      <c r="CE144" s="155">
        <f t="shared" si="86"/>
        <v>2402229.7429155558</v>
      </c>
    </row>
    <row r="145" spans="1:83" x14ac:dyDescent="0.2">
      <c r="A145" s="147" t="s">
        <v>614</v>
      </c>
      <c r="B145" s="57"/>
      <c r="C145" s="57" t="s">
        <v>461</v>
      </c>
      <c r="D145" s="148" t="s">
        <v>173</v>
      </c>
      <c r="E145" s="197">
        <v>119982.66666666667</v>
      </c>
      <c r="F145" s="147">
        <f t="shared" si="76"/>
        <v>88590</v>
      </c>
      <c r="G145" s="342">
        <v>1399</v>
      </c>
      <c r="H145" s="149">
        <f t="shared" si="61"/>
        <v>262</v>
      </c>
      <c r="I145" s="346">
        <v>69.402666666666562</v>
      </c>
      <c r="J145" s="150">
        <v>108</v>
      </c>
      <c r="K145"/>
      <c r="L145" s="151">
        <v>1786</v>
      </c>
      <c r="M145" s="151">
        <v>3545</v>
      </c>
      <c r="N145" s="151">
        <v>9492</v>
      </c>
      <c r="O145" s="151">
        <v>13884</v>
      </c>
      <c r="P145" s="151">
        <v>13234</v>
      </c>
      <c r="Q145" s="151">
        <v>11990</v>
      </c>
      <c r="R145" s="151">
        <v>19651</v>
      </c>
      <c r="S145" s="151">
        <v>15008</v>
      </c>
      <c r="T145" s="151">
        <v>88590</v>
      </c>
      <c r="U145" s="147"/>
      <c r="V145" s="152">
        <f t="shared" si="77"/>
        <v>2.0160288971667231E-2</v>
      </c>
      <c r="W145" s="152">
        <f t="shared" si="62"/>
        <v>4.0015803138051698E-2</v>
      </c>
      <c r="X145" s="152">
        <f t="shared" si="63"/>
        <v>0.10714527599051812</v>
      </c>
      <c r="Y145" s="152">
        <f t="shared" si="64"/>
        <v>0.1567219776498476</v>
      </c>
      <c r="Z145" s="152">
        <f t="shared" si="65"/>
        <v>0.14938480641155888</v>
      </c>
      <c r="AA145" s="152">
        <f t="shared" si="66"/>
        <v>0.13534258945704933</v>
      </c>
      <c r="AB145" s="152">
        <f t="shared" si="67"/>
        <v>0.22181961846709561</v>
      </c>
      <c r="AC145" s="152">
        <f t="shared" si="68"/>
        <v>0.16940963991421154</v>
      </c>
      <c r="AD145" s="152"/>
      <c r="AE145" s="221">
        <v>-96</v>
      </c>
      <c r="AF145" s="221">
        <v>1</v>
      </c>
      <c r="AG145" s="221">
        <v>53</v>
      </c>
      <c r="AH145" s="221">
        <v>94</v>
      </c>
      <c r="AI145" s="221">
        <v>31</v>
      </c>
      <c r="AJ145" s="221">
        <v>79</v>
      </c>
      <c r="AK145" s="221">
        <v>57</v>
      </c>
      <c r="AL145" s="221">
        <v>153</v>
      </c>
      <c r="AM145" s="221">
        <v>372</v>
      </c>
      <c r="AN145" s="147"/>
      <c r="AO145" s="221">
        <v>-15</v>
      </c>
      <c r="AP145" s="221">
        <v>30</v>
      </c>
      <c r="AQ145" s="221">
        <v>64</v>
      </c>
      <c r="AR145" s="221">
        <v>65</v>
      </c>
      <c r="AS145" s="221">
        <v>-11</v>
      </c>
      <c r="AT145" s="221">
        <v>1</v>
      </c>
      <c r="AU145" s="221">
        <v>-19</v>
      </c>
      <c r="AV145" s="221">
        <v>-5</v>
      </c>
      <c r="AW145" s="221">
        <v>110</v>
      </c>
      <c r="AX145" s="56">
        <f t="shared" si="60"/>
        <v>15</v>
      </c>
      <c r="AY145" s="56">
        <f t="shared" si="60"/>
        <v>-30</v>
      </c>
      <c r="AZ145" s="56">
        <f t="shared" si="60"/>
        <v>-64</v>
      </c>
      <c r="BA145" s="56">
        <f t="shared" si="60"/>
        <v>-65</v>
      </c>
      <c r="BB145" s="56">
        <f t="shared" si="60"/>
        <v>11</v>
      </c>
      <c r="BC145" s="56">
        <f t="shared" si="60"/>
        <v>-1</v>
      </c>
      <c r="BD145" s="56">
        <f t="shared" si="60"/>
        <v>19</v>
      </c>
      <c r="BE145" s="56">
        <f t="shared" si="59"/>
        <v>5</v>
      </c>
      <c r="BF145" s="56">
        <f t="shared" si="58"/>
        <v>-110</v>
      </c>
      <c r="BH145">
        <f t="shared" si="69"/>
        <v>1</v>
      </c>
      <c r="BI145">
        <f t="shared" si="78"/>
        <v>0</v>
      </c>
      <c r="BJ145" s="154">
        <v>673395.04666666663</v>
      </c>
      <c r="BK145" s="155">
        <f t="shared" si="70"/>
        <v>673395.04666666663</v>
      </c>
      <c r="BL145" s="156">
        <v>211366.49777777778</v>
      </c>
      <c r="BM145" s="155">
        <f t="shared" si="71"/>
        <v>211366.49777777778</v>
      </c>
      <c r="BN145" s="158">
        <v>210633.3244444445</v>
      </c>
      <c r="BO145" s="155">
        <f t="shared" si="72"/>
        <v>210633.3244444445</v>
      </c>
      <c r="BP145" s="158">
        <v>49350</v>
      </c>
      <c r="BQ145" s="155">
        <f t="shared" si="73"/>
        <v>49350</v>
      </c>
      <c r="BR145" s="158">
        <v>1389398.3333333335</v>
      </c>
      <c r="BS145" s="155">
        <f t="shared" si="74"/>
        <v>1389398.3333333335</v>
      </c>
      <c r="BT145" s="194">
        <v>985446.03111111117</v>
      </c>
      <c r="BU145" s="194"/>
      <c r="BV145" s="348">
        <f t="shared" si="79"/>
        <v>985446.03111111117</v>
      </c>
      <c r="BW145" s="195">
        <f t="shared" si="75"/>
        <v>878038.29333333322</v>
      </c>
      <c r="BX145" s="157" t="str">
        <f t="shared" si="80"/>
        <v>0</v>
      </c>
      <c r="BY145" s="157">
        <f>IF(E145*$CJ$10*'Year 7 Payments'!$L$20*IF(B145="",1,0.8)&lt;=(BW145-(J145*350)),E145*$CJ$10*'Year 7 Payments'!$L$20*IF(B145="",1,0.8),BW145-(IF(B145="",1,0.8)*J145*350))</f>
        <v>734082.75050666672</v>
      </c>
      <c r="BZ145" s="157" t="str">
        <f t="shared" si="81"/>
        <v>0</v>
      </c>
      <c r="CA145" s="157">
        <f t="shared" si="82"/>
        <v>143955.5428266665</v>
      </c>
      <c r="CB145" s="157">
        <f t="shared" si="83"/>
        <v>0</v>
      </c>
      <c r="CC145" s="157">
        <f t="shared" si="84"/>
        <v>575822.17130666599</v>
      </c>
      <c r="CD145" s="201">
        <f t="shared" si="85"/>
        <v>0</v>
      </c>
      <c r="CE145" s="155">
        <f t="shared" si="86"/>
        <v>143955.5428266665</v>
      </c>
    </row>
    <row r="146" spans="1:83" x14ac:dyDescent="0.2">
      <c r="A146" s="147" t="s">
        <v>615</v>
      </c>
      <c r="B146" s="57" t="s">
        <v>533</v>
      </c>
      <c r="C146" s="57" t="s">
        <v>449</v>
      </c>
      <c r="D146" s="148" t="s">
        <v>174</v>
      </c>
      <c r="E146" s="197">
        <v>36574.888888888883</v>
      </c>
      <c r="F146" s="147">
        <f t="shared" si="76"/>
        <v>43682</v>
      </c>
      <c r="G146" s="342">
        <v>349</v>
      </c>
      <c r="H146" s="149">
        <f t="shared" si="61"/>
        <v>606</v>
      </c>
      <c r="I146" s="346">
        <v>443.0337777777778</v>
      </c>
      <c r="J146" s="150">
        <v>26</v>
      </c>
      <c r="K146"/>
      <c r="L146" s="151">
        <v>13296</v>
      </c>
      <c r="M146" s="151">
        <v>12117</v>
      </c>
      <c r="N146" s="151">
        <v>8152</v>
      </c>
      <c r="O146" s="151">
        <v>4933</v>
      </c>
      <c r="P146" s="151">
        <v>3083</v>
      </c>
      <c r="Q146" s="151">
        <v>1395</v>
      </c>
      <c r="R146" s="151">
        <v>653</v>
      </c>
      <c r="S146" s="151">
        <v>53</v>
      </c>
      <c r="T146" s="151">
        <v>43682</v>
      </c>
      <c r="U146" s="147"/>
      <c r="V146" s="152">
        <f t="shared" si="77"/>
        <v>0.30438166750606654</v>
      </c>
      <c r="W146" s="152">
        <f t="shared" si="62"/>
        <v>0.27739114509408908</v>
      </c>
      <c r="X146" s="152">
        <f t="shared" si="63"/>
        <v>0.18662149168994094</v>
      </c>
      <c r="Y146" s="152">
        <f t="shared" si="64"/>
        <v>0.11292981090609404</v>
      </c>
      <c r="Z146" s="152">
        <f t="shared" si="65"/>
        <v>7.0578270225722259E-2</v>
      </c>
      <c r="AA146" s="152">
        <f t="shared" si="66"/>
        <v>3.193535094546953E-2</v>
      </c>
      <c r="AB146" s="152">
        <f t="shared" si="67"/>
        <v>1.4948949223936633E-2</v>
      </c>
      <c r="AC146" s="152">
        <f t="shared" si="68"/>
        <v>1.2133144086809212E-3</v>
      </c>
      <c r="AD146" s="152"/>
      <c r="AE146" s="221">
        <v>78</v>
      </c>
      <c r="AF146" s="221">
        <v>225</v>
      </c>
      <c r="AG146" s="221">
        <v>40</v>
      </c>
      <c r="AH146" s="221">
        <v>122</v>
      </c>
      <c r="AI146" s="221">
        <v>78</v>
      </c>
      <c r="AJ146" s="221">
        <v>80</v>
      </c>
      <c r="AK146" s="221">
        <v>-2</v>
      </c>
      <c r="AL146" s="221">
        <v>0</v>
      </c>
      <c r="AM146" s="221">
        <v>621</v>
      </c>
      <c r="AN146" s="147"/>
      <c r="AO146" s="221">
        <v>23</v>
      </c>
      <c r="AP146" s="221">
        <v>3</v>
      </c>
      <c r="AQ146" s="221">
        <v>-5</v>
      </c>
      <c r="AR146" s="221">
        <v>5</v>
      </c>
      <c r="AS146" s="221">
        <v>-5</v>
      </c>
      <c r="AT146" s="221">
        <v>-3</v>
      </c>
      <c r="AU146" s="221">
        <v>-3</v>
      </c>
      <c r="AV146" s="221">
        <v>0</v>
      </c>
      <c r="AW146" s="221">
        <v>15</v>
      </c>
      <c r="AX146" s="56">
        <f t="shared" si="60"/>
        <v>-23</v>
      </c>
      <c r="AY146" s="56">
        <f t="shared" si="60"/>
        <v>-3</v>
      </c>
      <c r="AZ146" s="56">
        <f t="shared" si="60"/>
        <v>5</v>
      </c>
      <c r="BA146" s="56">
        <f t="shared" si="60"/>
        <v>-5</v>
      </c>
      <c r="BB146" s="56">
        <f t="shared" si="60"/>
        <v>5</v>
      </c>
      <c r="BC146" s="56">
        <f t="shared" si="60"/>
        <v>3</v>
      </c>
      <c r="BD146" s="56">
        <f t="shared" si="60"/>
        <v>3</v>
      </c>
      <c r="BE146" s="56">
        <f t="shared" si="59"/>
        <v>0</v>
      </c>
      <c r="BF146" s="56">
        <f t="shared" si="58"/>
        <v>-15</v>
      </c>
      <c r="BH146">
        <f t="shared" si="69"/>
        <v>0.8</v>
      </c>
      <c r="BI146">
        <f t="shared" si="78"/>
        <v>0.19999999999999996</v>
      </c>
      <c r="BJ146" s="154">
        <v>342982.1173333333</v>
      </c>
      <c r="BK146" s="155">
        <f t="shared" si="70"/>
        <v>342982.1173333333</v>
      </c>
      <c r="BL146" s="156">
        <v>536746.69155555556</v>
      </c>
      <c r="BM146" s="155">
        <f t="shared" si="71"/>
        <v>536746.69155555556</v>
      </c>
      <c r="BN146" s="158">
        <v>341670.64977777784</v>
      </c>
      <c r="BO146" s="155">
        <f t="shared" si="72"/>
        <v>341670.64977777784</v>
      </c>
      <c r="BP146" s="158">
        <v>379498.02666666667</v>
      </c>
      <c r="BQ146" s="155">
        <f t="shared" si="73"/>
        <v>379498.02666666667</v>
      </c>
      <c r="BR146" s="158">
        <v>523081.56622222229</v>
      </c>
      <c r="BS146" s="155">
        <f t="shared" si="74"/>
        <v>523081.56622222229</v>
      </c>
      <c r="BT146" s="194">
        <v>492932.62044444447</v>
      </c>
      <c r="BU146" s="194"/>
      <c r="BV146" s="348">
        <f t="shared" si="79"/>
        <v>492932.62044444447</v>
      </c>
      <c r="BW146" s="195">
        <f t="shared" si="75"/>
        <v>728416.55466666666</v>
      </c>
      <c r="BX146" s="157">
        <f t="shared" si="80"/>
        <v>182104.13866666667</v>
      </c>
      <c r="BY146" s="157">
        <f>IF(E146*$CJ$10*'Year 7 Payments'!$L$20*IF(B146="",1,0.8)&lt;=(BW146-(J146*350)),E146*$CJ$10*'Year 7 Payments'!$L$20*IF(B146="",1,0.8),BW146-(IF(B146="",1,0.8)*J146*350))</f>
        <v>179019.15855644442</v>
      </c>
      <c r="BZ146" s="157">
        <f t="shared" si="81"/>
        <v>44754.789639111106</v>
      </c>
      <c r="CA146" s="157">
        <f t="shared" si="82"/>
        <v>549397.39611022221</v>
      </c>
      <c r="CB146" s="157">
        <f t="shared" si="83"/>
        <v>137349.34902755555</v>
      </c>
      <c r="CC146" s="157">
        <f t="shared" si="84"/>
        <v>2197589.5844408888</v>
      </c>
      <c r="CD146" s="201">
        <f t="shared" si="85"/>
        <v>549397.39611022221</v>
      </c>
      <c r="CE146" s="155">
        <f t="shared" si="86"/>
        <v>549397.39611022221</v>
      </c>
    </row>
    <row r="147" spans="1:83" x14ac:dyDescent="0.2">
      <c r="A147" s="147" t="s">
        <v>616</v>
      </c>
      <c r="B147" s="57" t="s">
        <v>490</v>
      </c>
      <c r="C147" s="57" t="s">
        <v>459</v>
      </c>
      <c r="D147" s="148" t="s">
        <v>175</v>
      </c>
      <c r="E147" s="197">
        <v>60766.444444444445</v>
      </c>
      <c r="F147" s="147">
        <f t="shared" si="76"/>
        <v>72235</v>
      </c>
      <c r="G147" s="342">
        <v>824</v>
      </c>
      <c r="H147" s="149">
        <f t="shared" si="61"/>
        <v>396</v>
      </c>
      <c r="I147" s="346">
        <v>142.0453333333333</v>
      </c>
      <c r="J147" s="150">
        <v>52</v>
      </c>
      <c r="K147"/>
      <c r="L147" s="151">
        <v>24027</v>
      </c>
      <c r="M147" s="151">
        <v>17205</v>
      </c>
      <c r="N147" s="151">
        <v>13353</v>
      </c>
      <c r="O147" s="151">
        <v>9335</v>
      </c>
      <c r="P147" s="151">
        <v>4768</v>
      </c>
      <c r="Q147" s="151">
        <v>2399</v>
      </c>
      <c r="R147" s="151">
        <v>1038</v>
      </c>
      <c r="S147" s="151">
        <v>110</v>
      </c>
      <c r="T147" s="151">
        <v>72235</v>
      </c>
      <c r="U147" s="147"/>
      <c r="V147" s="152">
        <f t="shared" si="77"/>
        <v>0.33262268983179899</v>
      </c>
      <c r="W147" s="152">
        <f t="shared" si="62"/>
        <v>0.23818093721879974</v>
      </c>
      <c r="X147" s="152">
        <f t="shared" si="63"/>
        <v>0.18485498719457327</v>
      </c>
      <c r="Y147" s="152">
        <f t="shared" si="64"/>
        <v>0.12923098221083962</v>
      </c>
      <c r="Z147" s="152">
        <f t="shared" si="65"/>
        <v>6.6006783415241924E-2</v>
      </c>
      <c r="AA147" s="152">
        <f t="shared" si="66"/>
        <v>3.3211047276251127E-2</v>
      </c>
      <c r="AB147" s="152">
        <f t="shared" si="67"/>
        <v>1.4369765349207447E-2</v>
      </c>
      <c r="AC147" s="152">
        <f t="shared" si="68"/>
        <v>1.5228075032878798E-3</v>
      </c>
      <c r="AD147" s="152"/>
      <c r="AE147" s="221">
        <v>75</v>
      </c>
      <c r="AF147" s="221">
        <v>57</v>
      </c>
      <c r="AG147" s="221">
        <v>95</v>
      </c>
      <c r="AH147" s="221">
        <v>92</v>
      </c>
      <c r="AI147" s="221">
        <v>77</v>
      </c>
      <c r="AJ147" s="221">
        <v>21</v>
      </c>
      <c r="AK147" s="221">
        <v>18</v>
      </c>
      <c r="AL147" s="221">
        <v>2</v>
      </c>
      <c r="AM147" s="221">
        <v>437</v>
      </c>
      <c r="AN147" s="147"/>
      <c r="AO147" s="221">
        <v>-17</v>
      </c>
      <c r="AP147" s="221">
        <v>17</v>
      </c>
      <c r="AQ147" s="221">
        <v>25</v>
      </c>
      <c r="AR147" s="221">
        <v>11</v>
      </c>
      <c r="AS147" s="221">
        <v>-10</v>
      </c>
      <c r="AT147" s="221">
        <v>14</v>
      </c>
      <c r="AU147" s="221">
        <v>3</v>
      </c>
      <c r="AV147" s="221">
        <v>-2</v>
      </c>
      <c r="AW147" s="221">
        <v>41</v>
      </c>
      <c r="AX147" s="56">
        <f t="shared" si="60"/>
        <v>17</v>
      </c>
      <c r="AY147" s="56">
        <f t="shared" si="60"/>
        <v>-17</v>
      </c>
      <c r="AZ147" s="56">
        <f t="shared" si="60"/>
        <v>-25</v>
      </c>
      <c r="BA147" s="56">
        <f t="shared" si="60"/>
        <v>-11</v>
      </c>
      <c r="BB147" s="56">
        <f t="shared" si="60"/>
        <v>10</v>
      </c>
      <c r="BC147" s="56">
        <f t="shared" si="60"/>
        <v>-14</v>
      </c>
      <c r="BD147" s="56">
        <f t="shared" si="60"/>
        <v>-3</v>
      </c>
      <c r="BE147" s="56">
        <f t="shared" si="59"/>
        <v>2</v>
      </c>
      <c r="BF147" s="56">
        <f t="shared" si="58"/>
        <v>-41</v>
      </c>
      <c r="BH147">
        <f t="shared" si="69"/>
        <v>0.8</v>
      </c>
      <c r="BI147">
        <f t="shared" si="78"/>
        <v>0.19999999999999996</v>
      </c>
      <c r="BJ147" s="154">
        <v>451595.25333333336</v>
      </c>
      <c r="BK147" s="155">
        <f t="shared" si="70"/>
        <v>451595.25333333336</v>
      </c>
      <c r="BL147" s="156">
        <v>601074.53155555553</v>
      </c>
      <c r="BM147" s="155">
        <f t="shared" si="71"/>
        <v>601074.53155555553</v>
      </c>
      <c r="BN147" s="158">
        <v>543131.5422222222</v>
      </c>
      <c r="BO147" s="155">
        <f t="shared" si="72"/>
        <v>543131.5422222222</v>
      </c>
      <c r="BP147" s="158">
        <v>756193.17333333334</v>
      </c>
      <c r="BQ147" s="155">
        <f t="shared" si="73"/>
        <v>756193.17333333334</v>
      </c>
      <c r="BR147" s="158">
        <v>566988.04444444447</v>
      </c>
      <c r="BS147" s="155">
        <f t="shared" si="74"/>
        <v>566988.04444444447</v>
      </c>
      <c r="BT147" s="194">
        <v>356266.33777777781</v>
      </c>
      <c r="BU147" s="194"/>
      <c r="BV147" s="348">
        <f t="shared" si="79"/>
        <v>356266.33777777781</v>
      </c>
      <c r="BW147" s="195">
        <f t="shared" si="75"/>
        <v>485800.44088888896</v>
      </c>
      <c r="BX147" s="157">
        <f t="shared" si="80"/>
        <v>121450.11022222224</v>
      </c>
      <c r="BY147" s="157">
        <f>IF(E147*$CJ$10*'Year 7 Payments'!$L$20*IF(B147="",1,0.8)&lt;=(BW147-(J147*350)),E147*$CJ$10*'Year 7 Payments'!$L$20*IF(B147="",1,0.8),BW147-(IF(B147="",1,0.8)*J147*350))</f>
        <v>297426.95284622227</v>
      </c>
      <c r="BZ147" s="157">
        <f t="shared" si="81"/>
        <v>74356.738211555567</v>
      </c>
      <c r="CA147" s="157">
        <f t="shared" si="82"/>
        <v>188373.48804266669</v>
      </c>
      <c r="CB147" s="157">
        <f t="shared" si="83"/>
        <v>47093.372010666673</v>
      </c>
      <c r="CC147" s="157">
        <f t="shared" si="84"/>
        <v>753493.95217066677</v>
      </c>
      <c r="CD147" s="201">
        <f t="shared" si="85"/>
        <v>188373.48804266669</v>
      </c>
      <c r="CE147" s="155">
        <f t="shared" si="86"/>
        <v>188373.48804266669</v>
      </c>
    </row>
    <row r="148" spans="1:83" x14ac:dyDescent="0.2">
      <c r="A148" s="147" t="s">
        <v>617</v>
      </c>
      <c r="B148" s="57"/>
      <c r="C148" s="57" t="s">
        <v>464</v>
      </c>
      <c r="D148" s="148" t="s">
        <v>176</v>
      </c>
      <c r="E148" s="197">
        <v>84903.111111111109</v>
      </c>
      <c r="F148" s="147">
        <f t="shared" si="76"/>
        <v>119282</v>
      </c>
      <c r="G148" s="342">
        <v>1565</v>
      </c>
      <c r="H148" s="149">
        <f t="shared" si="61"/>
        <v>778</v>
      </c>
      <c r="I148" s="346">
        <v>336.83200000000011</v>
      </c>
      <c r="J148" s="150">
        <v>129</v>
      </c>
      <c r="K148"/>
      <c r="L148" s="151">
        <v>81014</v>
      </c>
      <c r="M148" s="151">
        <v>22339</v>
      </c>
      <c r="N148" s="151">
        <v>10139</v>
      </c>
      <c r="O148" s="151">
        <v>4112</v>
      </c>
      <c r="P148" s="151">
        <v>1264</v>
      </c>
      <c r="Q148" s="151">
        <v>312</v>
      </c>
      <c r="R148" s="151">
        <v>63</v>
      </c>
      <c r="S148" s="151">
        <v>39</v>
      </c>
      <c r="T148" s="151">
        <v>119282</v>
      </c>
      <c r="U148" s="147"/>
      <c r="V148" s="152">
        <f t="shared" si="77"/>
        <v>0.67918042957026203</v>
      </c>
      <c r="W148" s="152">
        <f t="shared" si="62"/>
        <v>0.1872788853305612</v>
      </c>
      <c r="X148" s="152">
        <f t="shared" si="63"/>
        <v>8.5000251504837282E-2</v>
      </c>
      <c r="Y148" s="152">
        <f t="shared" si="64"/>
        <v>3.4472929696014488E-2</v>
      </c>
      <c r="Z148" s="152">
        <f t="shared" si="65"/>
        <v>1.0596737143911067E-2</v>
      </c>
      <c r="AA148" s="152">
        <f t="shared" si="66"/>
        <v>2.6156503076742508E-3</v>
      </c>
      <c r="AB148" s="152">
        <f t="shared" si="67"/>
        <v>5.2816015828037759E-4</v>
      </c>
      <c r="AC148" s="152">
        <f t="shared" si="68"/>
        <v>3.2695628845928135E-4</v>
      </c>
      <c r="AD148" s="152"/>
      <c r="AE148" s="221">
        <v>-41</v>
      </c>
      <c r="AF148" s="221">
        <v>290</v>
      </c>
      <c r="AG148" s="221">
        <v>157</v>
      </c>
      <c r="AH148" s="221">
        <v>122</v>
      </c>
      <c r="AI148" s="221">
        <v>41</v>
      </c>
      <c r="AJ148" s="221">
        <v>9</v>
      </c>
      <c r="AK148" s="221">
        <v>0</v>
      </c>
      <c r="AL148" s="221">
        <v>1</v>
      </c>
      <c r="AM148" s="221">
        <v>579</v>
      </c>
      <c r="AN148" s="147"/>
      <c r="AO148" s="221">
        <v>-111</v>
      </c>
      <c r="AP148" s="221">
        <v>-46</v>
      </c>
      <c r="AQ148" s="221">
        <v>-20</v>
      </c>
      <c r="AR148" s="221">
        <v>-14</v>
      </c>
      <c r="AS148" s="221">
        <v>-6</v>
      </c>
      <c r="AT148" s="221">
        <v>-3</v>
      </c>
      <c r="AU148" s="221">
        <v>1</v>
      </c>
      <c r="AV148" s="221">
        <v>0</v>
      </c>
      <c r="AW148" s="221">
        <v>-199</v>
      </c>
      <c r="AX148" s="56">
        <f t="shared" si="60"/>
        <v>111</v>
      </c>
      <c r="AY148" s="56">
        <f t="shared" si="60"/>
        <v>46</v>
      </c>
      <c r="AZ148" s="56">
        <f t="shared" si="60"/>
        <v>20</v>
      </c>
      <c r="BA148" s="56">
        <f t="shared" si="60"/>
        <v>14</v>
      </c>
      <c r="BB148" s="56">
        <f t="shared" si="60"/>
        <v>6</v>
      </c>
      <c r="BC148" s="56">
        <f t="shared" si="60"/>
        <v>3</v>
      </c>
      <c r="BD148" s="56">
        <f t="shared" si="60"/>
        <v>-1</v>
      </c>
      <c r="BE148" s="56">
        <f t="shared" si="59"/>
        <v>0</v>
      </c>
      <c r="BF148" s="56">
        <f t="shared" si="58"/>
        <v>199</v>
      </c>
      <c r="BH148">
        <f t="shared" si="69"/>
        <v>1</v>
      </c>
      <c r="BI148">
        <f t="shared" si="78"/>
        <v>0</v>
      </c>
      <c r="BJ148" s="154">
        <v>444559.06666666665</v>
      </c>
      <c r="BK148" s="155">
        <f t="shared" si="70"/>
        <v>444559.06666666665</v>
      </c>
      <c r="BL148" s="156">
        <v>500328.15666666662</v>
      </c>
      <c r="BM148" s="155">
        <f t="shared" si="71"/>
        <v>500328.15666666662</v>
      </c>
      <c r="BN148" s="158">
        <v>930757.46555555565</v>
      </c>
      <c r="BO148" s="155">
        <f t="shared" si="72"/>
        <v>930757.46555555565</v>
      </c>
      <c r="BP148" s="158">
        <v>318538.66666666663</v>
      </c>
      <c r="BQ148" s="155">
        <f t="shared" si="73"/>
        <v>318538.66666666663</v>
      </c>
      <c r="BR148" s="158">
        <v>548819.7177777777</v>
      </c>
      <c r="BS148" s="155">
        <f t="shared" si="74"/>
        <v>548819.7177777777</v>
      </c>
      <c r="BT148" s="194">
        <v>1051115.4111111111</v>
      </c>
      <c r="BU148" s="194"/>
      <c r="BV148" s="348">
        <f t="shared" si="79"/>
        <v>1051115.4111111111</v>
      </c>
      <c r="BW148" s="195">
        <f t="shared" si="75"/>
        <v>1079812.3644444444</v>
      </c>
      <c r="BX148" s="157" t="str">
        <f t="shared" si="80"/>
        <v>0</v>
      </c>
      <c r="BY148" s="157">
        <f>IF(E148*$CJ$10*'Year 7 Payments'!$L$20*IF(B148="",1,0.8)&lt;=(BW148-(J148*350)),E148*$CJ$10*'Year 7 Payments'!$L$20*IF(B148="",1,0.8),BW148-(IF(B148="",1,0.8)*J148*350))</f>
        <v>519457.61052444443</v>
      </c>
      <c r="BZ148" s="157" t="str">
        <f t="shared" si="81"/>
        <v>0</v>
      </c>
      <c r="CA148" s="157">
        <f t="shared" si="82"/>
        <v>560354.75392000005</v>
      </c>
      <c r="CB148" s="157">
        <f t="shared" si="83"/>
        <v>0</v>
      </c>
      <c r="CC148" s="157">
        <f t="shared" si="84"/>
        <v>2241419.0156800002</v>
      </c>
      <c r="CD148" s="201">
        <f t="shared" si="85"/>
        <v>0</v>
      </c>
      <c r="CE148" s="155">
        <f t="shared" si="86"/>
        <v>560354.75392000005</v>
      </c>
    </row>
    <row r="149" spans="1:83" x14ac:dyDescent="0.2">
      <c r="A149" s="147" t="s">
        <v>618</v>
      </c>
      <c r="B149" s="57"/>
      <c r="C149" s="57" t="s">
        <v>461</v>
      </c>
      <c r="D149" s="148" t="s">
        <v>177</v>
      </c>
      <c r="E149" s="197">
        <v>73914.111111111109</v>
      </c>
      <c r="F149" s="147">
        <f t="shared" si="76"/>
        <v>66592</v>
      </c>
      <c r="G149" s="342">
        <v>181</v>
      </c>
      <c r="H149" s="149">
        <f t="shared" si="61"/>
        <v>504</v>
      </c>
      <c r="I149" s="346">
        <v>224.78800000000001</v>
      </c>
      <c r="J149" s="150">
        <v>68</v>
      </c>
      <c r="K149"/>
      <c r="L149" s="151">
        <v>575</v>
      </c>
      <c r="M149" s="151">
        <v>3180</v>
      </c>
      <c r="N149" s="151">
        <v>14949</v>
      </c>
      <c r="O149" s="151">
        <v>20031</v>
      </c>
      <c r="P149" s="151">
        <v>14578</v>
      </c>
      <c r="Q149" s="151">
        <v>8245</v>
      </c>
      <c r="R149" s="151">
        <v>4072</v>
      </c>
      <c r="S149" s="151">
        <v>962</v>
      </c>
      <c r="T149" s="151">
        <v>66592</v>
      </c>
      <c r="U149" s="147"/>
      <c r="V149" s="152">
        <f t="shared" si="77"/>
        <v>8.6346708313310913E-3</v>
      </c>
      <c r="W149" s="152">
        <f t="shared" si="62"/>
        <v>4.7753483901970206E-2</v>
      </c>
      <c r="X149" s="152">
        <f t="shared" si="63"/>
        <v>0.22448642479577127</v>
      </c>
      <c r="Y149" s="152">
        <f t="shared" si="64"/>
        <v>0.30080189812590102</v>
      </c>
      <c r="Z149" s="152">
        <f t="shared" si="65"/>
        <v>0.21891518500720808</v>
      </c>
      <c r="AA149" s="152">
        <f t="shared" si="66"/>
        <v>0.12381367131186929</v>
      </c>
      <c r="AB149" s="152">
        <f t="shared" si="67"/>
        <v>6.1148486304661222E-2</v>
      </c>
      <c r="AC149" s="152">
        <f t="shared" si="68"/>
        <v>1.4446179721287842E-2</v>
      </c>
      <c r="AD149" s="152"/>
      <c r="AE149" s="221">
        <v>14</v>
      </c>
      <c r="AF149" s="221">
        <v>160</v>
      </c>
      <c r="AG149" s="221">
        <v>176</v>
      </c>
      <c r="AH149" s="221">
        <v>6</v>
      </c>
      <c r="AI149" s="221">
        <v>52</v>
      </c>
      <c r="AJ149" s="221">
        <v>49</v>
      </c>
      <c r="AK149" s="221">
        <v>28</v>
      </c>
      <c r="AL149" s="221">
        <v>20</v>
      </c>
      <c r="AM149" s="221">
        <v>505</v>
      </c>
      <c r="AN149" s="147"/>
      <c r="AO149" s="221">
        <v>5</v>
      </c>
      <c r="AP149" s="221">
        <v>13</v>
      </c>
      <c r="AQ149" s="221">
        <v>-11</v>
      </c>
      <c r="AR149" s="221">
        <v>-4</v>
      </c>
      <c r="AS149" s="221">
        <v>-1</v>
      </c>
      <c r="AT149" s="221">
        <v>3</v>
      </c>
      <c r="AU149" s="221">
        <v>-6</v>
      </c>
      <c r="AV149" s="221">
        <v>2</v>
      </c>
      <c r="AW149" s="221">
        <v>1</v>
      </c>
      <c r="AX149" s="56">
        <f t="shared" si="60"/>
        <v>-5</v>
      </c>
      <c r="AY149" s="56">
        <f t="shared" si="60"/>
        <v>-13</v>
      </c>
      <c r="AZ149" s="56">
        <f t="shared" si="60"/>
        <v>11</v>
      </c>
      <c r="BA149" s="56">
        <f t="shared" si="60"/>
        <v>4</v>
      </c>
      <c r="BB149" s="56">
        <f t="shared" si="60"/>
        <v>1</v>
      </c>
      <c r="BC149" s="56">
        <f t="shared" si="60"/>
        <v>-3</v>
      </c>
      <c r="BD149" s="56">
        <f t="shared" si="60"/>
        <v>6</v>
      </c>
      <c r="BE149" s="56">
        <f t="shared" si="59"/>
        <v>-2</v>
      </c>
      <c r="BF149" s="56">
        <f t="shared" si="58"/>
        <v>-1</v>
      </c>
      <c r="BH149">
        <f t="shared" si="69"/>
        <v>1</v>
      </c>
      <c r="BI149">
        <f t="shared" si="78"/>
        <v>0</v>
      </c>
      <c r="BJ149" s="154">
        <v>516679.98</v>
      </c>
      <c r="BK149" s="155">
        <f t="shared" si="70"/>
        <v>516679.98</v>
      </c>
      <c r="BL149" s="156">
        <v>879633.73222222214</v>
      </c>
      <c r="BM149" s="155">
        <f t="shared" si="71"/>
        <v>879633.73222222214</v>
      </c>
      <c r="BN149" s="158">
        <v>786996.58666666667</v>
      </c>
      <c r="BO149" s="155">
        <f t="shared" si="72"/>
        <v>786996.58666666667</v>
      </c>
      <c r="BP149" s="158">
        <v>614499.46666666667</v>
      </c>
      <c r="BQ149" s="155">
        <f t="shared" si="73"/>
        <v>614499.46666666667</v>
      </c>
      <c r="BR149" s="158">
        <v>854268.79999999993</v>
      </c>
      <c r="BS149" s="155">
        <f t="shared" si="74"/>
        <v>854268.79999999993</v>
      </c>
      <c r="BT149" s="194">
        <v>1052129.96</v>
      </c>
      <c r="BU149" s="194"/>
      <c r="BV149" s="348">
        <f t="shared" si="79"/>
        <v>1052129.96</v>
      </c>
      <c r="BW149" s="195">
        <f t="shared" si="75"/>
        <v>819851.00444444455</v>
      </c>
      <c r="BX149" s="157" t="str">
        <f t="shared" si="80"/>
        <v>0</v>
      </c>
      <c r="BY149" s="157">
        <f>IF(E149*$CJ$10*'Year 7 Payments'!$L$20*IF(B149="",1,0.8)&lt;=(BW149-(J149*350)),E149*$CJ$10*'Year 7 Payments'!$L$20*IF(B149="",1,0.8),BW149-(IF(B149="",1,0.8)*J149*350))</f>
        <v>452224.27116444445</v>
      </c>
      <c r="BZ149" s="157" t="str">
        <f t="shared" si="81"/>
        <v>0</v>
      </c>
      <c r="CA149" s="157">
        <f t="shared" si="82"/>
        <v>367626.7332800001</v>
      </c>
      <c r="CB149" s="157">
        <f t="shared" si="83"/>
        <v>0</v>
      </c>
      <c r="CC149" s="157">
        <f t="shared" si="84"/>
        <v>1470506.9331200004</v>
      </c>
      <c r="CD149" s="201">
        <f t="shared" si="85"/>
        <v>0</v>
      </c>
      <c r="CE149" s="155">
        <f t="shared" si="86"/>
        <v>367626.7332800001</v>
      </c>
    </row>
    <row r="150" spans="1:83" x14ac:dyDescent="0.2">
      <c r="A150" s="147" t="s">
        <v>619</v>
      </c>
      <c r="B150" s="57"/>
      <c r="C150" s="57" t="s">
        <v>464</v>
      </c>
      <c r="D150" s="148" t="s">
        <v>178</v>
      </c>
      <c r="E150" s="197">
        <v>148563.22222222222</v>
      </c>
      <c r="F150" s="147">
        <f t="shared" si="76"/>
        <v>184031</v>
      </c>
      <c r="G150" s="342">
        <v>1932</v>
      </c>
      <c r="H150" s="149">
        <f t="shared" si="61"/>
        <v>1450</v>
      </c>
      <c r="I150" s="346">
        <v>657.63599999999985</v>
      </c>
      <c r="J150" s="150">
        <v>126</v>
      </c>
      <c r="K150"/>
      <c r="L150" s="151">
        <v>83601</v>
      </c>
      <c r="M150" s="151">
        <v>34232</v>
      </c>
      <c r="N150" s="151">
        <v>31289</v>
      </c>
      <c r="O150" s="151">
        <v>16430</v>
      </c>
      <c r="P150" s="151">
        <v>11227</v>
      </c>
      <c r="Q150" s="151">
        <v>5030</v>
      </c>
      <c r="R150" s="151">
        <v>2074</v>
      </c>
      <c r="S150" s="151">
        <v>148</v>
      </c>
      <c r="T150" s="151">
        <v>184031</v>
      </c>
      <c r="U150" s="147"/>
      <c r="V150" s="152">
        <f t="shared" si="77"/>
        <v>0.45427672511696399</v>
      </c>
      <c r="W150" s="152">
        <f t="shared" si="62"/>
        <v>0.18601213925914656</v>
      </c>
      <c r="X150" s="152">
        <f t="shared" si="63"/>
        <v>0.1700202683243584</v>
      </c>
      <c r="Y150" s="152">
        <f t="shared" si="64"/>
        <v>8.9278436785106857E-2</v>
      </c>
      <c r="Z150" s="152">
        <f t="shared" si="65"/>
        <v>6.1006026158636317E-2</v>
      </c>
      <c r="AA150" s="152">
        <f t="shared" si="66"/>
        <v>2.7332351614673615E-2</v>
      </c>
      <c r="AB150" s="152">
        <f t="shared" si="67"/>
        <v>1.1269840407322679E-2</v>
      </c>
      <c r="AC150" s="152">
        <f t="shared" si="68"/>
        <v>8.0421233379158942E-4</v>
      </c>
      <c r="AD150" s="152"/>
      <c r="AE150" s="221">
        <v>502</v>
      </c>
      <c r="AF150" s="221">
        <v>138</v>
      </c>
      <c r="AG150" s="221">
        <v>120</v>
      </c>
      <c r="AH150" s="221">
        <v>117</v>
      </c>
      <c r="AI150" s="221">
        <v>177</v>
      </c>
      <c r="AJ150" s="221">
        <v>74</v>
      </c>
      <c r="AK150" s="221">
        <v>34</v>
      </c>
      <c r="AL150" s="221">
        <v>3</v>
      </c>
      <c r="AM150" s="221">
        <v>1165</v>
      </c>
      <c r="AN150" s="147"/>
      <c r="AO150" s="221">
        <v>-189</v>
      </c>
      <c r="AP150" s="221">
        <v>-94</v>
      </c>
      <c r="AQ150" s="221">
        <v>-7</v>
      </c>
      <c r="AR150" s="221">
        <v>4</v>
      </c>
      <c r="AS150" s="221">
        <v>-5</v>
      </c>
      <c r="AT150" s="221">
        <v>10</v>
      </c>
      <c r="AU150" s="221">
        <v>-2</v>
      </c>
      <c r="AV150" s="221">
        <v>-2</v>
      </c>
      <c r="AW150" s="221">
        <v>-285</v>
      </c>
      <c r="AX150" s="56">
        <f t="shared" si="60"/>
        <v>189</v>
      </c>
      <c r="AY150" s="56">
        <f t="shared" si="60"/>
        <v>94</v>
      </c>
      <c r="AZ150" s="56">
        <f t="shared" si="60"/>
        <v>7</v>
      </c>
      <c r="BA150" s="56">
        <f t="shared" ref="BA150:BF201" si="87">AR150*$AW$3</f>
        <v>-4</v>
      </c>
      <c r="BB150" s="56">
        <f t="shared" si="87"/>
        <v>5</v>
      </c>
      <c r="BC150" s="56">
        <f t="shared" si="87"/>
        <v>-10</v>
      </c>
      <c r="BD150" s="56">
        <f t="shared" si="87"/>
        <v>2</v>
      </c>
      <c r="BE150" s="56">
        <f t="shared" si="59"/>
        <v>2</v>
      </c>
      <c r="BF150" s="56">
        <f t="shared" si="58"/>
        <v>285</v>
      </c>
      <c r="BH150">
        <f t="shared" si="69"/>
        <v>1</v>
      </c>
      <c r="BI150">
        <f t="shared" si="78"/>
        <v>0</v>
      </c>
      <c r="BJ150" s="154">
        <v>1273869.6133333333</v>
      </c>
      <c r="BK150" s="155">
        <f t="shared" si="70"/>
        <v>1273869.6133333333</v>
      </c>
      <c r="BL150" s="156">
        <v>1476799.6033333333</v>
      </c>
      <c r="BM150" s="155">
        <f t="shared" si="71"/>
        <v>1476799.6033333333</v>
      </c>
      <c r="BN150" s="158">
        <v>1257948.3400000001</v>
      </c>
      <c r="BO150" s="155">
        <f t="shared" si="72"/>
        <v>1257948.3400000001</v>
      </c>
      <c r="BP150" s="158">
        <v>2060357.4666666663</v>
      </c>
      <c r="BQ150" s="155">
        <f t="shared" si="73"/>
        <v>2060357.4666666663</v>
      </c>
      <c r="BR150" s="158">
        <v>1590654.2866666669</v>
      </c>
      <c r="BS150" s="155">
        <f t="shared" si="74"/>
        <v>1590654.2866666669</v>
      </c>
      <c r="BT150" s="194">
        <v>1200591.8555555558</v>
      </c>
      <c r="BU150" s="194"/>
      <c r="BV150" s="348">
        <f t="shared" si="79"/>
        <v>1200591.8555555558</v>
      </c>
      <c r="BW150" s="195">
        <f t="shared" si="75"/>
        <v>1958939.1688888888</v>
      </c>
      <c r="BX150" s="157" t="str">
        <f t="shared" si="80"/>
        <v>0</v>
      </c>
      <c r="BY150" s="157">
        <f>IF(E150*$CJ$10*'Year 7 Payments'!$L$20*IF(B150="",1,0.8)&lt;=(BW150-(J150*350)),E150*$CJ$10*'Year 7 Payments'!$L$20*IF(B150="",1,0.8),BW150-(IF(B150="",1,0.8)*J150*350))</f>
        <v>908945.44872888888</v>
      </c>
      <c r="BZ150" s="157" t="str">
        <f t="shared" si="81"/>
        <v>0</v>
      </c>
      <c r="CA150" s="157">
        <f t="shared" si="82"/>
        <v>1049993.72016</v>
      </c>
      <c r="CB150" s="157">
        <f t="shared" si="83"/>
        <v>0</v>
      </c>
      <c r="CC150" s="157">
        <f t="shared" si="84"/>
        <v>4199974.8806400001</v>
      </c>
      <c r="CD150" s="201">
        <f t="shared" si="85"/>
        <v>0</v>
      </c>
      <c r="CE150" s="155">
        <f t="shared" si="86"/>
        <v>1049993.72016</v>
      </c>
    </row>
    <row r="151" spans="1:83" x14ac:dyDescent="0.2">
      <c r="A151" s="147" t="s">
        <v>620</v>
      </c>
      <c r="B151" s="57"/>
      <c r="C151" s="57" t="s">
        <v>446</v>
      </c>
      <c r="D151" s="148" t="s">
        <v>179</v>
      </c>
      <c r="E151" s="197">
        <v>49399.000000000007</v>
      </c>
      <c r="F151" s="147">
        <f t="shared" si="76"/>
        <v>66281</v>
      </c>
      <c r="G151" s="342">
        <v>857</v>
      </c>
      <c r="H151" s="149">
        <f t="shared" si="61"/>
        <v>329</v>
      </c>
      <c r="I151" s="346">
        <v>85.626222222222196</v>
      </c>
      <c r="J151" s="150">
        <v>56</v>
      </c>
      <c r="K151"/>
      <c r="L151" s="151">
        <v>37520</v>
      </c>
      <c r="M151" s="151">
        <v>13732</v>
      </c>
      <c r="N151" s="151">
        <v>9017</v>
      </c>
      <c r="O151" s="151">
        <v>3983</v>
      </c>
      <c r="P151" s="151">
        <v>1602</v>
      </c>
      <c r="Q151" s="151">
        <v>282</v>
      </c>
      <c r="R151" s="151">
        <v>128</v>
      </c>
      <c r="S151" s="151">
        <v>17</v>
      </c>
      <c r="T151" s="151">
        <v>66281</v>
      </c>
      <c r="U151" s="147"/>
      <c r="V151" s="152">
        <f t="shared" si="77"/>
        <v>0.56607474238469546</v>
      </c>
      <c r="W151" s="152">
        <f t="shared" si="62"/>
        <v>0.20717852778322596</v>
      </c>
      <c r="X151" s="152">
        <f t="shared" si="63"/>
        <v>0.13604200298728142</v>
      </c>
      <c r="Y151" s="152">
        <f t="shared" si="64"/>
        <v>6.0092635898673828E-2</v>
      </c>
      <c r="Z151" s="152">
        <f t="shared" si="65"/>
        <v>2.4169822422715408E-2</v>
      </c>
      <c r="AA151" s="152">
        <f t="shared" si="66"/>
        <v>4.2546129358337981E-3</v>
      </c>
      <c r="AB151" s="152">
        <f t="shared" si="67"/>
        <v>1.9311718290309439E-3</v>
      </c>
      <c r="AC151" s="152">
        <f t="shared" si="68"/>
        <v>2.5648375854317223E-4</v>
      </c>
      <c r="AD151" s="152"/>
      <c r="AE151" s="221">
        <v>128</v>
      </c>
      <c r="AF151" s="221">
        <v>143</v>
      </c>
      <c r="AG151" s="221">
        <v>64</v>
      </c>
      <c r="AH151" s="221">
        <v>48</v>
      </c>
      <c r="AI151" s="221">
        <v>18</v>
      </c>
      <c r="AJ151" s="221">
        <v>6</v>
      </c>
      <c r="AK151" s="221">
        <v>0</v>
      </c>
      <c r="AL151" s="221">
        <v>0</v>
      </c>
      <c r="AM151" s="221">
        <v>407</v>
      </c>
      <c r="AN151" s="147"/>
      <c r="AO151" s="221">
        <v>95</v>
      </c>
      <c r="AP151" s="221">
        <v>1</v>
      </c>
      <c r="AQ151" s="221">
        <v>-17</v>
      </c>
      <c r="AR151" s="221">
        <v>-1</v>
      </c>
      <c r="AS151" s="221">
        <v>-3</v>
      </c>
      <c r="AT151" s="221">
        <v>2</v>
      </c>
      <c r="AU151" s="221">
        <v>1</v>
      </c>
      <c r="AV151" s="221">
        <v>0</v>
      </c>
      <c r="AW151" s="221">
        <v>78</v>
      </c>
      <c r="AX151" s="56">
        <f t="shared" ref="AX151:BC214" si="88">AO151*$AW$3</f>
        <v>-95</v>
      </c>
      <c r="AY151" s="56">
        <f t="shared" si="88"/>
        <v>-1</v>
      </c>
      <c r="AZ151" s="56">
        <f t="shared" si="88"/>
        <v>17</v>
      </c>
      <c r="BA151" s="56">
        <f t="shared" si="87"/>
        <v>1</v>
      </c>
      <c r="BB151" s="56">
        <f t="shared" si="87"/>
        <v>3</v>
      </c>
      <c r="BC151" s="56">
        <f t="shared" si="87"/>
        <v>-2</v>
      </c>
      <c r="BD151" s="56">
        <f t="shared" si="87"/>
        <v>-1</v>
      </c>
      <c r="BE151" s="56">
        <f t="shared" si="59"/>
        <v>0</v>
      </c>
      <c r="BF151" s="56">
        <f t="shared" si="58"/>
        <v>-78</v>
      </c>
      <c r="BH151">
        <f t="shared" si="69"/>
        <v>1</v>
      </c>
      <c r="BI151">
        <f t="shared" si="78"/>
        <v>0</v>
      </c>
      <c r="BJ151" s="154">
        <v>57568.800000000003</v>
      </c>
      <c r="BK151" s="155">
        <f t="shared" si="70"/>
        <v>57568.800000000003</v>
      </c>
      <c r="BL151" s="156">
        <v>317882.00555555557</v>
      </c>
      <c r="BM151" s="155">
        <f t="shared" si="71"/>
        <v>317882.00555555557</v>
      </c>
      <c r="BN151" s="158">
        <v>488593.11111111112</v>
      </c>
      <c r="BO151" s="155">
        <f t="shared" si="72"/>
        <v>488593.11111111112</v>
      </c>
      <c r="BP151" s="158">
        <v>441454.8</v>
      </c>
      <c r="BQ151" s="155">
        <f t="shared" si="73"/>
        <v>441454.8</v>
      </c>
      <c r="BR151" s="158">
        <v>593640.99555555545</v>
      </c>
      <c r="BS151" s="155">
        <f t="shared" si="74"/>
        <v>593640.99555555545</v>
      </c>
      <c r="BT151" s="194">
        <v>692779.23555555556</v>
      </c>
      <c r="BU151" s="194"/>
      <c r="BV151" s="348">
        <f t="shared" si="79"/>
        <v>692779.23555555556</v>
      </c>
      <c r="BW151" s="195">
        <f t="shared" si="75"/>
        <v>452805.38222222216</v>
      </c>
      <c r="BX151" s="157" t="str">
        <f t="shared" si="80"/>
        <v>0</v>
      </c>
      <c r="BY151" s="157">
        <f>IF(E151*$CJ$10*'Year 7 Payments'!$L$20*IF(B151="",1,0.8)&lt;=(BW151-(J151*350)),E151*$CJ$10*'Year 7 Payments'!$L$20*IF(B151="",1,0.8),BW151-(IF(B151="",1,0.8)*J151*350))</f>
        <v>302234.93776000006</v>
      </c>
      <c r="BZ151" s="157" t="str">
        <f t="shared" si="81"/>
        <v>0</v>
      </c>
      <c r="CA151" s="157">
        <f t="shared" si="82"/>
        <v>150570.44446222211</v>
      </c>
      <c r="CB151" s="157">
        <f t="shared" si="83"/>
        <v>0</v>
      </c>
      <c r="CC151" s="157">
        <f t="shared" si="84"/>
        <v>602281.77784888842</v>
      </c>
      <c r="CD151" s="201">
        <f t="shared" si="85"/>
        <v>0</v>
      </c>
      <c r="CE151" s="155">
        <f t="shared" si="86"/>
        <v>150570.44446222211</v>
      </c>
    </row>
    <row r="152" spans="1:83" x14ac:dyDescent="0.2">
      <c r="A152" s="147" t="s">
        <v>621</v>
      </c>
      <c r="B152" s="57"/>
      <c r="C152" s="57" t="s">
        <v>461</v>
      </c>
      <c r="D152" s="148" t="s">
        <v>180</v>
      </c>
      <c r="E152" s="197">
        <v>135323.44444444444</v>
      </c>
      <c r="F152" s="147">
        <f t="shared" si="76"/>
        <v>139478</v>
      </c>
      <c r="G152" s="342">
        <v>756</v>
      </c>
      <c r="H152" s="149">
        <f t="shared" si="61"/>
        <v>1655</v>
      </c>
      <c r="I152" s="346">
        <v>1123.5951111111112</v>
      </c>
      <c r="J152" s="150">
        <v>238</v>
      </c>
      <c r="K152"/>
      <c r="L152" s="151">
        <v>4858</v>
      </c>
      <c r="M152" s="151">
        <v>32838</v>
      </c>
      <c r="N152" s="151">
        <v>40619</v>
      </c>
      <c r="O152" s="151">
        <v>31211</v>
      </c>
      <c r="P152" s="151">
        <v>14774</v>
      </c>
      <c r="Q152" s="151">
        <v>9055</v>
      </c>
      <c r="R152" s="151">
        <v>5305</v>
      </c>
      <c r="S152" s="151">
        <v>818</v>
      </c>
      <c r="T152" s="151">
        <v>139478</v>
      </c>
      <c r="U152" s="147"/>
      <c r="V152" s="152">
        <f t="shared" si="77"/>
        <v>3.4829865641893346E-2</v>
      </c>
      <c r="W152" s="152">
        <f t="shared" si="62"/>
        <v>0.23543497899310287</v>
      </c>
      <c r="X152" s="152">
        <f t="shared" si="63"/>
        <v>0.29122155465378052</v>
      </c>
      <c r="Y152" s="152">
        <f t="shared" si="64"/>
        <v>0.22377005692654039</v>
      </c>
      <c r="Z152" s="152">
        <f t="shared" si="65"/>
        <v>0.10592351481954143</v>
      </c>
      <c r="AA152" s="152">
        <f t="shared" si="66"/>
        <v>6.4920632644574774E-2</v>
      </c>
      <c r="AB152" s="152">
        <f t="shared" si="67"/>
        <v>3.8034672134673569E-2</v>
      </c>
      <c r="AC152" s="152">
        <f t="shared" si="68"/>
        <v>5.864724185893116E-3</v>
      </c>
      <c r="AD152" s="152"/>
      <c r="AE152" s="221">
        <v>59</v>
      </c>
      <c r="AF152" s="221">
        <v>-86</v>
      </c>
      <c r="AG152" s="221">
        <v>465</v>
      </c>
      <c r="AH152" s="221">
        <v>470</v>
      </c>
      <c r="AI152" s="221">
        <v>260</v>
      </c>
      <c r="AJ152" s="221">
        <v>86</v>
      </c>
      <c r="AK152" s="221">
        <v>8</v>
      </c>
      <c r="AL152" s="221">
        <v>7</v>
      </c>
      <c r="AM152" s="221">
        <v>1269</v>
      </c>
      <c r="AN152" s="147"/>
      <c r="AO152" s="221">
        <v>-11</v>
      </c>
      <c r="AP152" s="221">
        <v>-218</v>
      </c>
      <c r="AQ152" s="221">
        <v>-87</v>
      </c>
      <c r="AR152" s="221">
        <v>-33</v>
      </c>
      <c r="AS152" s="221">
        <v>-14</v>
      </c>
      <c r="AT152" s="221">
        <v>-10</v>
      </c>
      <c r="AU152" s="221">
        <v>-15</v>
      </c>
      <c r="AV152" s="221">
        <v>2</v>
      </c>
      <c r="AW152" s="221">
        <v>-386</v>
      </c>
      <c r="AX152" s="56">
        <f t="shared" si="88"/>
        <v>11</v>
      </c>
      <c r="AY152" s="56">
        <f t="shared" si="88"/>
        <v>218</v>
      </c>
      <c r="AZ152" s="56">
        <f t="shared" si="88"/>
        <v>87</v>
      </c>
      <c r="BA152" s="56">
        <f t="shared" si="87"/>
        <v>33</v>
      </c>
      <c r="BB152" s="56">
        <f t="shared" si="87"/>
        <v>14</v>
      </c>
      <c r="BC152" s="56">
        <f t="shared" si="87"/>
        <v>10</v>
      </c>
      <c r="BD152" s="56">
        <f t="shared" si="87"/>
        <v>15</v>
      </c>
      <c r="BE152" s="56">
        <f t="shared" si="59"/>
        <v>-2</v>
      </c>
      <c r="BF152" s="56">
        <f t="shared" si="58"/>
        <v>386</v>
      </c>
      <c r="BH152">
        <f t="shared" si="69"/>
        <v>1</v>
      </c>
      <c r="BI152">
        <f t="shared" si="78"/>
        <v>0</v>
      </c>
      <c r="BJ152" s="154">
        <v>1972530.9666666666</v>
      </c>
      <c r="BK152" s="155">
        <f t="shared" si="70"/>
        <v>1972530.9666666666</v>
      </c>
      <c r="BL152" s="156">
        <v>2474601.8244444444</v>
      </c>
      <c r="BM152" s="155">
        <f t="shared" si="71"/>
        <v>2474601.8244444444</v>
      </c>
      <c r="BN152" s="158">
        <v>1895350.7811111112</v>
      </c>
      <c r="BO152" s="155">
        <f t="shared" si="72"/>
        <v>1895350.7811111112</v>
      </c>
      <c r="BP152" s="158">
        <v>1957515.0666666667</v>
      </c>
      <c r="BQ152" s="155">
        <f t="shared" si="73"/>
        <v>1957515.0666666667</v>
      </c>
      <c r="BR152" s="158">
        <v>2862474.8933333335</v>
      </c>
      <c r="BS152" s="155">
        <f t="shared" si="74"/>
        <v>2862474.8933333335</v>
      </c>
      <c r="BT152" s="194">
        <v>2857560.6577777779</v>
      </c>
      <c r="BU152" s="194"/>
      <c r="BV152" s="348">
        <f t="shared" si="79"/>
        <v>2857560.6577777779</v>
      </c>
      <c r="BW152" s="195">
        <f t="shared" si="75"/>
        <v>2629847.4488888886</v>
      </c>
      <c r="BX152" s="157" t="str">
        <f t="shared" si="80"/>
        <v>0</v>
      </c>
      <c r="BY152" s="157">
        <f>IF(E152*$CJ$10*'Year 7 Payments'!$L$20*IF(B152="",1,0.8)&lt;=(BW152-(J152*350)),E152*$CJ$10*'Year 7 Payments'!$L$20*IF(B152="",1,0.8),BW152-(IF(B152="",1,0.8)*J152*350))</f>
        <v>827941.31073777773</v>
      </c>
      <c r="BZ152" s="157" t="str">
        <f t="shared" si="81"/>
        <v>0</v>
      </c>
      <c r="CA152" s="157">
        <f t="shared" si="82"/>
        <v>1801906.1381511108</v>
      </c>
      <c r="CB152" s="157">
        <f t="shared" si="83"/>
        <v>0</v>
      </c>
      <c r="CC152" s="157">
        <f t="shared" si="84"/>
        <v>7207624.5526044434</v>
      </c>
      <c r="CD152" s="201">
        <f t="shared" si="85"/>
        <v>0</v>
      </c>
      <c r="CE152" s="155">
        <f t="shared" si="86"/>
        <v>1801906.1381511108</v>
      </c>
    </row>
    <row r="153" spans="1:83" x14ac:dyDescent="0.2">
      <c r="A153" s="147" t="s">
        <v>622</v>
      </c>
      <c r="B153" s="57" t="s">
        <v>503</v>
      </c>
      <c r="C153" s="57" t="s">
        <v>446</v>
      </c>
      <c r="D153" s="148" t="s">
        <v>181</v>
      </c>
      <c r="E153" s="197">
        <v>52296.666666666664</v>
      </c>
      <c r="F153" s="147">
        <f t="shared" si="76"/>
        <v>63648</v>
      </c>
      <c r="G153" s="342">
        <v>1006</v>
      </c>
      <c r="H153" s="149">
        <f t="shared" si="61"/>
        <v>546</v>
      </c>
      <c r="I153" s="346">
        <v>301.59111111111105</v>
      </c>
      <c r="J153" s="150">
        <v>112</v>
      </c>
      <c r="K153"/>
      <c r="L153" s="151">
        <v>22378</v>
      </c>
      <c r="M153" s="151">
        <v>16016</v>
      </c>
      <c r="N153" s="151">
        <v>12212</v>
      </c>
      <c r="O153" s="151">
        <v>6334</v>
      </c>
      <c r="P153" s="151">
        <v>3878</v>
      </c>
      <c r="Q153" s="151">
        <v>1925</v>
      </c>
      <c r="R153" s="151">
        <v>831</v>
      </c>
      <c r="S153" s="151">
        <v>74</v>
      </c>
      <c r="T153" s="151">
        <v>63648</v>
      </c>
      <c r="U153" s="147"/>
      <c r="V153" s="152">
        <f t="shared" si="77"/>
        <v>0.35158999497234794</v>
      </c>
      <c r="W153" s="152">
        <f t="shared" si="62"/>
        <v>0.25163398692810457</v>
      </c>
      <c r="X153" s="152">
        <f t="shared" si="63"/>
        <v>0.1918677727501257</v>
      </c>
      <c r="Y153" s="152">
        <f t="shared" si="64"/>
        <v>9.9516088486676715E-2</v>
      </c>
      <c r="Z153" s="152">
        <f t="shared" si="65"/>
        <v>6.0928858722976369E-2</v>
      </c>
      <c r="AA153" s="152">
        <f t="shared" si="66"/>
        <v>3.0244469582704877E-2</v>
      </c>
      <c r="AB153" s="152">
        <f t="shared" si="67"/>
        <v>1.3056184012066365E-2</v>
      </c>
      <c r="AC153" s="152">
        <f t="shared" si="68"/>
        <v>1.1626445449974862E-3</v>
      </c>
      <c r="AD153" s="152"/>
      <c r="AE153" s="221">
        <v>134</v>
      </c>
      <c r="AF153" s="221">
        <v>125</v>
      </c>
      <c r="AG153" s="221">
        <v>154</v>
      </c>
      <c r="AH153" s="221">
        <v>130</v>
      </c>
      <c r="AI153" s="221">
        <v>65</v>
      </c>
      <c r="AJ153" s="221">
        <v>37</v>
      </c>
      <c r="AK153" s="221">
        <v>-2</v>
      </c>
      <c r="AL153" s="221">
        <v>1</v>
      </c>
      <c r="AM153" s="221">
        <v>644</v>
      </c>
      <c r="AN153" s="147"/>
      <c r="AO153" s="221">
        <v>65</v>
      </c>
      <c r="AP153" s="221">
        <v>1</v>
      </c>
      <c r="AQ153" s="221">
        <v>-2</v>
      </c>
      <c r="AR153" s="221">
        <v>35</v>
      </c>
      <c r="AS153" s="221">
        <v>4</v>
      </c>
      <c r="AT153" s="221">
        <v>-3</v>
      </c>
      <c r="AU153" s="221">
        <v>-1</v>
      </c>
      <c r="AV153" s="221">
        <v>-1</v>
      </c>
      <c r="AW153" s="221">
        <v>98</v>
      </c>
      <c r="AX153" s="56">
        <f t="shared" si="88"/>
        <v>-65</v>
      </c>
      <c r="AY153" s="56">
        <f t="shared" si="88"/>
        <v>-1</v>
      </c>
      <c r="AZ153" s="56">
        <f t="shared" si="88"/>
        <v>2</v>
      </c>
      <c r="BA153" s="56">
        <f t="shared" si="87"/>
        <v>-35</v>
      </c>
      <c r="BB153" s="56">
        <f t="shared" si="87"/>
        <v>-4</v>
      </c>
      <c r="BC153" s="56">
        <f t="shared" si="87"/>
        <v>3</v>
      </c>
      <c r="BD153" s="56">
        <f t="shared" si="87"/>
        <v>1</v>
      </c>
      <c r="BE153" s="56">
        <f t="shared" si="59"/>
        <v>1</v>
      </c>
      <c r="BF153" s="56">
        <f t="shared" si="58"/>
        <v>-98</v>
      </c>
      <c r="BH153">
        <f t="shared" si="69"/>
        <v>0.8</v>
      </c>
      <c r="BI153">
        <f t="shared" si="78"/>
        <v>0.19999999999999996</v>
      </c>
      <c r="BJ153" s="154">
        <v>231426.57600000003</v>
      </c>
      <c r="BK153" s="155">
        <f t="shared" si="70"/>
        <v>231426.57600000003</v>
      </c>
      <c r="BL153" s="156">
        <v>230380.84</v>
      </c>
      <c r="BM153" s="155">
        <f t="shared" si="71"/>
        <v>230380.84</v>
      </c>
      <c r="BN153" s="158">
        <v>267358.13066666666</v>
      </c>
      <c r="BO153" s="155">
        <f t="shared" si="72"/>
        <v>267358.13066666666</v>
      </c>
      <c r="BP153" s="158">
        <v>298722.45333333331</v>
      </c>
      <c r="BQ153" s="155">
        <f t="shared" si="73"/>
        <v>298722.45333333331</v>
      </c>
      <c r="BR153" s="158">
        <v>252106.31288888888</v>
      </c>
      <c r="BS153" s="155">
        <f t="shared" si="74"/>
        <v>252106.31288888888</v>
      </c>
      <c r="BT153" s="194">
        <v>635979.45600000012</v>
      </c>
      <c r="BU153" s="194"/>
      <c r="BV153" s="348">
        <f t="shared" si="79"/>
        <v>635979.45600000012</v>
      </c>
      <c r="BW153" s="195">
        <f t="shared" si="75"/>
        <v>656372.20622222219</v>
      </c>
      <c r="BX153" s="157">
        <f t="shared" si="80"/>
        <v>164093.05155555555</v>
      </c>
      <c r="BY153" s="157">
        <f>IF(E153*$CJ$10*'Year 7 Payments'!$L$20*IF(B153="",1,0.8)&lt;=(BW153-(J153*350)),E153*$CJ$10*'Year 7 Payments'!$L$20*IF(B153="",1,0.8),BW153-(IF(B153="",1,0.8)*J153*350))</f>
        <v>255970.84629333334</v>
      </c>
      <c r="BZ153" s="157">
        <f t="shared" si="81"/>
        <v>63992.711573333334</v>
      </c>
      <c r="CA153" s="157">
        <f t="shared" si="82"/>
        <v>400401.35992888885</v>
      </c>
      <c r="CB153" s="157">
        <f t="shared" si="83"/>
        <v>100100.33998222221</v>
      </c>
      <c r="CC153" s="157">
        <f t="shared" si="84"/>
        <v>1601605.4397155554</v>
      </c>
      <c r="CD153" s="201">
        <f t="shared" si="85"/>
        <v>400401.35992888885</v>
      </c>
      <c r="CE153" s="155">
        <f t="shared" si="86"/>
        <v>400401.35992888885</v>
      </c>
    </row>
    <row r="154" spans="1:83" x14ac:dyDescent="0.2">
      <c r="A154" s="147" t="s">
        <v>623</v>
      </c>
      <c r="B154" s="57"/>
      <c r="C154" s="57" t="s">
        <v>464</v>
      </c>
      <c r="D154" s="148" t="s">
        <v>182</v>
      </c>
      <c r="E154" s="197">
        <v>287989.77777777781</v>
      </c>
      <c r="F154" s="147">
        <f t="shared" si="76"/>
        <v>347787</v>
      </c>
      <c r="G154" s="342">
        <v>2574</v>
      </c>
      <c r="H154" s="149">
        <f t="shared" si="61"/>
        <v>2987</v>
      </c>
      <c r="I154" s="346">
        <v>1534.8186666666666</v>
      </c>
      <c r="J154" s="150">
        <v>445</v>
      </c>
      <c r="K154"/>
      <c r="L154" s="151">
        <v>135807</v>
      </c>
      <c r="M154" s="151">
        <v>74091</v>
      </c>
      <c r="N154" s="151">
        <v>66708</v>
      </c>
      <c r="O154" s="151">
        <v>33277</v>
      </c>
      <c r="P154" s="151">
        <v>20640</v>
      </c>
      <c r="Q154" s="151">
        <v>9797</v>
      </c>
      <c r="R154" s="151">
        <v>6771</v>
      </c>
      <c r="S154" s="151">
        <v>696</v>
      </c>
      <c r="T154" s="151">
        <v>347787</v>
      </c>
      <c r="U154" s="147"/>
      <c r="V154" s="152">
        <f t="shared" si="77"/>
        <v>0.39048900620207194</v>
      </c>
      <c r="W154" s="152">
        <f t="shared" si="62"/>
        <v>0.21303556487160244</v>
      </c>
      <c r="X154" s="152">
        <f t="shared" si="63"/>
        <v>0.19180705431772896</v>
      </c>
      <c r="Y154" s="152">
        <f t="shared" si="64"/>
        <v>9.5682127279052981E-2</v>
      </c>
      <c r="Z154" s="152">
        <f t="shared" si="65"/>
        <v>5.9346669081938086E-2</v>
      </c>
      <c r="AA154" s="152">
        <f t="shared" si="66"/>
        <v>2.8169540552119544E-2</v>
      </c>
      <c r="AB154" s="152">
        <f t="shared" si="67"/>
        <v>1.946881280783928E-2</v>
      </c>
      <c r="AC154" s="152">
        <f t="shared" si="68"/>
        <v>2.0012248876467493E-3</v>
      </c>
      <c r="AD154" s="152"/>
      <c r="AE154" s="221">
        <v>869</v>
      </c>
      <c r="AF154" s="221">
        <v>540</v>
      </c>
      <c r="AG154" s="221">
        <v>537</v>
      </c>
      <c r="AH154" s="221">
        <v>282</v>
      </c>
      <c r="AI154" s="221">
        <v>439</v>
      </c>
      <c r="AJ154" s="221">
        <v>132</v>
      </c>
      <c r="AK154" s="221">
        <v>80</v>
      </c>
      <c r="AL154" s="221">
        <v>3</v>
      </c>
      <c r="AM154" s="221">
        <v>2882</v>
      </c>
      <c r="AN154" s="147"/>
      <c r="AO154" s="221">
        <v>-123</v>
      </c>
      <c r="AP154" s="221">
        <v>-16</v>
      </c>
      <c r="AQ154" s="221">
        <v>17</v>
      </c>
      <c r="AR154" s="221">
        <v>15</v>
      </c>
      <c r="AS154" s="221">
        <v>5</v>
      </c>
      <c r="AT154" s="221">
        <v>-6</v>
      </c>
      <c r="AU154" s="221">
        <v>2</v>
      </c>
      <c r="AV154" s="221">
        <v>1</v>
      </c>
      <c r="AW154" s="221">
        <v>-105</v>
      </c>
      <c r="AX154" s="56">
        <f t="shared" si="88"/>
        <v>123</v>
      </c>
      <c r="AY154" s="56">
        <f t="shared" si="88"/>
        <v>16</v>
      </c>
      <c r="AZ154" s="56">
        <f t="shared" si="88"/>
        <v>-17</v>
      </c>
      <c r="BA154" s="56">
        <f t="shared" si="87"/>
        <v>-15</v>
      </c>
      <c r="BB154" s="56">
        <f t="shared" si="87"/>
        <v>-5</v>
      </c>
      <c r="BC154" s="56">
        <f t="shared" si="87"/>
        <v>6</v>
      </c>
      <c r="BD154" s="56">
        <f t="shared" si="87"/>
        <v>-2</v>
      </c>
      <c r="BE154" s="56">
        <f t="shared" si="59"/>
        <v>-1</v>
      </c>
      <c r="BF154" s="56">
        <f t="shared" si="58"/>
        <v>105</v>
      </c>
      <c r="BH154">
        <f t="shared" si="69"/>
        <v>1</v>
      </c>
      <c r="BI154">
        <f t="shared" si="78"/>
        <v>0</v>
      </c>
      <c r="BJ154" s="154">
        <v>2732599.04</v>
      </c>
      <c r="BK154" s="155">
        <f t="shared" si="70"/>
        <v>2732599.04</v>
      </c>
      <c r="BL154" s="156">
        <v>2739980.1066666669</v>
      </c>
      <c r="BM154" s="155">
        <f t="shared" si="71"/>
        <v>2739980.1066666669</v>
      </c>
      <c r="BN154" s="158">
        <v>2503532.2255555559</v>
      </c>
      <c r="BO154" s="155">
        <f t="shared" si="72"/>
        <v>2503532.2255555559</v>
      </c>
      <c r="BP154" s="158">
        <v>3008196.666666666</v>
      </c>
      <c r="BQ154" s="155">
        <f t="shared" si="73"/>
        <v>3008196.666666666</v>
      </c>
      <c r="BR154" s="158">
        <v>2642987.7777777775</v>
      </c>
      <c r="BS154" s="155">
        <f t="shared" si="74"/>
        <v>2642987.7777777775</v>
      </c>
      <c r="BT154" s="194">
        <v>3487577.535555555</v>
      </c>
      <c r="BU154" s="194"/>
      <c r="BV154" s="348">
        <f t="shared" si="79"/>
        <v>3487577.535555555</v>
      </c>
      <c r="BW154" s="195">
        <f t="shared" si="75"/>
        <v>4265337.8177777771</v>
      </c>
      <c r="BX154" s="157" t="str">
        <f t="shared" si="80"/>
        <v>0</v>
      </c>
      <c r="BY154" s="157">
        <f>IF(E154*$CJ$10*'Year 7 Payments'!$L$20*IF(B154="",1,0.8)&lt;=(BW154-(J154*350)),E154*$CJ$10*'Year 7 Payments'!$L$20*IF(B154="",1,0.8),BW154-(IF(B154="",1,0.8)*J154*350))</f>
        <v>1761990.5779911112</v>
      </c>
      <c r="BZ154" s="157" t="str">
        <f t="shared" si="81"/>
        <v>0</v>
      </c>
      <c r="CA154" s="157">
        <f t="shared" si="82"/>
        <v>2503347.2397866659</v>
      </c>
      <c r="CB154" s="157">
        <f t="shared" si="83"/>
        <v>0</v>
      </c>
      <c r="CC154" s="157">
        <f t="shared" si="84"/>
        <v>10013388.959146664</v>
      </c>
      <c r="CD154" s="201">
        <f t="shared" si="85"/>
        <v>0</v>
      </c>
      <c r="CE154" s="155">
        <f t="shared" si="86"/>
        <v>2503347.2397866659</v>
      </c>
    </row>
    <row r="155" spans="1:83" x14ac:dyDescent="0.2">
      <c r="A155" s="147" t="s">
        <v>624</v>
      </c>
      <c r="B155" s="57"/>
      <c r="C155" s="57" t="s">
        <v>449</v>
      </c>
      <c r="D155" s="148" t="s">
        <v>183</v>
      </c>
      <c r="E155" s="197">
        <v>99621.888888888876</v>
      </c>
      <c r="F155" s="147">
        <f t="shared" si="76"/>
        <v>134053</v>
      </c>
      <c r="G155" s="342">
        <v>1336</v>
      </c>
      <c r="H155" s="149">
        <f t="shared" si="61"/>
        <v>1328</v>
      </c>
      <c r="I155" s="346">
        <v>590.9568888888889</v>
      </c>
      <c r="J155" s="150">
        <v>103</v>
      </c>
      <c r="K155"/>
      <c r="L155" s="151">
        <v>80131</v>
      </c>
      <c r="M155" s="151">
        <v>26164</v>
      </c>
      <c r="N155" s="151">
        <v>15580</v>
      </c>
      <c r="O155" s="151">
        <v>6760</v>
      </c>
      <c r="P155" s="151">
        <v>3297</v>
      </c>
      <c r="Q155" s="151">
        <v>1462</v>
      </c>
      <c r="R155" s="151">
        <v>600</v>
      </c>
      <c r="S155" s="151">
        <v>59</v>
      </c>
      <c r="T155" s="151">
        <v>134053</v>
      </c>
      <c r="U155" s="147"/>
      <c r="V155" s="152">
        <f t="shared" si="77"/>
        <v>0.59775611138877904</v>
      </c>
      <c r="W155" s="152">
        <f t="shared" si="62"/>
        <v>0.19517653465420393</v>
      </c>
      <c r="X155" s="152">
        <f t="shared" si="63"/>
        <v>0.1162226880412971</v>
      </c>
      <c r="Y155" s="152">
        <f t="shared" si="64"/>
        <v>5.0427815863874736E-2</v>
      </c>
      <c r="Z155" s="152">
        <f t="shared" si="65"/>
        <v>2.4594749837750739E-2</v>
      </c>
      <c r="AA155" s="152">
        <f t="shared" si="66"/>
        <v>1.0906134140974093E-2</v>
      </c>
      <c r="AB155" s="152">
        <f t="shared" si="67"/>
        <v>4.4758416447226099E-3</v>
      </c>
      <c r="AC155" s="152">
        <f t="shared" si="68"/>
        <v>4.4012442839772329E-4</v>
      </c>
      <c r="AD155" s="152"/>
      <c r="AE155" s="221">
        <v>745</v>
      </c>
      <c r="AF155" s="221">
        <v>230</v>
      </c>
      <c r="AG155" s="221">
        <v>79</v>
      </c>
      <c r="AH155" s="221">
        <v>40</v>
      </c>
      <c r="AI155" s="221">
        <v>76</v>
      </c>
      <c r="AJ155" s="221">
        <v>7</v>
      </c>
      <c r="AK155" s="221">
        <v>2</v>
      </c>
      <c r="AL155" s="221">
        <v>0</v>
      </c>
      <c r="AM155" s="221">
        <v>1179</v>
      </c>
      <c r="AN155" s="147"/>
      <c r="AO155" s="221">
        <v>-160</v>
      </c>
      <c r="AP155" s="221">
        <v>9</v>
      </c>
      <c r="AQ155" s="221">
        <v>-3</v>
      </c>
      <c r="AR155" s="221">
        <v>3</v>
      </c>
      <c r="AS155" s="221">
        <v>3</v>
      </c>
      <c r="AT155" s="221">
        <v>0</v>
      </c>
      <c r="AU155" s="221">
        <v>-1</v>
      </c>
      <c r="AV155" s="221">
        <v>0</v>
      </c>
      <c r="AW155" s="221">
        <v>-149</v>
      </c>
      <c r="AX155" s="56">
        <f t="shared" si="88"/>
        <v>160</v>
      </c>
      <c r="AY155" s="56">
        <f t="shared" si="88"/>
        <v>-9</v>
      </c>
      <c r="AZ155" s="56">
        <f t="shared" si="88"/>
        <v>3</v>
      </c>
      <c r="BA155" s="56">
        <f t="shared" si="87"/>
        <v>-3</v>
      </c>
      <c r="BB155" s="56">
        <f t="shared" si="87"/>
        <v>-3</v>
      </c>
      <c r="BC155" s="56">
        <f t="shared" si="87"/>
        <v>0</v>
      </c>
      <c r="BD155" s="56">
        <f t="shared" si="87"/>
        <v>1</v>
      </c>
      <c r="BE155" s="56">
        <f t="shared" si="59"/>
        <v>0</v>
      </c>
      <c r="BF155" s="56">
        <f t="shared" si="58"/>
        <v>149</v>
      </c>
      <c r="BH155">
        <f t="shared" si="69"/>
        <v>1</v>
      </c>
      <c r="BI155">
        <f t="shared" si="78"/>
        <v>0</v>
      </c>
      <c r="BJ155" s="154">
        <v>1410115.7733333332</v>
      </c>
      <c r="BK155" s="155">
        <f t="shared" si="70"/>
        <v>1410115.7733333332</v>
      </c>
      <c r="BL155" s="156">
        <v>1572266.9733333332</v>
      </c>
      <c r="BM155" s="155">
        <f t="shared" si="71"/>
        <v>1572266.9733333332</v>
      </c>
      <c r="BN155" s="158">
        <v>885436.01222222229</v>
      </c>
      <c r="BO155" s="155">
        <f t="shared" si="72"/>
        <v>885436.01222222229</v>
      </c>
      <c r="BP155" s="158">
        <v>2054439.0666666662</v>
      </c>
      <c r="BQ155" s="155">
        <f t="shared" si="73"/>
        <v>2054439.0666666662</v>
      </c>
      <c r="BR155" s="158">
        <v>1367028.4177777779</v>
      </c>
      <c r="BS155" s="155">
        <f t="shared" si="74"/>
        <v>1367028.4177777779</v>
      </c>
      <c r="BT155" s="194">
        <v>1864191.0155555555</v>
      </c>
      <c r="BU155" s="194"/>
      <c r="BV155" s="348">
        <f t="shared" si="79"/>
        <v>1864191.0155555555</v>
      </c>
      <c r="BW155" s="195">
        <f t="shared" si="75"/>
        <v>1549464.6444444444</v>
      </c>
      <c r="BX155" s="157" t="str">
        <f t="shared" si="80"/>
        <v>0</v>
      </c>
      <c r="BY155" s="157">
        <f>IF(E155*$CJ$10*'Year 7 Payments'!$L$20*IF(B155="",1,0.8)&lt;=(BW155-(J155*350)),E155*$CJ$10*'Year 7 Payments'!$L$20*IF(B155="",1,0.8),BW155-(IF(B155="",1,0.8)*J155*350))</f>
        <v>609510.62547555543</v>
      </c>
      <c r="BZ155" s="157" t="str">
        <f t="shared" si="81"/>
        <v>0</v>
      </c>
      <c r="CA155" s="157">
        <f t="shared" si="82"/>
        <v>939954.01896888902</v>
      </c>
      <c r="CB155" s="157">
        <f t="shared" si="83"/>
        <v>0</v>
      </c>
      <c r="CC155" s="157">
        <f t="shared" si="84"/>
        <v>3759816.0758755561</v>
      </c>
      <c r="CD155" s="201">
        <f t="shared" si="85"/>
        <v>0</v>
      </c>
      <c r="CE155" s="155">
        <f t="shared" si="86"/>
        <v>939954.01896888902</v>
      </c>
    </row>
    <row r="156" spans="1:83" x14ac:dyDescent="0.2">
      <c r="A156" s="147" t="s">
        <v>625</v>
      </c>
      <c r="B156" s="57" t="s">
        <v>564</v>
      </c>
      <c r="C156" s="57" t="s">
        <v>443</v>
      </c>
      <c r="D156" s="148" t="s">
        <v>184</v>
      </c>
      <c r="E156" s="197">
        <v>44114</v>
      </c>
      <c r="F156" s="147">
        <f t="shared" si="76"/>
        <v>44522</v>
      </c>
      <c r="G156" s="342">
        <v>245</v>
      </c>
      <c r="H156" s="149">
        <f t="shared" si="61"/>
        <v>312</v>
      </c>
      <c r="I156" s="346">
        <v>139.21066666666667</v>
      </c>
      <c r="J156" s="150">
        <v>14</v>
      </c>
      <c r="K156"/>
      <c r="L156" s="151">
        <v>4269</v>
      </c>
      <c r="M156" s="151">
        <v>5998</v>
      </c>
      <c r="N156" s="151">
        <v>13360</v>
      </c>
      <c r="O156" s="151">
        <v>9576</v>
      </c>
      <c r="P156" s="151">
        <v>5780</v>
      </c>
      <c r="Q156" s="151">
        <v>3003</v>
      </c>
      <c r="R156" s="151">
        <v>2311</v>
      </c>
      <c r="S156" s="151">
        <v>225</v>
      </c>
      <c r="T156" s="151">
        <v>44522</v>
      </c>
      <c r="U156" s="147"/>
      <c r="V156" s="152">
        <f t="shared" si="77"/>
        <v>9.5885180360271327E-2</v>
      </c>
      <c r="W156" s="152">
        <f t="shared" si="62"/>
        <v>0.13471991375050538</v>
      </c>
      <c r="X156" s="152">
        <f t="shared" si="63"/>
        <v>0.30007636674003862</v>
      </c>
      <c r="Y156" s="152">
        <f t="shared" si="64"/>
        <v>0.21508467723821931</v>
      </c>
      <c r="Z156" s="152">
        <f t="shared" si="65"/>
        <v>0.12982345806567538</v>
      </c>
      <c r="AA156" s="152">
        <f t="shared" si="66"/>
        <v>6.7449800098827548E-2</v>
      </c>
      <c r="AB156" s="152">
        <f t="shared" si="67"/>
        <v>5.1906922420376443E-2</v>
      </c>
      <c r="AC156" s="152">
        <f t="shared" si="68"/>
        <v>5.0536813260859802E-3</v>
      </c>
      <c r="AD156" s="152"/>
      <c r="AE156" s="221">
        <v>72</v>
      </c>
      <c r="AF156" s="221">
        <v>21</v>
      </c>
      <c r="AG156" s="221">
        <v>79</v>
      </c>
      <c r="AH156" s="221">
        <v>34</v>
      </c>
      <c r="AI156" s="221">
        <v>22</v>
      </c>
      <c r="AJ156" s="221">
        <v>41</v>
      </c>
      <c r="AK156" s="221">
        <v>18</v>
      </c>
      <c r="AL156" s="221">
        <v>1</v>
      </c>
      <c r="AM156" s="221">
        <v>288</v>
      </c>
      <c r="AN156" s="147"/>
      <c r="AO156" s="221">
        <v>2</v>
      </c>
      <c r="AP156" s="221">
        <v>-7</v>
      </c>
      <c r="AQ156" s="221">
        <v>-5</v>
      </c>
      <c r="AR156" s="221">
        <v>1</v>
      </c>
      <c r="AS156" s="221">
        <v>-7</v>
      </c>
      <c r="AT156" s="221">
        <v>-5</v>
      </c>
      <c r="AU156" s="221">
        <v>-1</v>
      </c>
      <c r="AV156" s="221">
        <v>-2</v>
      </c>
      <c r="AW156" s="221">
        <v>-24</v>
      </c>
      <c r="AX156" s="56">
        <f t="shared" si="88"/>
        <v>-2</v>
      </c>
      <c r="AY156" s="56">
        <f t="shared" si="88"/>
        <v>7</v>
      </c>
      <c r="AZ156" s="56">
        <f t="shared" si="88"/>
        <v>5</v>
      </c>
      <c r="BA156" s="56">
        <f t="shared" si="87"/>
        <v>-1</v>
      </c>
      <c r="BB156" s="56">
        <f t="shared" si="87"/>
        <v>7</v>
      </c>
      <c r="BC156" s="56">
        <f t="shared" si="87"/>
        <v>5</v>
      </c>
      <c r="BD156" s="56">
        <f t="shared" si="87"/>
        <v>1</v>
      </c>
      <c r="BE156" s="56">
        <f t="shared" si="59"/>
        <v>2</v>
      </c>
      <c r="BF156" s="56">
        <f t="shared" si="58"/>
        <v>24</v>
      </c>
      <c r="BH156">
        <f t="shared" si="69"/>
        <v>0.8</v>
      </c>
      <c r="BI156">
        <f t="shared" si="78"/>
        <v>0.19999999999999996</v>
      </c>
      <c r="BJ156" s="154">
        <v>211341.46133333334</v>
      </c>
      <c r="BK156" s="155">
        <f t="shared" si="70"/>
        <v>211341.46133333334</v>
      </c>
      <c r="BL156" s="156">
        <v>308110.96266666672</v>
      </c>
      <c r="BM156" s="155">
        <f t="shared" si="71"/>
        <v>308110.96266666672</v>
      </c>
      <c r="BN156" s="158">
        <v>341693.91555555561</v>
      </c>
      <c r="BO156" s="155">
        <f t="shared" si="72"/>
        <v>341693.91555555561</v>
      </c>
      <c r="BP156" s="158">
        <v>307975.57333333336</v>
      </c>
      <c r="BQ156" s="155">
        <f t="shared" si="73"/>
        <v>307975.57333333336</v>
      </c>
      <c r="BR156" s="158">
        <v>207333.07377777784</v>
      </c>
      <c r="BS156" s="155">
        <f t="shared" si="74"/>
        <v>207333.07377777784</v>
      </c>
      <c r="BT156" s="194">
        <v>215400.05511111111</v>
      </c>
      <c r="BU156" s="194"/>
      <c r="BV156" s="348">
        <f t="shared" si="79"/>
        <v>215400.05511111111</v>
      </c>
      <c r="BW156" s="195">
        <f t="shared" si="75"/>
        <v>390184.88533333334</v>
      </c>
      <c r="BX156" s="157">
        <f t="shared" si="80"/>
        <v>97546.221333333335</v>
      </c>
      <c r="BY156" s="157">
        <f>IF(E156*$CJ$10*'Year 7 Payments'!$L$20*IF(B156="",1,0.8)&lt;=(BW156-(J156*350)),E156*$CJ$10*'Year 7 Payments'!$L$20*IF(B156="",1,0.8),BW156-(IF(B156="",1,0.8)*J156*350))</f>
        <v>215920.03148800001</v>
      </c>
      <c r="BZ156" s="157">
        <f t="shared" si="81"/>
        <v>53980.007872000002</v>
      </c>
      <c r="CA156" s="157">
        <f t="shared" si="82"/>
        <v>174264.85384533333</v>
      </c>
      <c r="CB156" s="157">
        <f t="shared" si="83"/>
        <v>43566.213461333333</v>
      </c>
      <c r="CC156" s="157">
        <f t="shared" si="84"/>
        <v>697059.41538133333</v>
      </c>
      <c r="CD156" s="201">
        <f t="shared" si="85"/>
        <v>174264.85384533333</v>
      </c>
      <c r="CE156" s="155">
        <f t="shared" si="86"/>
        <v>174264.85384533333</v>
      </c>
    </row>
    <row r="157" spans="1:83" x14ac:dyDescent="0.2">
      <c r="A157" s="147" t="s">
        <v>626</v>
      </c>
      <c r="B157" s="57"/>
      <c r="C157" s="57" t="s">
        <v>461</v>
      </c>
      <c r="D157" s="148" t="s">
        <v>185</v>
      </c>
      <c r="E157" s="197">
        <v>111277.00000000003</v>
      </c>
      <c r="F157" s="147">
        <f t="shared" si="76"/>
        <v>125059</v>
      </c>
      <c r="G157" s="342">
        <v>812</v>
      </c>
      <c r="H157" s="149">
        <f t="shared" si="61"/>
        <v>1987</v>
      </c>
      <c r="I157" s="346">
        <v>1303.2253333333331</v>
      </c>
      <c r="J157" s="150">
        <v>223</v>
      </c>
      <c r="K157"/>
      <c r="L157" s="151">
        <v>7984</v>
      </c>
      <c r="M157" s="151">
        <v>34507</v>
      </c>
      <c r="N157" s="151">
        <v>44628</v>
      </c>
      <c r="O157" s="151">
        <v>26145</v>
      </c>
      <c r="P157" s="151">
        <v>7537</v>
      </c>
      <c r="Q157" s="151">
        <v>2763</v>
      </c>
      <c r="R157" s="151">
        <v>1318</v>
      </c>
      <c r="S157" s="151">
        <v>177</v>
      </c>
      <c r="T157" s="151">
        <v>125059</v>
      </c>
      <c r="U157" s="147"/>
      <c r="V157" s="152">
        <f t="shared" si="77"/>
        <v>6.3841866638946421E-2</v>
      </c>
      <c r="W157" s="152">
        <f t="shared" si="62"/>
        <v>0.27592576303984517</v>
      </c>
      <c r="X157" s="152">
        <f t="shared" si="63"/>
        <v>0.35685556417371</v>
      </c>
      <c r="Y157" s="152">
        <f t="shared" si="64"/>
        <v>0.20906132305551781</v>
      </c>
      <c r="Z157" s="152">
        <f t="shared" si="65"/>
        <v>6.0267553714646684E-2</v>
      </c>
      <c r="AA157" s="152">
        <f t="shared" si="66"/>
        <v>2.2093571834094307E-2</v>
      </c>
      <c r="AB157" s="152">
        <f t="shared" si="67"/>
        <v>1.0539025579926274E-2</v>
      </c>
      <c r="AC157" s="152">
        <f t="shared" si="68"/>
        <v>1.4153319633133162E-3</v>
      </c>
      <c r="AD157" s="152"/>
      <c r="AE157" s="221">
        <v>255</v>
      </c>
      <c r="AF157" s="221">
        <v>480</v>
      </c>
      <c r="AG157" s="221">
        <v>941</v>
      </c>
      <c r="AH157" s="221">
        <v>257</v>
      </c>
      <c r="AI157" s="221">
        <v>123</v>
      </c>
      <c r="AJ157" s="221">
        <v>4</v>
      </c>
      <c r="AK157" s="221">
        <v>14</v>
      </c>
      <c r="AL157" s="221">
        <v>0</v>
      </c>
      <c r="AM157" s="221">
        <v>2074</v>
      </c>
      <c r="AN157" s="147"/>
      <c r="AO157" s="221">
        <v>14</v>
      </c>
      <c r="AP157" s="221">
        <v>42</v>
      </c>
      <c r="AQ157" s="221">
        <v>31</v>
      </c>
      <c r="AR157" s="221">
        <v>12</v>
      </c>
      <c r="AS157" s="221">
        <v>-13</v>
      </c>
      <c r="AT157" s="221">
        <v>-1</v>
      </c>
      <c r="AU157" s="221">
        <v>1</v>
      </c>
      <c r="AV157" s="221">
        <v>1</v>
      </c>
      <c r="AW157" s="221">
        <v>87</v>
      </c>
      <c r="AX157" s="56">
        <f t="shared" si="88"/>
        <v>-14</v>
      </c>
      <c r="AY157" s="56">
        <f t="shared" si="88"/>
        <v>-42</v>
      </c>
      <c r="AZ157" s="56">
        <f t="shared" si="88"/>
        <v>-31</v>
      </c>
      <c r="BA157" s="56">
        <f t="shared" si="87"/>
        <v>-12</v>
      </c>
      <c r="BB157" s="56">
        <f t="shared" si="87"/>
        <v>13</v>
      </c>
      <c r="BC157" s="56">
        <f t="shared" si="87"/>
        <v>1</v>
      </c>
      <c r="BD157" s="56">
        <f t="shared" si="87"/>
        <v>-1</v>
      </c>
      <c r="BE157" s="56">
        <f t="shared" si="59"/>
        <v>-1</v>
      </c>
      <c r="BF157" s="56">
        <f t="shared" si="58"/>
        <v>-87</v>
      </c>
      <c r="BH157">
        <f t="shared" si="69"/>
        <v>1</v>
      </c>
      <c r="BI157">
        <f t="shared" si="78"/>
        <v>0</v>
      </c>
      <c r="BJ157" s="154">
        <v>705697.54</v>
      </c>
      <c r="BK157" s="155">
        <f t="shared" si="70"/>
        <v>705697.54</v>
      </c>
      <c r="BL157" s="156">
        <v>958188.2</v>
      </c>
      <c r="BM157" s="155">
        <f t="shared" si="71"/>
        <v>958188.2</v>
      </c>
      <c r="BN157" s="158">
        <v>2149905.5588888889</v>
      </c>
      <c r="BO157" s="155">
        <f t="shared" si="72"/>
        <v>2149905.5588888889</v>
      </c>
      <c r="BP157" s="158">
        <v>2628988.5333333332</v>
      </c>
      <c r="BQ157" s="155">
        <f t="shared" si="73"/>
        <v>2628988.5333333332</v>
      </c>
      <c r="BR157" s="158">
        <v>1399473.1888888888</v>
      </c>
      <c r="BS157" s="155">
        <f t="shared" si="74"/>
        <v>1399473.1888888888</v>
      </c>
      <c r="BT157" s="194">
        <v>1889350.5244444446</v>
      </c>
      <c r="BU157" s="194"/>
      <c r="BV157" s="348">
        <f t="shared" si="79"/>
        <v>1889350.5244444446</v>
      </c>
      <c r="BW157" s="195">
        <f t="shared" si="75"/>
        <v>2752230.7333333334</v>
      </c>
      <c r="BX157" s="157" t="str">
        <f t="shared" si="80"/>
        <v>0</v>
      </c>
      <c r="BY157" s="157">
        <f>IF(E157*$CJ$10*'Year 7 Payments'!$L$20*IF(B157="",1,0.8)&lt;=(BW157-(J157*350)),E157*$CJ$10*'Year 7 Payments'!$L$20*IF(B157="",1,0.8),BW157-(IF(B157="",1,0.8)*J157*350))</f>
        <v>680819.39248000016</v>
      </c>
      <c r="BZ157" s="157" t="str">
        <f t="shared" si="81"/>
        <v>0</v>
      </c>
      <c r="CA157" s="157">
        <f t="shared" si="82"/>
        <v>2071411.3408533332</v>
      </c>
      <c r="CB157" s="157">
        <f t="shared" si="83"/>
        <v>0</v>
      </c>
      <c r="CC157" s="157">
        <f t="shared" si="84"/>
        <v>8285645.363413333</v>
      </c>
      <c r="CD157" s="201">
        <f t="shared" si="85"/>
        <v>0</v>
      </c>
      <c r="CE157" s="155">
        <f t="shared" si="86"/>
        <v>2071411.3408533332</v>
      </c>
    </row>
    <row r="158" spans="1:83" x14ac:dyDescent="0.2">
      <c r="A158" s="147" t="s">
        <v>627</v>
      </c>
      <c r="B158" s="57" t="s">
        <v>510</v>
      </c>
      <c r="C158" s="57" t="s">
        <v>476</v>
      </c>
      <c r="D158" s="148" t="s">
        <v>186</v>
      </c>
      <c r="E158" s="197">
        <v>42922.222222222219</v>
      </c>
      <c r="F158" s="147">
        <f t="shared" si="76"/>
        <v>44146</v>
      </c>
      <c r="G158" s="342">
        <v>296</v>
      </c>
      <c r="H158" s="149">
        <f t="shared" si="61"/>
        <v>195</v>
      </c>
      <c r="I158" s="346">
        <v>11.755555555555588</v>
      </c>
      <c r="J158" s="150">
        <v>50</v>
      </c>
      <c r="K158"/>
      <c r="L158" s="151">
        <v>5796</v>
      </c>
      <c r="M158" s="151">
        <v>10236</v>
      </c>
      <c r="N158" s="151">
        <v>10578</v>
      </c>
      <c r="O158" s="151">
        <v>6546</v>
      </c>
      <c r="P158" s="151">
        <v>4640</v>
      </c>
      <c r="Q158" s="151">
        <v>3449</v>
      </c>
      <c r="R158" s="151">
        <v>2499</v>
      </c>
      <c r="S158" s="151">
        <v>402</v>
      </c>
      <c r="T158" s="151">
        <v>44146</v>
      </c>
      <c r="U158" s="147"/>
      <c r="V158" s="152">
        <f t="shared" si="77"/>
        <v>0.13129162325012458</v>
      </c>
      <c r="W158" s="152">
        <f t="shared" si="62"/>
        <v>0.23186698681647261</v>
      </c>
      <c r="X158" s="152">
        <f t="shared" si="63"/>
        <v>0.23961400806415079</v>
      </c>
      <c r="Y158" s="152">
        <f t="shared" si="64"/>
        <v>0.14828070493362933</v>
      </c>
      <c r="Z158" s="152">
        <f t="shared" si="65"/>
        <v>0.10510578534861596</v>
      </c>
      <c r="AA158" s="152">
        <f t="shared" si="66"/>
        <v>7.8127123635210433E-2</v>
      </c>
      <c r="AB158" s="152">
        <f t="shared" si="67"/>
        <v>5.6607620169437774E-2</v>
      </c>
      <c r="AC158" s="152">
        <f t="shared" si="68"/>
        <v>9.1061477823585375E-3</v>
      </c>
      <c r="AD158" s="152"/>
      <c r="AE158" s="221">
        <v>45</v>
      </c>
      <c r="AF158" s="221">
        <v>6</v>
      </c>
      <c r="AG158" s="221">
        <v>89</v>
      </c>
      <c r="AH158" s="221">
        <v>35</v>
      </c>
      <c r="AI158" s="221">
        <v>16</v>
      </c>
      <c r="AJ158" s="221">
        <v>23</v>
      </c>
      <c r="AK158" s="221">
        <v>14</v>
      </c>
      <c r="AL158" s="221">
        <v>1</v>
      </c>
      <c r="AM158" s="221">
        <v>229</v>
      </c>
      <c r="AN158" s="147"/>
      <c r="AO158" s="221">
        <v>6</v>
      </c>
      <c r="AP158" s="221">
        <v>-4</v>
      </c>
      <c r="AQ158" s="221">
        <v>5</v>
      </c>
      <c r="AR158" s="221">
        <v>6</v>
      </c>
      <c r="AS158" s="221">
        <v>5</v>
      </c>
      <c r="AT158" s="221">
        <v>6</v>
      </c>
      <c r="AU158" s="221">
        <v>8</v>
      </c>
      <c r="AV158" s="221">
        <v>2</v>
      </c>
      <c r="AW158" s="221">
        <v>34</v>
      </c>
      <c r="AX158" s="56">
        <f t="shared" si="88"/>
        <v>-6</v>
      </c>
      <c r="AY158" s="56">
        <f t="shared" si="88"/>
        <v>4</v>
      </c>
      <c r="AZ158" s="56">
        <f t="shared" si="88"/>
        <v>-5</v>
      </c>
      <c r="BA158" s="56">
        <f t="shared" si="87"/>
        <v>-6</v>
      </c>
      <c r="BB158" s="56">
        <f t="shared" si="87"/>
        <v>-5</v>
      </c>
      <c r="BC158" s="56">
        <f t="shared" si="87"/>
        <v>-6</v>
      </c>
      <c r="BD158" s="56">
        <f t="shared" si="87"/>
        <v>-8</v>
      </c>
      <c r="BE158" s="56">
        <f t="shared" si="59"/>
        <v>-2</v>
      </c>
      <c r="BF158" s="56">
        <f t="shared" si="58"/>
        <v>-34</v>
      </c>
      <c r="BH158">
        <f t="shared" si="69"/>
        <v>0.8</v>
      </c>
      <c r="BI158">
        <f t="shared" si="78"/>
        <v>0.19999999999999996</v>
      </c>
      <c r="BJ158" s="154">
        <v>260722.69866666669</v>
      </c>
      <c r="BK158" s="155">
        <f t="shared" si="70"/>
        <v>260722.69866666669</v>
      </c>
      <c r="BL158" s="156">
        <v>224276.42311111113</v>
      </c>
      <c r="BM158" s="155">
        <f t="shared" si="71"/>
        <v>224276.42311111113</v>
      </c>
      <c r="BN158" s="158">
        <v>231361.63377777781</v>
      </c>
      <c r="BO158" s="155">
        <f t="shared" si="72"/>
        <v>231361.63377777781</v>
      </c>
      <c r="BP158" s="158">
        <v>479940.58666666667</v>
      </c>
      <c r="BQ158" s="155">
        <f t="shared" si="73"/>
        <v>479940.58666666667</v>
      </c>
      <c r="BR158" s="158">
        <v>342707.80622222228</v>
      </c>
      <c r="BS158" s="155">
        <f t="shared" si="74"/>
        <v>342707.80622222228</v>
      </c>
      <c r="BT158" s="194">
        <v>339072.57066666667</v>
      </c>
      <c r="BU158" s="194"/>
      <c r="BV158" s="348">
        <f t="shared" si="79"/>
        <v>339072.57066666667</v>
      </c>
      <c r="BW158" s="195">
        <f t="shared" si="75"/>
        <v>238471.42755555554</v>
      </c>
      <c r="BX158" s="157">
        <f t="shared" si="80"/>
        <v>59617.856888888884</v>
      </c>
      <c r="BY158" s="157">
        <f>IF(E158*$CJ$10*'Year 7 Payments'!$L$20*IF(B158="",1,0.8)&lt;=(BW158-(J158*350)),E158*$CJ$10*'Year 7 Payments'!$L$20*IF(B158="",1,0.8),BW158-(IF(B158="",1,0.8)*J158*350))</f>
        <v>210086.76551111109</v>
      </c>
      <c r="BZ158" s="157">
        <f t="shared" si="81"/>
        <v>52521.691377777774</v>
      </c>
      <c r="CA158" s="157">
        <f t="shared" si="82"/>
        <v>28384.662044444442</v>
      </c>
      <c r="CB158" s="157">
        <f t="shared" si="83"/>
        <v>7096.1655111111104</v>
      </c>
      <c r="CC158" s="157">
        <f t="shared" si="84"/>
        <v>113538.64817777777</v>
      </c>
      <c r="CD158" s="201">
        <f t="shared" si="85"/>
        <v>28384.662044444442</v>
      </c>
      <c r="CE158" s="155">
        <f t="shared" si="86"/>
        <v>28384.662044444442</v>
      </c>
    </row>
    <row r="159" spans="1:83" x14ac:dyDescent="0.2">
      <c r="A159" s="147" t="s">
        <v>628</v>
      </c>
      <c r="B159" s="57" t="s">
        <v>484</v>
      </c>
      <c r="C159" s="57" t="s">
        <v>449</v>
      </c>
      <c r="D159" s="148" t="s">
        <v>187</v>
      </c>
      <c r="E159" s="197">
        <v>33440.333333333328</v>
      </c>
      <c r="F159" s="147">
        <f t="shared" si="76"/>
        <v>45144</v>
      </c>
      <c r="G159" s="342">
        <v>371</v>
      </c>
      <c r="H159" s="149">
        <f t="shared" si="61"/>
        <v>613</v>
      </c>
      <c r="I159" s="346">
        <v>306.90533333333343</v>
      </c>
      <c r="J159" s="150">
        <v>56</v>
      </c>
      <c r="K159"/>
      <c r="L159" s="151">
        <v>27262</v>
      </c>
      <c r="M159" s="151">
        <v>8751</v>
      </c>
      <c r="N159" s="151">
        <v>4831</v>
      </c>
      <c r="O159" s="151">
        <v>2508</v>
      </c>
      <c r="P159" s="151">
        <v>1229</v>
      </c>
      <c r="Q159" s="151">
        <v>389</v>
      </c>
      <c r="R159" s="151">
        <v>129</v>
      </c>
      <c r="S159" s="151">
        <v>45</v>
      </c>
      <c r="T159" s="151">
        <v>45144</v>
      </c>
      <c r="U159" s="147"/>
      <c r="V159" s="152">
        <f t="shared" si="77"/>
        <v>0.60388977494240648</v>
      </c>
      <c r="W159" s="152">
        <f t="shared" si="62"/>
        <v>0.19384635832004254</v>
      </c>
      <c r="X159" s="152">
        <f t="shared" si="63"/>
        <v>0.10701311359206096</v>
      </c>
      <c r="Y159" s="152">
        <f t="shared" si="64"/>
        <v>5.5555555555555552E-2</v>
      </c>
      <c r="Z159" s="152">
        <f t="shared" si="65"/>
        <v>2.7223994329257487E-2</v>
      </c>
      <c r="AA159" s="152">
        <f t="shared" si="66"/>
        <v>8.6168704589757224E-3</v>
      </c>
      <c r="AB159" s="152">
        <f t="shared" si="67"/>
        <v>2.8575225943646997E-3</v>
      </c>
      <c r="AC159" s="152">
        <f t="shared" si="68"/>
        <v>9.9681020733652305E-4</v>
      </c>
      <c r="AD159" s="152"/>
      <c r="AE159" s="221">
        <v>465</v>
      </c>
      <c r="AF159" s="221">
        <v>24</v>
      </c>
      <c r="AG159" s="221">
        <v>25</v>
      </c>
      <c r="AH159" s="221">
        <v>9</v>
      </c>
      <c r="AI159" s="221">
        <v>24</v>
      </c>
      <c r="AJ159" s="221">
        <v>7</v>
      </c>
      <c r="AK159" s="221">
        <v>4</v>
      </c>
      <c r="AL159" s="221">
        <v>-1</v>
      </c>
      <c r="AM159" s="221">
        <v>557</v>
      </c>
      <c r="AN159" s="147"/>
      <c r="AO159" s="221">
        <v>-53</v>
      </c>
      <c r="AP159" s="221">
        <v>-2</v>
      </c>
      <c r="AQ159" s="221">
        <v>-3</v>
      </c>
      <c r="AR159" s="221">
        <v>-1</v>
      </c>
      <c r="AS159" s="221">
        <v>3</v>
      </c>
      <c r="AT159" s="221">
        <v>-1</v>
      </c>
      <c r="AU159" s="221">
        <v>1</v>
      </c>
      <c r="AV159" s="221">
        <v>0</v>
      </c>
      <c r="AW159" s="221">
        <v>-56</v>
      </c>
      <c r="AX159" s="56">
        <f t="shared" si="88"/>
        <v>53</v>
      </c>
      <c r="AY159" s="56">
        <f t="shared" si="88"/>
        <v>2</v>
      </c>
      <c r="AZ159" s="56">
        <f t="shared" si="88"/>
        <v>3</v>
      </c>
      <c r="BA159" s="56">
        <f t="shared" si="87"/>
        <v>1</v>
      </c>
      <c r="BB159" s="56">
        <f t="shared" si="87"/>
        <v>-3</v>
      </c>
      <c r="BC159" s="56">
        <f t="shared" si="87"/>
        <v>1</v>
      </c>
      <c r="BD159" s="56">
        <f t="shared" si="87"/>
        <v>-1</v>
      </c>
      <c r="BE159" s="56">
        <f t="shared" si="59"/>
        <v>0</v>
      </c>
      <c r="BF159" s="56">
        <f t="shared" si="58"/>
        <v>56</v>
      </c>
      <c r="BH159">
        <f t="shared" si="69"/>
        <v>0.8</v>
      </c>
      <c r="BI159">
        <f t="shared" si="78"/>
        <v>0.19999999999999996</v>
      </c>
      <c r="BJ159" s="154">
        <v>453642.14400000009</v>
      </c>
      <c r="BK159" s="155">
        <f t="shared" si="70"/>
        <v>453642.14400000009</v>
      </c>
      <c r="BL159" s="156">
        <v>567242.67111111106</v>
      </c>
      <c r="BM159" s="155">
        <f t="shared" si="71"/>
        <v>567242.67111111106</v>
      </c>
      <c r="BN159" s="158">
        <v>154072.59466666667</v>
      </c>
      <c r="BO159" s="155">
        <f t="shared" si="72"/>
        <v>154072.59466666667</v>
      </c>
      <c r="BP159" s="158">
        <v>547856.42666666664</v>
      </c>
      <c r="BQ159" s="155">
        <f t="shared" si="73"/>
        <v>547856.42666666664</v>
      </c>
      <c r="BR159" s="158">
        <v>335512.16177777777</v>
      </c>
      <c r="BS159" s="155">
        <f t="shared" si="74"/>
        <v>335512.16177777777</v>
      </c>
      <c r="BT159" s="194">
        <v>218234.4142222222</v>
      </c>
      <c r="BU159" s="194"/>
      <c r="BV159" s="348">
        <f t="shared" si="79"/>
        <v>218234.4142222222</v>
      </c>
      <c r="BW159" s="195">
        <f t="shared" si="75"/>
        <v>554900.8853333334</v>
      </c>
      <c r="BX159" s="157">
        <f t="shared" si="80"/>
        <v>138725.22133333335</v>
      </c>
      <c r="BY159" s="157">
        <f>IF(E159*$CJ$10*'Year 7 Payments'!$L$20*IF(B159="",1,0.8)&lt;=(BW159-(J159*350)),E159*$CJ$10*'Year 7 Payments'!$L$20*IF(B159="",1,0.8),BW159-(IF(B159="",1,0.8)*J159*350))</f>
        <v>163676.78801066664</v>
      </c>
      <c r="BZ159" s="157">
        <f t="shared" si="81"/>
        <v>40919.19700266666</v>
      </c>
      <c r="CA159" s="157">
        <f t="shared" si="82"/>
        <v>391224.09732266678</v>
      </c>
      <c r="CB159" s="157">
        <f t="shared" si="83"/>
        <v>97806.024330666696</v>
      </c>
      <c r="CC159" s="157">
        <f t="shared" si="84"/>
        <v>1564896.3892906671</v>
      </c>
      <c r="CD159" s="201">
        <f t="shared" si="85"/>
        <v>391224.09732266678</v>
      </c>
      <c r="CE159" s="155">
        <f t="shared" si="86"/>
        <v>391224.09732266678</v>
      </c>
    </row>
    <row r="160" spans="1:83" x14ac:dyDescent="0.2">
      <c r="A160" s="147" t="s">
        <v>629</v>
      </c>
      <c r="B160" s="57"/>
      <c r="C160" s="57" t="s">
        <v>446</v>
      </c>
      <c r="D160" s="148" t="s">
        <v>188</v>
      </c>
      <c r="E160" s="197">
        <v>164706.33333333334</v>
      </c>
      <c r="F160" s="147">
        <f t="shared" si="76"/>
        <v>222489</v>
      </c>
      <c r="G160" s="342">
        <v>3449</v>
      </c>
      <c r="H160" s="149">
        <f t="shared" si="61"/>
        <v>2723</v>
      </c>
      <c r="I160" s="346">
        <v>1321.8413333333333</v>
      </c>
      <c r="J160" s="150">
        <v>580</v>
      </c>
      <c r="K160"/>
      <c r="L160" s="151">
        <v>134527</v>
      </c>
      <c r="M160" s="151">
        <v>39181</v>
      </c>
      <c r="N160" s="151">
        <v>26615</v>
      </c>
      <c r="O160" s="151">
        <v>13380</v>
      </c>
      <c r="P160" s="151">
        <v>4821</v>
      </c>
      <c r="Q160" s="151">
        <v>2181</v>
      </c>
      <c r="R160" s="151">
        <v>1639</v>
      </c>
      <c r="S160" s="151">
        <v>145</v>
      </c>
      <c r="T160" s="151">
        <v>222489</v>
      </c>
      <c r="U160" s="147"/>
      <c r="V160" s="152">
        <f t="shared" si="77"/>
        <v>0.60464562292967294</v>
      </c>
      <c r="W160" s="152">
        <f t="shared" si="62"/>
        <v>0.17610308824256479</v>
      </c>
      <c r="X160" s="152">
        <f t="shared" si="63"/>
        <v>0.11962389151823236</v>
      </c>
      <c r="Y160" s="152">
        <f t="shared" si="64"/>
        <v>6.0137804565618971E-2</v>
      </c>
      <c r="Z160" s="152">
        <f t="shared" si="65"/>
        <v>2.1668486981378854E-2</v>
      </c>
      <c r="AA160" s="152">
        <f t="shared" si="66"/>
        <v>9.8027318204495506E-3</v>
      </c>
      <c r="AB160" s="152">
        <f t="shared" si="67"/>
        <v>7.3666563290769429E-3</v>
      </c>
      <c r="AC160" s="152">
        <f t="shared" si="68"/>
        <v>6.5171761300558684E-4</v>
      </c>
      <c r="AD160" s="152"/>
      <c r="AE160" s="221">
        <v>1641</v>
      </c>
      <c r="AF160" s="221">
        <v>846</v>
      </c>
      <c r="AG160" s="221">
        <v>358</v>
      </c>
      <c r="AH160" s="221">
        <v>11</v>
      </c>
      <c r="AI160" s="221">
        <v>-4</v>
      </c>
      <c r="AJ160" s="221">
        <v>18</v>
      </c>
      <c r="AK160" s="221">
        <v>15</v>
      </c>
      <c r="AL160" s="221">
        <v>2</v>
      </c>
      <c r="AM160" s="221">
        <v>2887</v>
      </c>
      <c r="AN160" s="147"/>
      <c r="AO160" s="221">
        <v>7</v>
      </c>
      <c r="AP160" s="221">
        <v>47</v>
      </c>
      <c r="AQ160" s="221">
        <v>54</v>
      </c>
      <c r="AR160" s="221">
        <v>32</v>
      </c>
      <c r="AS160" s="221">
        <v>24</v>
      </c>
      <c r="AT160" s="221">
        <v>-2</v>
      </c>
      <c r="AU160" s="221">
        <v>3</v>
      </c>
      <c r="AV160" s="221">
        <v>-1</v>
      </c>
      <c r="AW160" s="221">
        <v>164</v>
      </c>
      <c r="AX160" s="56">
        <f t="shared" si="88"/>
        <v>-7</v>
      </c>
      <c r="AY160" s="56">
        <f t="shared" si="88"/>
        <v>-47</v>
      </c>
      <c r="AZ160" s="56">
        <f t="shared" si="88"/>
        <v>-54</v>
      </c>
      <c r="BA160" s="56">
        <f t="shared" si="87"/>
        <v>-32</v>
      </c>
      <c r="BB160" s="56">
        <f t="shared" si="87"/>
        <v>-24</v>
      </c>
      <c r="BC160" s="56">
        <f t="shared" si="87"/>
        <v>2</v>
      </c>
      <c r="BD160" s="56">
        <f t="shared" si="87"/>
        <v>-3</v>
      </c>
      <c r="BE160" s="56">
        <f t="shared" si="59"/>
        <v>1</v>
      </c>
      <c r="BF160" s="56">
        <f t="shared" si="58"/>
        <v>-164</v>
      </c>
      <c r="BH160">
        <f t="shared" si="69"/>
        <v>1</v>
      </c>
      <c r="BI160">
        <f t="shared" si="78"/>
        <v>0</v>
      </c>
      <c r="BJ160" s="154">
        <v>876964.72</v>
      </c>
      <c r="BK160" s="155">
        <f t="shared" si="70"/>
        <v>876964.72</v>
      </c>
      <c r="BL160" s="156">
        <v>1181848.2444444441</v>
      </c>
      <c r="BM160" s="155">
        <f t="shared" si="71"/>
        <v>1181848.2444444441</v>
      </c>
      <c r="BN160" s="158">
        <v>962787.02555555559</v>
      </c>
      <c r="BO160" s="155">
        <f t="shared" si="72"/>
        <v>962787.02555555559</v>
      </c>
      <c r="BP160" s="158">
        <v>2372853.7333333339</v>
      </c>
      <c r="BQ160" s="155">
        <f t="shared" si="73"/>
        <v>2372853.7333333339</v>
      </c>
      <c r="BR160" s="158">
        <v>1982144.8422222217</v>
      </c>
      <c r="BS160" s="155">
        <f t="shared" si="74"/>
        <v>1982144.8422222217</v>
      </c>
      <c r="BT160" s="194">
        <v>1863954.6193521051</v>
      </c>
      <c r="BU160" s="194"/>
      <c r="BV160" s="348">
        <f t="shared" si="79"/>
        <v>1863954.6193521051</v>
      </c>
      <c r="BW160" s="195">
        <f t="shared" si="75"/>
        <v>3232548.5066666673</v>
      </c>
      <c r="BX160" s="157" t="str">
        <f t="shared" si="80"/>
        <v>0</v>
      </c>
      <c r="BY160" s="157">
        <f>IF(E160*$CJ$10*'Year 7 Payments'!$L$20*IF(B160="",1,0.8)&lt;=(BW160-(J160*350)),E160*$CJ$10*'Year 7 Payments'!$L$20*IF(B160="",1,0.8),BW160-(IF(B160="",1,0.8)*J160*350))</f>
        <v>1007712.8768533333</v>
      </c>
      <c r="BZ160" s="157" t="str">
        <f t="shared" si="81"/>
        <v>0</v>
      </c>
      <c r="CA160" s="157">
        <f t="shared" si="82"/>
        <v>2224835.629813334</v>
      </c>
      <c r="CB160" s="157">
        <f t="shared" si="83"/>
        <v>0</v>
      </c>
      <c r="CC160" s="157">
        <f t="shared" si="84"/>
        <v>8899342.5192533359</v>
      </c>
      <c r="CD160" s="201">
        <f t="shared" si="85"/>
        <v>0</v>
      </c>
      <c r="CE160" s="155">
        <f t="shared" si="86"/>
        <v>2224835.629813334</v>
      </c>
    </row>
    <row r="161" spans="1:83" x14ac:dyDescent="0.2">
      <c r="A161" s="147" t="s">
        <v>630</v>
      </c>
      <c r="B161" s="57"/>
      <c r="C161" s="57" t="s">
        <v>459</v>
      </c>
      <c r="D161" s="148" t="s">
        <v>189</v>
      </c>
      <c r="E161" s="197">
        <v>65909.333333333343</v>
      </c>
      <c r="F161" s="147">
        <f t="shared" si="76"/>
        <v>79659</v>
      </c>
      <c r="G161" s="342">
        <v>514</v>
      </c>
      <c r="H161" s="149">
        <f t="shared" si="61"/>
        <v>378</v>
      </c>
      <c r="I161" s="346">
        <v>2.9333333333227074E-2</v>
      </c>
      <c r="J161" s="150">
        <v>334</v>
      </c>
      <c r="K161"/>
      <c r="L161" s="151">
        <v>18217</v>
      </c>
      <c r="M161" s="151">
        <v>26593</v>
      </c>
      <c r="N161" s="151">
        <v>22378</v>
      </c>
      <c r="O161" s="151">
        <v>7727</v>
      </c>
      <c r="P161" s="151">
        <v>3404</v>
      </c>
      <c r="Q161" s="151">
        <v>1049</v>
      </c>
      <c r="R161" s="151">
        <v>259</v>
      </c>
      <c r="S161" s="151">
        <v>32</v>
      </c>
      <c r="T161" s="151">
        <v>79659</v>
      </c>
      <c r="U161" s="147"/>
      <c r="V161" s="152">
        <f t="shared" si="77"/>
        <v>0.22868727952899234</v>
      </c>
      <c r="W161" s="152">
        <f t="shared" si="62"/>
        <v>0.33383547370667471</v>
      </c>
      <c r="X161" s="152">
        <f t="shared" si="63"/>
        <v>0.2809224318658281</v>
      </c>
      <c r="Y161" s="152">
        <f t="shared" si="64"/>
        <v>9.7000966620218676E-2</v>
      </c>
      <c r="Z161" s="152">
        <f t="shared" si="65"/>
        <v>4.2732145771350379E-2</v>
      </c>
      <c r="AA161" s="152">
        <f t="shared" si="66"/>
        <v>1.3168631290877364E-2</v>
      </c>
      <c r="AB161" s="152">
        <f t="shared" si="67"/>
        <v>3.2513589173853549E-3</v>
      </c>
      <c r="AC161" s="152">
        <f t="shared" si="68"/>
        <v>4.0171229867309405E-4</v>
      </c>
      <c r="AD161" s="152"/>
      <c r="AE161" s="221">
        <v>324</v>
      </c>
      <c r="AF161" s="221">
        <v>116</v>
      </c>
      <c r="AG161" s="221">
        <v>38</v>
      </c>
      <c r="AH161" s="221">
        <v>32</v>
      </c>
      <c r="AI161" s="221">
        <v>-2</v>
      </c>
      <c r="AJ161" s="221">
        <v>-2</v>
      </c>
      <c r="AK161" s="221">
        <v>0</v>
      </c>
      <c r="AL161" s="221">
        <v>1</v>
      </c>
      <c r="AM161" s="221">
        <v>507</v>
      </c>
      <c r="AN161" s="147"/>
      <c r="AO161" s="221">
        <v>34</v>
      </c>
      <c r="AP161" s="221">
        <v>66</v>
      </c>
      <c r="AQ161" s="221">
        <v>18</v>
      </c>
      <c r="AR161" s="221">
        <v>-1</v>
      </c>
      <c r="AS161" s="221">
        <v>9</v>
      </c>
      <c r="AT161" s="221">
        <v>0</v>
      </c>
      <c r="AU161" s="221">
        <v>3</v>
      </c>
      <c r="AV161" s="221">
        <v>0</v>
      </c>
      <c r="AW161" s="221">
        <v>129</v>
      </c>
      <c r="AX161" s="56">
        <f t="shared" si="88"/>
        <v>-34</v>
      </c>
      <c r="AY161" s="56">
        <f t="shared" si="88"/>
        <v>-66</v>
      </c>
      <c r="AZ161" s="56">
        <f t="shared" si="88"/>
        <v>-18</v>
      </c>
      <c r="BA161" s="56">
        <f t="shared" si="87"/>
        <v>1</v>
      </c>
      <c r="BB161" s="56">
        <f t="shared" si="87"/>
        <v>-9</v>
      </c>
      <c r="BC161" s="56">
        <f t="shared" si="87"/>
        <v>0</v>
      </c>
      <c r="BD161" s="56">
        <f t="shared" si="87"/>
        <v>-3</v>
      </c>
      <c r="BE161" s="56">
        <f t="shared" si="59"/>
        <v>0</v>
      </c>
      <c r="BF161" s="56">
        <f t="shared" si="58"/>
        <v>-129</v>
      </c>
      <c r="BH161">
        <f t="shared" si="69"/>
        <v>1</v>
      </c>
      <c r="BI161">
        <f t="shared" si="78"/>
        <v>0</v>
      </c>
      <c r="BJ161" s="154">
        <v>596476.73333333328</v>
      </c>
      <c r="BK161" s="155">
        <f t="shared" si="70"/>
        <v>596476.73333333328</v>
      </c>
      <c r="BL161" s="156">
        <v>474201.35777777771</v>
      </c>
      <c r="BM161" s="155">
        <f t="shared" si="71"/>
        <v>474201.35777777771</v>
      </c>
      <c r="BN161" s="158">
        <v>755214.58</v>
      </c>
      <c r="BO161" s="155">
        <f t="shared" si="72"/>
        <v>755214.58</v>
      </c>
      <c r="BP161" s="158">
        <v>503983.73333333334</v>
      </c>
      <c r="BQ161" s="155">
        <f t="shared" si="73"/>
        <v>503983.73333333334</v>
      </c>
      <c r="BR161" s="158">
        <v>652591.5</v>
      </c>
      <c r="BS161" s="155">
        <f t="shared" si="74"/>
        <v>652591.5</v>
      </c>
      <c r="BT161" s="194">
        <v>937519.89333333331</v>
      </c>
      <c r="BU161" s="194"/>
      <c r="BV161" s="348">
        <f t="shared" si="79"/>
        <v>937519.89333333331</v>
      </c>
      <c r="BW161" s="195">
        <f t="shared" si="75"/>
        <v>520193.98666666663</v>
      </c>
      <c r="BX161" s="157" t="str">
        <f t="shared" si="80"/>
        <v>0</v>
      </c>
      <c r="BY161" s="157">
        <f>IF(E161*$CJ$10*'Year 7 Payments'!$L$20*IF(B161="",1,0.8)&lt;=(BW161-(J161*350)),E161*$CJ$10*'Year 7 Payments'!$L$20*IF(B161="",1,0.8),BW161-(IF(B161="",1,0.8)*J161*350))</f>
        <v>403249.11957333342</v>
      </c>
      <c r="BZ161" s="157" t="str">
        <f t="shared" si="81"/>
        <v>0</v>
      </c>
      <c r="CA161" s="157">
        <f t="shared" si="82"/>
        <v>116944.86709333322</v>
      </c>
      <c r="CB161" s="157">
        <f t="shared" si="83"/>
        <v>0</v>
      </c>
      <c r="CC161" s="157">
        <f t="shared" si="84"/>
        <v>467779.46837333287</v>
      </c>
      <c r="CD161" s="201">
        <f t="shared" si="85"/>
        <v>0</v>
      </c>
      <c r="CE161" s="155">
        <f t="shared" si="86"/>
        <v>116944.86709333322</v>
      </c>
    </row>
    <row r="162" spans="1:83" x14ac:dyDescent="0.2">
      <c r="A162" s="147" t="s">
        <v>631</v>
      </c>
      <c r="B162" s="57" t="s">
        <v>454</v>
      </c>
      <c r="C162" s="57" t="s">
        <v>443</v>
      </c>
      <c r="D162" s="148" t="s">
        <v>190</v>
      </c>
      <c r="E162" s="197">
        <v>69395.666666666672</v>
      </c>
      <c r="F162" s="147">
        <f t="shared" si="76"/>
        <v>68519</v>
      </c>
      <c r="G162" s="342">
        <v>306</v>
      </c>
      <c r="H162" s="149">
        <f t="shared" si="61"/>
        <v>773</v>
      </c>
      <c r="I162" s="346">
        <v>539.97288888888897</v>
      </c>
      <c r="J162" s="150">
        <v>173</v>
      </c>
      <c r="K162"/>
      <c r="L162" s="151">
        <v>4192</v>
      </c>
      <c r="M162" s="151">
        <v>8626</v>
      </c>
      <c r="N162" s="151">
        <v>18776</v>
      </c>
      <c r="O162" s="151">
        <v>17993</v>
      </c>
      <c r="P162" s="151">
        <v>9376</v>
      </c>
      <c r="Q162" s="151">
        <v>5290</v>
      </c>
      <c r="R162" s="151">
        <v>3910</v>
      </c>
      <c r="S162" s="151">
        <v>356</v>
      </c>
      <c r="T162" s="151">
        <v>68519</v>
      </c>
      <c r="U162" s="147"/>
      <c r="V162" s="152">
        <f t="shared" si="77"/>
        <v>6.1180110626249652E-2</v>
      </c>
      <c r="W162" s="152">
        <f t="shared" si="62"/>
        <v>0.12589208832586582</v>
      </c>
      <c r="X162" s="152">
        <f t="shared" si="63"/>
        <v>0.27402618251871741</v>
      </c>
      <c r="Y162" s="152">
        <f t="shared" si="64"/>
        <v>0.26259869525241175</v>
      </c>
      <c r="Z162" s="152">
        <f t="shared" si="65"/>
        <v>0.13683795735489426</v>
      </c>
      <c r="AA162" s="152">
        <f t="shared" si="66"/>
        <v>7.7204862884747302E-2</v>
      </c>
      <c r="AB162" s="152">
        <f t="shared" si="67"/>
        <v>5.7064463871334958E-2</v>
      </c>
      <c r="AC162" s="152">
        <f t="shared" si="68"/>
        <v>5.1956391657788353E-3</v>
      </c>
      <c r="AD162" s="152"/>
      <c r="AE162" s="221">
        <v>40</v>
      </c>
      <c r="AF162" s="221">
        <v>50</v>
      </c>
      <c r="AG162" s="221">
        <v>305</v>
      </c>
      <c r="AH162" s="221">
        <v>161</v>
      </c>
      <c r="AI162" s="221">
        <v>140</v>
      </c>
      <c r="AJ162" s="221">
        <v>52</v>
      </c>
      <c r="AK162" s="221">
        <v>49</v>
      </c>
      <c r="AL162" s="221">
        <v>9</v>
      </c>
      <c r="AM162" s="221">
        <v>806</v>
      </c>
      <c r="AN162" s="147"/>
      <c r="AO162" s="221">
        <v>-2</v>
      </c>
      <c r="AP162" s="221">
        <v>7</v>
      </c>
      <c r="AQ162" s="221">
        <v>12</v>
      </c>
      <c r="AR162" s="221">
        <v>14</v>
      </c>
      <c r="AS162" s="221">
        <v>11</v>
      </c>
      <c r="AT162" s="221">
        <v>1</v>
      </c>
      <c r="AU162" s="221">
        <v>-7</v>
      </c>
      <c r="AV162" s="221">
        <v>-3</v>
      </c>
      <c r="AW162" s="221">
        <v>33</v>
      </c>
      <c r="AX162" s="56">
        <f t="shared" si="88"/>
        <v>2</v>
      </c>
      <c r="AY162" s="56">
        <f t="shared" si="88"/>
        <v>-7</v>
      </c>
      <c r="AZ162" s="56">
        <f t="shared" si="88"/>
        <v>-12</v>
      </c>
      <c r="BA162" s="56">
        <f t="shared" si="87"/>
        <v>-14</v>
      </c>
      <c r="BB162" s="56">
        <f t="shared" si="87"/>
        <v>-11</v>
      </c>
      <c r="BC162" s="56">
        <f t="shared" si="87"/>
        <v>-1</v>
      </c>
      <c r="BD162" s="56">
        <f t="shared" si="87"/>
        <v>7</v>
      </c>
      <c r="BE162" s="56">
        <f t="shared" si="59"/>
        <v>3</v>
      </c>
      <c r="BF162" s="56">
        <f t="shared" si="58"/>
        <v>-33</v>
      </c>
      <c r="BH162">
        <f t="shared" si="69"/>
        <v>0.8</v>
      </c>
      <c r="BI162">
        <f t="shared" si="78"/>
        <v>0.19999999999999996</v>
      </c>
      <c r="BJ162" s="154">
        <v>892316.4</v>
      </c>
      <c r="BK162" s="155">
        <f t="shared" si="70"/>
        <v>892316.4</v>
      </c>
      <c r="BL162" s="156">
        <v>903335.86666666681</v>
      </c>
      <c r="BM162" s="155">
        <f t="shared" si="71"/>
        <v>903335.86666666681</v>
      </c>
      <c r="BN162" s="158">
        <v>1152721.1333333335</v>
      </c>
      <c r="BO162" s="155">
        <f t="shared" si="72"/>
        <v>1152721.1333333335</v>
      </c>
      <c r="BP162" s="158">
        <v>792038.29333333345</v>
      </c>
      <c r="BQ162" s="155">
        <f t="shared" si="73"/>
        <v>792038.29333333345</v>
      </c>
      <c r="BR162" s="158">
        <v>565872.91377777781</v>
      </c>
      <c r="BS162" s="155">
        <f t="shared" si="74"/>
        <v>565872.91377777781</v>
      </c>
      <c r="BT162" s="194">
        <v>781609.01155555563</v>
      </c>
      <c r="BU162" s="194"/>
      <c r="BV162" s="348">
        <f t="shared" si="79"/>
        <v>781609.01155555563</v>
      </c>
      <c r="BW162" s="195">
        <f t="shared" si="75"/>
        <v>1048840.2204444443</v>
      </c>
      <c r="BX162" s="157">
        <f t="shared" si="80"/>
        <v>262210.05511111108</v>
      </c>
      <c r="BY162" s="157">
        <f>IF(E162*$CJ$10*'Year 7 Payments'!$L$20*IF(B162="",1,0.8)&lt;=(BW162-(J162*350)),E162*$CJ$10*'Year 7 Payments'!$L$20*IF(B162="",1,0.8),BW162-(IF(B162="",1,0.8)*J162*350))</f>
        <v>339663.47490133339</v>
      </c>
      <c r="BZ162" s="157">
        <f t="shared" si="81"/>
        <v>84915.868725333348</v>
      </c>
      <c r="CA162" s="157">
        <f t="shared" si="82"/>
        <v>709176.74554311088</v>
      </c>
      <c r="CB162" s="157">
        <f t="shared" si="83"/>
        <v>177294.18638577772</v>
      </c>
      <c r="CC162" s="157">
        <f t="shared" si="84"/>
        <v>2836706.9821724435</v>
      </c>
      <c r="CD162" s="201">
        <f t="shared" si="85"/>
        <v>709176.74554311088</v>
      </c>
      <c r="CE162" s="155">
        <f t="shared" si="86"/>
        <v>709176.74554311088</v>
      </c>
    </row>
    <row r="163" spans="1:83" x14ac:dyDescent="0.2">
      <c r="A163" s="147" t="s">
        <v>632</v>
      </c>
      <c r="B163" s="57" t="s">
        <v>467</v>
      </c>
      <c r="C163" s="57" t="s">
        <v>459</v>
      </c>
      <c r="D163" s="148" t="s">
        <v>191</v>
      </c>
      <c r="E163" s="197">
        <v>27866.444444444442</v>
      </c>
      <c r="F163" s="147">
        <f t="shared" si="76"/>
        <v>27567</v>
      </c>
      <c r="G163" s="342">
        <v>207</v>
      </c>
      <c r="H163" s="149">
        <f t="shared" si="61"/>
        <v>293</v>
      </c>
      <c r="I163" s="346">
        <v>197.53422222222224</v>
      </c>
      <c r="J163" s="150">
        <v>35</v>
      </c>
      <c r="K163"/>
      <c r="L163" s="151">
        <v>2322</v>
      </c>
      <c r="M163" s="151">
        <v>3657</v>
      </c>
      <c r="N163" s="151">
        <v>7866</v>
      </c>
      <c r="O163" s="151">
        <v>5098</v>
      </c>
      <c r="P163" s="151">
        <v>4336</v>
      </c>
      <c r="Q163" s="151">
        <v>2692</v>
      </c>
      <c r="R163" s="151">
        <v>1421</v>
      </c>
      <c r="S163" s="151">
        <v>175</v>
      </c>
      <c r="T163" s="151">
        <v>27567</v>
      </c>
      <c r="U163" s="147"/>
      <c r="V163" s="152">
        <f t="shared" si="77"/>
        <v>8.4231145935357493E-2</v>
      </c>
      <c r="W163" s="152">
        <f t="shared" si="62"/>
        <v>0.13265861355969094</v>
      </c>
      <c r="X163" s="152">
        <f t="shared" si="63"/>
        <v>0.28534116878876919</v>
      </c>
      <c r="Y163" s="152">
        <f t="shared" si="64"/>
        <v>0.1849312583886531</v>
      </c>
      <c r="Z163" s="152">
        <f t="shared" si="65"/>
        <v>0.15728951282330322</v>
      </c>
      <c r="AA163" s="152">
        <f t="shared" si="66"/>
        <v>9.7652990894910585E-2</v>
      </c>
      <c r="AB163" s="152">
        <f t="shared" si="67"/>
        <v>5.154713969601335E-2</v>
      </c>
      <c r="AC163" s="152">
        <f t="shared" si="68"/>
        <v>6.3481699133021369E-3</v>
      </c>
      <c r="AD163" s="152"/>
      <c r="AE163" s="221">
        <v>29</v>
      </c>
      <c r="AF163" s="221">
        <v>26</v>
      </c>
      <c r="AG163" s="221">
        <v>111</v>
      </c>
      <c r="AH163" s="221">
        <v>18</v>
      </c>
      <c r="AI163" s="221">
        <v>38</v>
      </c>
      <c r="AJ163" s="221">
        <v>62</v>
      </c>
      <c r="AK163" s="221">
        <v>16</v>
      </c>
      <c r="AL163" s="221">
        <v>4</v>
      </c>
      <c r="AM163" s="221">
        <v>304</v>
      </c>
      <c r="AN163" s="147"/>
      <c r="AO163" s="221">
        <v>7</v>
      </c>
      <c r="AP163" s="221">
        <v>-12</v>
      </c>
      <c r="AQ163" s="221">
        <v>-4</v>
      </c>
      <c r="AR163" s="221">
        <v>4</v>
      </c>
      <c r="AS163" s="221">
        <v>8</v>
      </c>
      <c r="AT163" s="221">
        <v>6</v>
      </c>
      <c r="AU163" s="221">
        <v>1</v>
      </c>
      <c r="AV163" s="221">
        <v>1</v>
      </c>
      <c r="AW163" s="221">
        <v>11</v>
      </c>
      <c r="AX163" s="56">
        <f t="shared" si="88"/>
        <v>-7</v>
      </c>
      <c r="AY163" s="56">
        <f t="shared" si="88"/>
        <v>12</v>
      </c>
      <c r="AZ163" s="56">
        <f t="shared" si="88"/>
        <v>4</v>
      </c>
      <c r="BA163" s="56">
        <f t="shared" si="87"/>
        <v>-4</v>
      </c>
      <c r="BB163" s="56">
        <f t="shared" si="87"/>
        <v>-8</v>
      </c>
      <c r="BC163" s="56">
        <f t="shared" si="87"/>
        <v>-6</v>
      </c>
      <c r="BD163" s="56">
        <f t="shared" si="87"/>
        <v>-1</v>
      </c>
      <c r="BE163" s="56">
        <f t="shared" si="59"/>
        <v>-1</v>
      </c>
      <c r="BF163" s="56">
        <f t="shared" si="58"/>
        <v>-11</v>
      </c>
      <c r="BH163">
        <f t="shared" si="69"/>
        <v>0.8</v>
      </c>
      <c r="BI163">
        <f t="shared" si="78"/>
        <v>0.19999999999999996</v>
      </c>
      <c r="BJ163" s="154">
        <v>193175.30666666673</v>
      </c>
      <c r="BK163" s="155">
        <f t="shared" si="70"/>
        <v>193175.30666666673</v>
      </c>
      <c r="BL163" s="156">
        <v>56933.497777777782</v>
      </c>
      <c r="BM163" s="155">
        <f t="shared" si="71"/>
        <v>56933.497777777782</v>
      </c>
      <c r="BN163" s="158">
        <v>163501.96355555556</v>
      </c>
      <c r="BO163" s="155">
        <f t="shared" si="72"/>
        <v>163501.96355555556</v>
      </c>
      <c r="BP163" s="158">
        <v>158038.71999999997</v>
      </c>
      <c r="BQ163" s="155">
        <f t="shared" si="73"/>
        <v>158038.71999999997</v>
      </c>
      <c r="BR163" s="158">
        <v>61233.640888888891</v>
      </c>
      <c r="BS163" s="155">
        <f t="shared" si="74"/>
        <v>61233.640888888891</v>
      </c>
      <c r="BT163" s="194">
        <v>162780.99911111116</v>
      </c>
      <c r="BU163" s="194"/>
      <c r="BV163" s="348">
        <f t="shared" si="79"/>
        <v>162780.99911111116</v>
      </c>
      <c r="BW163" s="195">
        <f t="shared" si="75"/>
        <v>387907.23200000002</v>
      </c>
      <c r="BX163" s="157">
        <f t="shared" si="80"/>
        <v>96976.808000000005</v>
      </c>
      <c r="BY163" s="157">
        <f>IF(E163*$CJ$10*'Year 7 Payments'!$L$20*IF(B163="",1,0.8)&lt;=(BW163-(J163*350)),E163*$CJ$10*'Year 7 Payments'!$L$20*IF(B163="",1,0.8),BW163-(IF(B163="",1,0.8)*J163*350))</f>
        <v>136394.87604622223</v>
      </c>
      <c r="BZ163" s="157">
        <f t="shared" si="81"/>
        <v>34098.719011555557</v>
      </c>
      <c r="CA163" s="157">
        <f t="shared" si="82"/>
        <v>251512.35595377779</v>
      </c>
      <c r="CB163" s="157">
        <f t="shared" si="83"/>
        <v>62878.088988444448</v>
      </c>
      <c r="CC163" s="157">
        <f t="shared" si="84"/>
        <v>1006049.4238151112</v>
      </c>
      <c r="CD163" s="201">
        <f t="shared" si="85"/>
        <v>251512.35595377779</v>
      </c>
      <c r="CE163" s="155">
        <f t="shared" si="86"/>
        <v>251512.35595377779</v>
      </c>
    </row>
    <row r="164" spans="1:83" x14ac:dyDescent="0.2">
      <c r="A164" s="147" t="s">
        <v>633</v>
      </c>
      <c r="B164" s="57" t="s">
        <v>498</v>
      </c>
      <c r="C164" s="57" t="s">
        <v>476</v>
      </c>
      <c r="D164" s="148" t="s">
        <v>192</v>
      </c>
      <c r="E164" s="197">
        <v>34696</v>
      </c>
      <c r="F164" s="147">
        <f t="shared" si="76"/>
        <v>34764</v>
      </c>
      <c r="G164" s="342">
        <v>381</v>
      </c>
      <c r="H164" s="149">
        <f t="shared" si="61"/>
        <v>242</v>
      </c>
      <c r="I164" s="346">
        <v>147.54933333333338</v>
      </c>
      <c r="J164" s="150">
        <v>83</v>
      </c>
      <c r="K164"/>
      <c r="L164" s="151">
        <v>3779</v>
      </c>
      <c r="M164" s="151">
        <v>7232</v>
      </c>
      <c r="N164" s="151">
        <v>7488</v>
      </c>
      <c r="O164" s="151">
        <v>5475</v>
      </c>
      <c r="P164" s="151">
        <v>4827</v>
      </c>
      <c r="Q164" s="151">
        <v>3586</v>
      </c>
      <c r="R164" s="151">
        <v>2252</v>
      </c>
      <c r="S164" s="151">
        <v>125</v>
      </c>
      <c r="T164" s="151">
        <v>34764</v>
      </c>
      <c r="U164" s="147"/>
      <c r="V164" s="152">
        <f t="shared" si="77"/>
        <v>0.10870440685766886</v>
      </c>
      <c r="W164" s="152">
        <f t="shared" si="62"/>
        <v>0.20803129674375792</v>
      </c>
      <c r="X164" s="152">
        <f t="shared" si="63"/>
        <v>0.21539523645150155</v>
      </c>
      <c r="Y164" s="152">
        <f t="shared" si="64"/>
        <v>0.1574905074214705</v>
      </c>
      <c r="Z164" s="152">
        <f t="shared" si="65"/>
        <v>0.13885053503624439</v>
      </c>
      <c r="AA164" s="152">
        <f t="shared" si="66"/>
        <v>0.10315268668737775</v>
      </c>
      <c r="AB164" s="152">
        <f t="shared" si="67"/>
        <v>6.4779657116557351E-2</v>
      </c>
      <c r="AC164" s="152">
        <f t="shared" si="68"/>
        <v>3.5956736854217005E-3</v>
      </c>
      <c r="AD164" s="152"/>
      <c r="AE164" s="221">
        <v>-56</v>
      </c>
      <c r="AF164" s="221">
        <v>33</v>
      </c>
      <c r="AG164" s="221">
        <v>62</v>
      </c>
      <c r="AH164" s="221">
        <v>29</v>
      </c>
      <c r="AI164" s="221">
        <v>47</v>
      </c>
      <c r="AJ164" s="221">
        <v>74</v>
      </c>
      <c r="AK164" s="221">
        <v>19</v>
      </c>
      <c r="AL164" s="221">
        <v>0</v>
      </c>
      <c r="AM164" s="221">
        <v>208</v>
      </c>
      <c r="AN164" s="147"/>
      <c r="AO164" s="221">
        <v>-27</v>
      </c>
      <c r="AP164" s="221">
        <v>-20</v>
      </c>
      <c r="AQ164" s="221">
        <v>0</v>
      </c>
      <c r="AR164" s="221">
        <v>1</v>
      </c>
      <c r="AS164" s="221">
        <v>5</v>
      </c>
      <c r="AT164" s="221">
        <v>11</v>
      </c>
      <c r="AU164" s="221">
        <v>-2</v>
      </c>
      <c r="AV164" s="221">
        <v>-2</v>
      </c>
      <c r="AW164" s="221">
        <v>-34</v>
      </c>
      <c r="AX164" s="56">
        <f t="shared" si="88"/>
        <v>27</v>
      </c>
      <c r="AY164" s="56">
        <f t="shared" si="88"/>
        <v>20</v>
      </c>
      <c r="AZ164" s="56">
        <f t="shared" si="88"/>
        <v>0</v>
      </c>
      <c r="BA164" s="56">
        <f t="shared" si="87"/>
        <v>-1</v>
      </c>
      <c r="BB164" s="56">
        <f t="shared" si="87"/>
        <v>-5</v>
      </c>
      <c r="BC164" s="56">
        <f t="shared" si="87"/>
        <v>-11</v>
      </c>
      <c r="BD164" s="56">
        <f t="shared" si="87"/>
        <v>2</v>
      </c>
      <c r="BE164" s="56">
        <f t="shared" si="59"/>
        <v>2</v>
      </c>
      <c r="BF164" s="56">
        <f t="shared" si="58"/>
        <v>34</v>
      </c>
      <c r="BH164">
        <f t="shared" si="69"/>
        <v>0.8</v>
      </c>
      <c r="BI164">
        <f t="shared" si="78"/>
        <v>0.19999999999999996</v>
      </c>
      <c r="BJ164" s="154">
        <v>409761.92533333343</v>
      </c>
      <c r="BK164" s="155">
        <f t="shared" si="70"/>
        <v>409761.92533333343</v>
      </c>
      <c r="BL164" s="156">
        <v>341767.63733333332</v>
      </c>
      <c r="BM164" s="155">
        <f t="shared" si="71"/>
        <v>341767.63733333332</v>
      </c>
      <c r="BN164" s="158">
        <v>305493.5795555556</v>
      </c>
      <c r="BO164" s="155">
        <f t="shared" si="72"/>
        <v>305493.5795555556</v>
      </c>
      <c r="BP164" s="158">
        <v>321150.82666666666</v>
      </c>
      <c r="BQ164" s="155">
        <f t="shared" si="73"/>
        <v>321150.82666666666</v>
      </c>
      <c r="BR164" s="158">
        <v>383161.50400000007</v>
      </c>
      <c r="BS164" s="155">
        <f t="shared" si="74"/>
        <v>383161.50400000007</v>
      </c>
      <c r="BT164" s="194">
        <v>220761.39555555556</v>
      </c>
      <c r="BU164" s="194"/>
      <c r="BV164" s="348">
        <f t="shared" si="79"/>
        <v>220761.39555555556</v>
      </c>
      <c r="BW164" s="195">
        <f t="shared" si="75"/>
        <v>373611.21066666668</v>
      </c>
      <c r="BX164" s="157">
        <f t="shared" si="80"/>
        <v>93402.80266666667</v>
      </c>
      <c r="BY164" s="157">
        <f>IF(E164*$CJ$10*'Year 7 Payments'!$L$20*IF(B164="",1,0.8)&lt;=(BW164-(J164*350)),E164*$CJ$10*'Year 7 Payments'!$L$20*IF(B164="",1,0.8),BW164-(IF(B164="",1,0.8)*J164*350))</f>
        <v>169822.76403200001</v>
      </c>
      <c r="BZ164" s="157">
        <f t="shared" si="81"/>
        <v>42455.691008000002</v>
      </c>
      <c r="CA164" s="157">
        <f t="shared" si="82"/>
        <v>203788.44663466667</v>
      </c>
      <c r="CB164" s="157">
        <f t="shared" si="83"/>
        <v>50947.111658666669</v>
      </c>
      <c r="CC164" s="157">
        <f t="shared" si="84"/>
        <v>815153.7865386667</v>
      </c>
      <c r="CD164" s="201">
        <f t="shared" si="85"/>
        <v>203788.44663466667</v>
      </c>
      <c r="CE164" s="155">
        <f t="shared" si="86"/>
        <v>203788.44663466667</v>
      </c>
    </row>
    <row r="165" spans="1:83" x14ac:dyDescent="0.2">
      <c r="A165" s="147" t="s">
        <v>634</v>
      </c>
      <c r="B165" s="57"/>
      <c r="C165" s="57" t="s">
        <v>446</v>
      </c>
      <c r="D165" s="148" t="s">
        <v>193</v>
      </c>
      <c r="E165" s="197">
        <v>169675.22222222222</v>
      </c>
      <c r="F165" s="147">
        <f t="shared" si="76"/>
        <v>225322</v>
      </c>
      <c r="G165" s="342">
        <v>1365</v>
      </c>
      <c r="H165" s="149">
        <f t="shared" si="61"/>
        <v>1663</v>
      </c>
      <c r="I165" s="346">
        <v>699.96577777777759</v>
      </c>
      <c r="J165" s="150">
        <v>115</v>
      </c>
      <c r="K165"/>
      <c r="L165" s="151">
        <v>131751</v>
      </c>
      <c r="M165" s="151">
        <v>38202</v>
      </c>
      <c r="N165" s="151">
        <v>31948</v>
      </c>
      <c r="O165" s="151">
        <v>15131</v>
      </c>
      <c r="P165" s="151">
        <v>5398</v>
      </c>
      <c r="Q165" s="151">
        <v>2003</v>
      </c>
      <c r="R165" s="151">
        <v>787</v>
      </c>
      <c r="S165" s="151">
        <v>102</v>
      </c>
      <c r="T165" s="151">
        <v>225322</v>
      </c>
      <c r="U165" s="147"/>
      <c r="V165" s="152">
        <f t="shared" si="77"/>
        <v>0.58472319613708379</v>
      </c>
      <c r="W165" s="152">
        <f t="shared" si="62"/>
        <v>0.16954403032105164</v>
      </c>
      <c r="X165" s="152">
        <f t="shared" si="63"/>
        <v>0.14178819644775034</v>
      </c>
      <c r="Y165" s="152">
        <f t="shared" si="64"/>
        <v>6.7152785791001326E-2</v>
      </c>
      <c r="Z165" s="152">
        <f t="shared" si="65"/>
        <v>2.3956826230905105E-2</v>
      </c>
      <c r="AA165" s="152">
        <f t="shared" si="66"/>
        <v>8.8895003594855367E-3</v>
      </c>
      <c r="AB165" s="152">
        <f t="shared" si="67"/>
        <v>3.4927792226236232E-3</v>
      </c>
      <c r="AC165" s="152">
        <f t="shared" si="68"/>
        <v>4.5268549009861445E-4</v>
      </c>
      <c r="AD165" s="152"/>
      <c r="AE165" s="221">
        <v>228</v>
      </c>
      <c r="AF165" s="221">
        <v>506</v>
      </c>
      <c r="AG165" s="221">
        <v>492</v>
      </c>
      <c r="AH165" s="221">
        <v>166</v>
      </c>
      <c r="AI165" s="221">
        <v>8</v>
      </c>
      <c r="AJ165" s="221">
        <v>12</v>
      </c>
      <c r="AK165" s="221">
        <v>18</v>
      </c>
      <c r="AL165" s="221">
        <v>-1</v>
      </c>
      <c r="AM165" s="221">
        <v>1429</v>
      </c>
      <c r="AN165" s="147"/>
      <c r="AO165" s="221">
        <v>-135</v>
      </c>
      <c r="AP165" s="221">
        <v>-47</v>
      </c>
      <c r="AQ165" s="221">
        <v>-43</v>
      </c>
      <c r="AR165" s="221">
        <v>-10</v>
      </c>
      <c r="AS165" s="221">
        <v>4</v>
      </c>
      <c r="AT165" s="221">
        <v>-1</v>
      </c>
      <c r="AU165" s="221">
        <v>-2</v>
      </c>
      <c r="AV165" s="221">
        <v>0</v>
      </c>
      <c r="AW165" s="221">
        <v>-234</v>
      </c>
      <c r="AX165" s="56">
        <f t="shared" si="88"/>
        <v>135</v>
      </c>
      <c r="AY165" s="56">
        <f t="shared" si="88"/>
        <v>47</v>
      </c>
      <c r="AZ165" s="56">
        <f t="shared" si="88"/>
        <v>43</v>
      </c>
      <c r="BA165" s="56">
        <f t="shared" si="87"/>
        <v>10</v>
      </c>
      <c r="BB165" s="56">
        <f t="shared" si="87"/>
        <v>-4</v>
      </c>
      <c r="BC165" s="56">
        <f t="shared" si="87"/>
        <v>1</v>
      </c>
      <c r="BD165" s="56">
        <f t="shared" si="87"/>
        <v>2</v>
      </c>
      <c r="BE165" s="56">
        <f t="shared" si="59"/>
        <v>0</v>
      </c>
      <c r="BF165" s="56">
        <f t="shared" si="59"/>
        <v>234</v>
      </c>
      <c r="BH165">
        <f t="shared" si="69"/>
        <v>1</v>
      </c>
      <c r="BI165">
        <f t="shared" si="78"/>
        <v>0</v>
      </c>
      <c r="BJ165" s="154">
        <v>2616342.0466666664</v>
      </c>
      <c r="BK165" s="155">
        <f t="shared" si="70"/>
        <v>2616342.0466666664</v>
      </c>
      <c r="BL165" s="156">
        <v>2036373.6644444442</v>
      </c>
      <c r="BM165" s="155">
        <f t="shared" si="71"/>
        <v>2036373.6644444442</v>
      </c>
      <c r="BN165" s="158">
        <v>871573.87333333329</v>
      </c>
      <c r="BO165" s="155">
        <f t="shared" si="72"/>
        <v>871573.87333333329</v>
      </c>
      <c r="BP165" s="158">
        <v>3438905.2</v>
      </c>
      <c r="BQ165" s="155">
        <f t="shared" si="73"/>
        <v>3438905.2</v>
      </c>
      <c r="BR165" s="158">
        <v>1300716.9511111111</v>
      </c>
      <c r="BS165" s="155">
        <f t="shared" si="74"/>
        <v>1300716.9511111111</v>
      </c>
      <c r="BT165" s="194">
        <v>2864521.52</v>
      </c>
      <c r="BU165" s="194"/>
      <c r="BV165" s="348">
        <f t="shared" si="79"/>
        <v>2864521.52</v>
      </c>
      <c r="BW165" s="195">
        <f t="shared" si="75"/>
        <v>2149003.3866666663</v>
      </c>
      <c r="BX165" s="157" t="str">
        <f t="shared" si="80"/>
        <v>0</v>
      </c>
      <c r="BY165" s="157">
        <f>IF(E165*$CJ$10*'Year 7 Payments'!$L$20*IF(B165="",1,0.8)&lt;=(BW165-(J165*350)),E165*$CJ$10*'Year 7 Payments'!$L$20*IF(B165="",1,0.8),BW165-(IF(B165="",1,0.8)*J165*350))</f>
        <v>1038113.7316088888</v>
      </c>
      <c r="BZ165" s="157" t="str">
        <f t="shared" si="81"/>
        <v>0</v>
      </c>
      <c r="CA165" s="157">
        <f t="shared" si="82"/>
        <v>1110889.6550577774</v>
      </c>
      <c r="CB165" s="157">
        <f t="shared" si="83"/>
        <v>0</v>
      </c>
      <c r="CC165" s="157">
        <f t="shared" si="84"/>
        <v>4443558.6202311097</v>
      </c>
      <c r="CD165" s="201">
        <f t="shared" si="85"/>
        <v>0</v>
      </c>
      <c r="CE165" s="155">
        <f t="shared" si="86"/>
        <v>1110889.6550577774</v>
      </c>
    </row>
    <row r="166" spans="1:83" x14ac:dyDescent="0.2">
      <c r="A166" s="147" t="s">
        <v>635</v>
      </c>
      <c r="B166" s="57" t="s">
        <v>452</v>
      </c>
      <c r="C166" s="57" t="s">
        <v>449</v>
      </c>
      <c r="D166" s="148" t="s">
        <v>194</v>
      </c>
      <c r="E166" s="197">
        <v>36782.888888888891</v>
      </c>
      <c r="F166" s="147">
        <f t="shared" si="76"/>
        <v>48765</v>
      </c>
      <c r="G166" s="342">
        <v>610</v>
      </c>
      <c r="H166" s="149">
        <f t="shared" si="61"/>
        <v>426</v>
      </c>
      <c r="I166" s="346">
        <v>198.20177777777775</v>
      </c>
      <c r="J166" s="150">
        <v>109</v>
      </c>
      <c r="K166"/>
      <c r="L166" s="151">
        <v>26945</v>
      </c>
      <c r="M166" s="151">
        <v>9505</v>
      </c>
      <c r="N166" s="151">
        <v>6571</v>
      </c>
      <c r="O166" s="151">
        <v>3711</v>
      </c>
      <c r="P166" s="151">
        <v>1435</v>
      </c>
      <c r="Q166" s="151">
        <v>390</v>
      </c>
      <c r="R166" s="151">
        <v>182</v>
      </c>
      <c r="S166" s="151">
        <v>26</v>
      </c>
      <c r="T166" s="151">
        <v>48765</v>
      </c>
      <c r="U166" s="147"/>
      <c r="V166" s="152">
        <f t="shared" si="77"/>
        <v>0.55254793396903512</v>
      </c>
      <c r="W166" s="152">
        <f t="shared" si="62"/>
        <v>0.19491438531733826</v>
      </c>
      <c r="X166" s="152">
        <f t="shared" si="63"/>
        <v>0.13474828257971905</v>
      </c>
      <c r="Y166" s="152">
        <f t="shared" si="64"/>
        <v>7.6099661642571523E-2</v>
      </c>
      <c r="Z166" s="152">
        <f t="shared" si="65"/>
        <v>2.9426843022659695E-2</v>
      </c>
      <c r="AA166" s="152">
        <f t="shared" si="66"/>
        <v>7.9975392187019382E-3</v>
      </c>
      <c r="AB166" s="152">
        <f t="shared" si="67"/>
        <v>3.7321849687275712E-3</v>
      </c>
      <c r="AC166" s="152">
        <f t="shared" si="68"/>
        <v>5.3316928124679582E-4</v>
      </c>
      <c r="AD166" s="152"/>
      <c r="AE166" s="221">
        <v>154</v>
      </c>
      <c r="AF166" s="221">
        <v>55</v>
      </c>
      <c r="AG166" s="221">
        <v>60</v>
      </c>
      <c r="AH166" s="221">
        <v>39</v>
      </c>
      <c r="AI166" s="221">
        <v>25</v>
      </c>
      <c r="AJ166" s="221">
        <v>13</v>
      </c>
      <c r="AK166" s="221">
        <v>3</v>
      </c>
      <c r="AL166" s="221">
        <v>2</v>
      </c>
      <c r="AM166" s="221">
        <v>351</v>
      </c>
      <c r="AN166" s="147"/>
      <c r="AO166" s="221">
        <v>-56</v>
      </c>
      <c r="AP166" s="221">
        <v>-31</v>
      </c>
      <c r="AQ166" s="221">
        <v>4</v>
      </c>
      <c r="AR166" s="221">
        <v>6</v>
      </c>
      <c r="AS166" s="221">
        <v>1</v>
      </c>
      <c r="AT166" s="221">
        <v>1</v>
      </c>
      <c r="AU166" s="221">
        <v>0</v>
      </c>
      <c r="AV166" s="221">
        <v>0</v>
      </c>
      <c r="AW166" s="221">
        <v>-75</v>
      </c>
      <c r="AX166" s="56">
        <f t="shared" si="88"/>
        <v>56</v>
      </c>
      <c r="AY166" s="56">
        <f t="shared" si="88"/>
        <v>31</v>
      </c>
      <c r="AZ166" s="56">
        <f t="shared" si="88"/>
        <v>-4</v>
      </c>
      <c r="BA166" s="56">
        <f t="shared" si="87"/>
        <v>-6</v>
      </c>
      <c r="BB166" s="56">
        <f t="shared" si="87"/>
        <v>-1</v>
      </c>
      <c r="BC166" s="56">
        <f t="shared" si="87"/>
        <v>-1</v>
      </c>
      <c r="BD166" s="56">
        <f t="shared" si="87"/>
        <v>0</v>
      </c>
      <c r="BE166" s="56">
        <f t="shared" si="59"/>
        <v>0</v>
      </c>
      <c r="BF166" s="56">
        <f t="shared" si="59"/>
        <v>75</v>
      </c>
      <c r="BH166">
        <f t="shared" si="69"/>
        <v>0.8</v>
      </c>
      <c r="BI166">
        <f t="shared" si="78"/>
        <v>0.19999999999999996</v>
      </c>
      <c r="BJ166" s="154">
        <v>207119.74933333334</v>
      </c>
      <c r="BK166" s="155">
        <f t="shared" si="70"/>
        <v>207119.74933333334</v>
      </c>
      <c r="BL166" s="156">
        <v>152131.61066666667</v>
      </c>
      <c r="BM166" s="155">
        <f t="shared" si="71"/>
        <v>152131.61066666667</v>
      </c>
      <c r="BN166" s="158">
        <v>169020.12800000003</v>
      </c>
      <c r="BO166" s="155">
        <f t="shared" si="72"/>
        <v>169020.12800000003</v>
      </c>
      <c r="BP166" s="158">
        <v>336433.60000000009</v>
      </c>
      <c r="BQ166" s="155">
        <f t="shared" si="73"/>
        <v>336433.60000000009</v>
      </c>
      <c r="BR166" s="158">
        <v>397189.12711111107</v>
      </c>
      <c r="BS166" s="155">
        <f t="shared" si="74"/>
        <v>397189.12711111107</v>
      </c>
      <c r="BT166" s="194">
        <v>263911.93422222225</v>
      </c>
      <c r="BU166" s="194"/>
      <c r="BV166" s="348">
        <f t="shared" si="79"/>
        <v>263911.93422222225</v>
      </c>
      <c r="BW166" s="195">
        <f t="shared" si="75"/>
        <v>453086.44266666658</v>
      </c>
      <c r="BX166" s="157">
        <f t="shared" si="80"/>
        <v>113271.61066666665</v>
      </c>
      <c r="BY166" s="157">
        <f>IF(E166*$CJ$10*'Year 7 Payments'!$L$20*IF(B166="",1,0.8)&lt;=(BW166-(J166*350)),E166*$CJ$10*'Year 7 Payments'!$L$20*IF(B166="",1,0.8),BW166-(IF(B166="",1,0.8)*J166*350))</f>
        <v>180037.23369244445</v>
      </c>
      <c r="BZ166" s="157">
        <f t="shared" si="81"/>
        <v>45009.308423111113</v>
      </c>
      <c r="CA166" s="157">
        <f t="shared" si="82"/>
        <v>273049.20897422213</v>
      </c>
      <c r="CB166" s="157">
        <f t="shared" si="83"/>
        <v>68262.302243555532</v>
      </c>
      <c r="CC166" s="157">
        <f t="shared" si="84"/>
        <v>1092196.8358968885</v>
      </c>
      <c r="CD166" s="201">
        <f t="shared" si="85"/>
        <v>273049.20897422213</v>
      </c>
      <c r="CE166" s="155">
        <f t="shared" si="86"/>
        <v>273049.20897422213</v>
      </c>
    </row>
    <row r="167" spans="1:83" x14ac:dyDescent="0.2">
      <c r="A167" s="147" t="s">
        <v>636</v>
      </c>
      <c r="B167" s="57"/>
      <c r="C167" s="57" t="s">
        <v>443</v>
      </c>
      <c r="D167" s="148" t="s">
        <v>195</v>
      </c>
      <c r="E167" s="197">
        <v>101383.11111111109</v>
      </c>
      <c r="F167" s="147">
        <f t="shared" si="76"/>
        <v>113802</v>
      </c>
      <c r="G167" s="342">
        <v>817</v>
      </c>
      <c r="H167" s="149">
        <f t="shared" si="61"/>
        <v>411</v>
      </c>
      <c r="I167" s="346">
        <v>30.800888888889006</v>
      </c>
      <c r="J167" s="150">
        <v>189</v>
      </c>
      <c r="K167"/>
      <c r="L167" s="151">
        <v>11161</v>
      </c>
      <c r="M167" s="151">
        <v>38021</v>
      </c>
      <c r="N167" s="151">
        <v>33423</v>
      </c>
      <c r="O167" s="151">
        <v>17255</v>
      </c>
      <c r="P167" s="151">
        <v>8761</v>
      </c>
      <c r="Q167" s="151">
        <v>3752</v>
      </c>
      <c r="R167" s="151">
        <v>1363</v>
      </c>
      <c r="S167" s="151">
        <v>66</v>
      </c>
      <c r="T167" s="151">
        <v>113802</v>
      </c>
      <c r="U167" s="147"/>
      <c r="V167" s="152">
        <f t="shared" si="77"/>
        <v>9.807384755979684E-2</v>
      </c>
      <c r="W167" s="152">
        <f t="shared" si="62"/>
        <v>0.33409781901899793</v>
      </c>
      <c r="X167" s="152">
        <f t="shared" si="63"/>
        <v>0.29369431117203565</v>
      </c>
      <c r="Y167" s="152">
        <f t="shared" si="64"/>
        <v>0.15162299432347409</v>
      </c>
      <c r="Z167" s="152">
        <f t="shared" si="65"/>
        <v>7.6984587265601659E-2</v>
      </c>
      <c r="AA167" s="152">
        <f t="shared" si="66"/>
        <v>3.2969543593258467E-2</v>
      </c>
      <c r="AB167" s="152">
        <f t="shared" si="67"/>
        <v>1.1976942408745013E-2</v>
      </c>
      <c r="AC167" s="152">
        <f t="shared" si="68"/>
        <v>5.799546580903675E-4</v>
      </c>
      <c r="AD167" s="152"/>
      <c r="AE167" s="221">
        <v>-13</v>
      </c>
      <c r="AF167" s="221">
        <v>75</v>
      </c>
      <c r="AG167" s="221">
        <v>63</v>
      </c>
      <c r="AH167" s="221">
        <v>74</v>
      </c>
      <c r="AI167" s="221">
        <v>65</v>
      </c>
      <c r="AJ167" s="221">
        <v>68</v>
      </c>
      <c r="AK167" s="221">
        <v>16</v>
      </c>
      <c r="AL167" s="221">
        <v>1</v>
      </c>
      <c r="AM167" s="221">
        <v>349</v>
      </c>
      <c r="AN167" s="147"/>
      <c r="AO167" s="221">
        <v>-20</v>
      </c>
      <c r="AP167" s="221">
        <v>-27</v>
      </c>
      <c r="AQ167" s="221">
        <v>4</v>
      </c>
      <c r="AR167" s="221">
        <v>-10</v>
      </c>
      <c r="AS167" s="221">
        <v>-11</v>
      </c>
      <c r="AT167" s="221">
        <v>-1</v>
      </c>
      <c r="AU167" s="221">
        <v>2</v>
      </c>
      <c r="AV167" s="221">
        <v>1</v>
      </c>
      <c r="AW167" s="221">
        <v>-62</v>
      </c>
      <c r="AX167" s="56">
        <f t="shared" si="88"/>
        <v>20</v>
      </c>
      <c r="AY167" s="56">
        <f t="shared" si="88"/>
        <v>27</v>
      </c>
      <c r="AZ167" s="56">
        <f t="shared" si="88"/>
        <v>-4</v>
      </c>
      <c r="BA167" s="56">
        <f t="shared" si="87"/>
        <v>10</v>
      </c>
      <c r="BB167" s="56">
        <f t="shared" si="87"/>
        <v>11</v>
      </c>
      <c r="BC167" s="56">
        <f t="shared" si="87"/>
        <v>1</v>
      </c>
      <c r="BD167" s="56">
        <f t="shared" si="87"/>
        <v>-2</v>
      </c>
      <c r="BE167" s="56">
        <f t="shared" si="59"/>
        <v>-1</v>
      </c>
      <c r="BF167" s="56">
        <f t="shared" si="59"/>
        <v>62</v>
      </c>
      <c r="BH167">
        <f t="shared" si="69"/>
        <v>1</v>
      </c>
      <c r="BI167">
        <f t="shared" si="78"/>
        <v>0</v>
      </c>
      <c r="BJ167" s="154">
        <v>1040715.9733333334</v>
      </c>
      <c r="BK167" s="155">
        <f t="shared" si="70"/>
        <v>1040715.9733333334</v>
      </c>
      <c r="BL167" s="156">
        <v>1276522.8088888887</v>
      </c>
      <c r="BM167" s="155">
        <f t="shared" si="71"/>
        <v>1276522.8088888887</v>
      </c>
      <c r="BN167" s="158">
        <v>1177693.7144444445</v>
      </c>
      <c r="BO167" s="155">
        <f t="shared" si="72"/>
        <v>1177693.7144444445</v>
      </c>
      <c r="BP167" s="158">
        <v>1907683.5999999999</v>
      </c>
      <c r="BQ167" s="155">
        <f t="shared" si="73"/>
        <v>1907683.5999999999</v>
      </c>
      <c r="BR167" s="158">
        <v>621573.23111111112</v>
      </c>
      <c r="BS167" s="155">
        <f t="shared" si="74"/>
        <v>621573.23111111112</v>
      </c>
      <c r="BT167" s="194">
        <v>1438321.608888889</v>
      </c>
      <c r="BU167" s="194"/>
      <c r="BV167" s="348">
        <f t="shared" si="79"/>
        <v>1438321.608888889</v>
      </c>
      <c r="BW167" s="195">
        <f t="shared" si="75"/>
        <v>733548.01333333342</v>
      </c>
      <c r="BX167" s="157" t="str">
        <f t="shared" si="80"/>
        <v>0</v>
      </c>
      <c r="BY167" s="157">
        <f>IF(E167*$CJ$10*'Year 7 Payments'!$L$20*IF(B167="",1,0.8)&lt;=(BW167-(J167*350)),E167*$CJ$10*'Year 7 Payments'!$L$20*IF(B167="",1,0.8),BW167-(IF(B167="",1,0.8)*J167*350))</f>
        <v>620286.20572444424</v>
      </c>
      <c r="BZ167" s="157" t="str">
        <f t="shared" si="81"/>
        <v>0</v>
      </c>
      <c r="CA167" s="157">
        <f t="shared" si="82"/>
        <v>113261.80760888918</v>
      </c>
      <c r="CB167" s="157">
        <f t="shared" si="83"/>
        <v>0</v>
      </c>
      <c r="CC167" s="157">
        <f t="shared" si="84"/>
        <v>453047.23043555673</v>
      </c>
      <c r="CD167" s="201">
        <f t="shared" si="85"/>
        <v>0</v>
      </c>
      <c r="CE167" s="155">
        <f t="shared" si="86"/>
        <v>113261.80760888918</v>
      </c>
    </row>
    <row r="168" spans="1:83" x14ac:dyDescent="0.2">
      <c r="A168" s="147" t="s">
        <v>637</v>
      </c>
      <c r="B168" s="57" t="s">
        <v>478</v>
      </c>
      <c r="C168" s="57" t="s">
        <v>449</v>
      </c>
      <c r="D168" s="148" t="s">
        <v>196</v>
      </c>
      <c r="E168" s="197">
        <v>21095.777777777781</v>
      </c>
      <c r="F168" s="147">
        <f t="shared" si="76"/>
        <v>22609</v>
      </c>
      <c r="G168" s="342">
        <v>98</v>
      </c>
      <c r="H168" s="149">
        <f t="shared" si="61"/>
        <v>101</v>
      </c>
      <c r="I168" s="346">
        <v>5.1724444444444515</v>
      </c>
      <c r="J168" s="150">
        <v>10</v>
      </c>
      <c r="K168"/>
      <c r="L168" s="151">
        <v>3567</v>
      </c>
      <c r="M168" s="151">
        <v>7083</v>
      </c>
      <c r="N168" s="151">
        <v>3743</v>
      </c>
      <c r="O168" s="151">
        <v>3475</v>
      </c>
      <c r="P168" s="151">
        <v>2330</v>
      </c>
      <c r="Q168" s="151">
        <v>1385</v>
      </c>
      <c r="R168" s="151">
        <v>936</v>
      </c>
      <c r="S168" s="151">
        <v>90</v>
      </c>
      <c r="T168" s="151">
        <v>22609</v>
      </c>
      <c r="U168" s="147"/>
      <c r="V168" s="152">
        <f t="shared" si="77"/>
        <v>0.15776903003228804</v>
      </c>
      <c r="W168" s="152">
        <f t="shared" si="62"/>
        <v>0.31328232119952232</v>
      </c>
      <c r="X168" s="152">
        <f t="shared" si="63"/>
        <v>0.16555354062541466</v>
      </c>
      <c r="Y168" s="152">
        <f t="shared" si="64"/>
        <v>0.15369985404042638</v>
      </c>
      <c r="Z168" s="152">
        <f t="shared" si="65"/>
        <v>0.1030563050112787</v>
      </c>
      <c r="AA168" s="152">
        <f t="shared" si="66"/>
        <v>6.1258790747047633E-2</v>
      </c>
      <c r="AB168" s="152">
        <f t="shared" si="67"/>
        <v>4.1399442699809809E-2</v>
      </c>
      <c r="AC168" s="152">
        <f t="shared" si="68"/>
        <v>3.9807156442124821E-3</v>
      </c>
      <c r="AD168" s="152"/>
      <c r="AE168" s="221">
        <v>19</v>
      </c>
      <c r="AF168" s="221">
        <v>47</v>
      </c>
      <c r="AG168" s="221">
        <v>1</v>
      </c>
      <c r="AH168" s="221">
        <v>18</v>
      </c>
      <c r="AI168" s="221">
        <v>8</v>
      </c>
      <c r="AJ168" s="221">
        <v>4</v>
      </c>
      <c r="AK168" s="221">
        <v>6</v>
      </c>
      <c r="AL168" s="221">
        <v>0</v>
      </c>
      <c r="AM168" s="221">
        <v>103</v>
      </c>
      <c r="AN168" s="147"/>
      <c r="AO168" s="221">
        <v>1</v>
      </c>
      <c r="AP168" s="221">
        <v>-6</v>
      </c>
      <c r="AQ168" s="221">
        <v>3</v>
      </c>
      <c r="AR168" s="221">
        <v>3</v>
      </c>
      <c r="AS168" s="221">
        <v>0</v>
      </c>
      <c r="AT168" s="221">
        <v>-2</v>
      </c>
      <c r="AU168" s="221">
        <v>2</v>
      </c>
      <c r="AV168" s="221">
        <v>1</v>
      </c>
      <c r="AW168" s="221">
        <v>2</v>
      </c>
      <c r="AX168" s="56">
        <f t="shared" si="88"/>
        <v>-1</v>
      </c>
      <c r="AY168" s="56">
        <f t="shared" si="88"/>
        <v>6</v>
      </c>
      <c r="AZ168" s="56">
        <f t="shared" si="88"/>
        <v>-3</v>
      </c>
      <c r="BA168" s="56">
        <f t="shared" si="87"/>
        <v>-3</v>
      </c>
      <c r="BB168" s="56">
        <f t="shared" si="87"/>
        <v>0</v>
      </c>
      <c r="BC168" s="56">
        <f t="shared" si="87"/>
        <v>2</v>
      </c>
      <c r="BD168" s="56">
        <f t="shared" si="87"/>
        <v>-2</v>
      </c>
      <c r="BE168" s="56">
        <f t="shared" si="59"/>
        <v>-1</v>
      </c>
      <c r="BF168" s="56">
        <f t="shared" si="59"/>
        <v>-2</v>
      </c>
      <c r="BH168">
        <f t="shared" si="69"/>
        <v>0.8</v>
      </c>
      <c r="BI168">
        <f t="shared" si="78"/>
        <v>0.19999999999999996</v>
      </c>
      <c r="BJ168" s="154">
        <v>168868.48000000001</v>
      </c>
      <c r="BK168" s="155">
        <f t="shared" si="70"/>
        <v>168868.48000000001</v>
      </c>
      <c r="BL168" s="156">
        <v>306867.19111111102</v>
      </c>
      <c r="BM168" s="155">
        <f t="shared" si="71"/>
        <v>306867.19111111102</v>
      </c>
      <c r="BN168" s="158">
        <v>146756.48000000001</v>
      </c>
      <c r="BO168" s="155">
        <f t="shared" si="72"/>
        <v>146756.48000000001</v>
      </c>
      <c r="BP168" s="158">
        <v>224396.90666666665</v>
      </c>
      <c r="BQ168" s="155">
        <f t="shared" si="73"/>
        <v>224396.90666666665</v>
      </c>
      <c r="BR168" s="158">
        <v>11857.994666666666</v>
      </c>
      <c r="BS168" s="155">
        <f t="shared" si="74"/>
        <v>11857.994666666666</v>
      </c>
      <c r="BT168" s="194">
        <v>165911.61066666665</v>
      </c>
      <c r="BU168" s="194"/>
      <c r="BV168" s="348">
        <f t="shared" si="79"/>
        <v>165911.61066666665</v>
      </c>
      <c r="BW168" s="195">
        <f t="shared" si="75"/>
        <v>112384.47644444444</v>
      </c>
      <c r="BX168" s="157">
        <f t="shared" si="80"/>
        <v>28096.119111111111</v>
      </c>
      <c r="BY168" s="157">
        <f>IF(E168*$CJ$10*'Year 7 Payments'!$L$20*IF(B168="",1,0.8)&lt;=(BW168-(J168*350)),E168*$CJ$10*'Year 7 Payments'!$L$20*IF(B168="",1,0.8),BW168-(IF(B168="",1,0.8)*J168*350))</f>
        <v>103255.22514488891</v>
      </c>
      <c r="BZ168" s="157">
        <f t="shared" si="81"/>
        <v>25813.806286222229</v>
      </c>
      <c r="CA168" s="157">
        <f t="shared" si="82"/>
        <v>9129.2512995555298</v>
      </c>
      <c r="CB168" s="157">
        <f t="shared" si="83"/>
        <v>2282.3128248888825</v>
      </c>
      <c r="CC168" s="157">
        <f t="shared" si="84"/>
        <v>36517.005198222119</v>
      </c>
      <c r="CD168" s="201">
        <f t="shared" si="85"/>
        <v>9129.2512995555298</v>
      </c>
      <c r="CE168" s="155">
        <f t="shared" si="86"/>
        <v>9129.2512995555298</v>
      </c>
    </row>
    <row r="169" spans="1:83" x14ac:dyDescent="0.2">
      <c r="A169" s="147" t="s">
        <v>638</v>
      </c>
      <c r="B169" s="57" t="s">
        <v>639</v>
      </c>
      <c r="C169" s="57" t="s">
        <v>472</v>
      </c>
      <c r="D169" s="148" t="s">
        <v>197</v>
      </c>
      <c r="E169" s="197">
        <v>47474</v>
      </c>
      <c r="F169" s="147">
        <f t="shared" si="76"/>
        <v>51044</v>
      </c>
      <c r="G169" s="342">
        <v>460</v>
      </c>
      <c r="H169" s="149">
        <f t="shared" si="61"/>
        <v>508</v>
      </c>
      <c r="I169" s="346">
        <v>334.65955555555564</v>
      </c>
      <c r="J169" s="150">
        <v>77</v>
      </c>
      <c r="K169"/>
      <c r="L169" s="151">
        <v>7038</v>
      </c>
      <c r="M169" s="151">
        <v>13266</v>
      </c>
      <c r="N169" s="151">
        <v>12343</v>
      </c>
      <c r="O169" s="151">
        <v>7568</v>
      </c>
      <c r="P169" s="151">
        <v>5667</v>
      </c>
      <c r="Q169" s="151">
        <v>3186</v>
      </c>
      <c r="R169" s="151">
        <v>1847</v>
      </c>
      <c r="S169" s="151">
        <v>129</v>
      </c>
      <c r="T169" s="151">
        <v>51044</v>
      </c>
      <c r="U169" s="147"/>
      <c r="V169" s="152">
        <f t="shared" si="77"/>
        <v>0.13788104380534441</v>
      </c>
      <c r="W169" s="152">
        <f t="shared" si="62"/>
        <v>0.25989342528015047</v>
      </c>
      <c r="X169" s="152">
        <f t="shared" si="63"/>
        <v>0.24181098659979625</v>
      </c>
      <c r="Y169" s="152">
        <f t="shared" si="64"/>
        <v>0.1482642426142152</v>
      </c>
      <c r="Z169" s="152">
        <f t="shared" si="65"/>
        <v>0.11102186349032207</v>
      </c>
      <c r="AA169" s="152">
        <f t="shared" si="66"/>
        <v>6.2416738500117544E-2</v>
      </c>
      <c r="AB169" s="152">
        <f t="shared" si="67"/>
        <v>3.6184468301857224E-2</v>
      </c>
      <c r="AC169" s="152">
        <f t="shared" si="68"/>
        <v>2.5272314081968496E-3</v>
      </c>
      <c r="AD169" s="152"/>
      <c r="AE169" s="221">
        <v>102</v>
      </c>
      <c r="AF169" s="221">
        <v>65</v>
      </c>
      <c r="AG169" s="221">
        <v>101</v>
      </c>
      <c r="AH169" s="221">
        <v>110</v>
      </c>
      <c r="AI169" s="221">
        <v>84</v>
      </c>
      <c r="AJ169" s="221">
        <v>68</v>
      </c>
      <c r="AK169" s="221">
        <v>32</v>
      </c>
      <c r="AL169" s="221">
        <v>2</v>
      </c>
      <c r="AM169" s="221">
        <v>564</v>
      </c>
      <c r="AN169" s="147"/>
      <c r="AO169" s="221">
        <v>25</v>
      </c>
      <c r="AP169" s="221">
        <v>21</v>
      </c>
      <c r="AQ169" s="221">
        <v>-1</v>
      </c>
      <c r="AR169" s="221">
        <v>-2</v>
      </c>
      <c r="AS169" s="221">
        <v>-4</v>
      </c>
      <c r="AT169" s="221">
        <v>10</v>
      </c>
      <c r="AU169" s="221">
        <v>5</v>
      </c>
      <c r="AV169" s="221">
        <v>2</v>
      </c>
      <c r="AW169" s="221">
        <v>56</v>
      </c>
      <c r="AX169" s="56">
        <f t="shared" si="88"/>
        <v>-25</v>
      </c>
      <c r="AY169" s="56">
        <f t="shared" si="88"/>
        <v>-21</v>
      </c>
      <c r="AZ169" s="56">
        <f t="shared" si="88"/>
        <v>1</v>
      </c>
      <c r="BA169" s="56">
        <f t="shared" si="87"/>
        <v>2</v>
      </c>
      <c r="BB169" s="56">
        <f t="shared" si="87"/>
        <v>4</v>
      </c>
      <c r="BC169" s="56">
        <f t="shared" si="87"/>
        <v>-10</v>
      </c>
      <c r="BD169" s="56">
        <f t="shared" si="87"/>
        <v>-5</v>
      </c>
      <c r="BE169" s="56">
        <f t="shared" si="59"/>
        <v>-2</v>
      </c>
      <c r="BF169" s="56">
        <f t="shared" si="59"/>
        <v>-56</v>
      </c>
      <c r="BH169">
        <f t="shared" si="69"/>
        <v>0.8</v>
      </c>
      <c r="BI169">
        <f t="shared" si="78"/>
        <v>0.19999999999999996</v>
      </c>
      <c r="BJ169" s="154">
        <v>504174.75733333337</v>
      </c>
      <c r="BK169" s="155">
        <f t="shared" si="70"/>
        <v>504174.75733333337</v>
      </c>
      <c r="BL169" s="156">
        <v>492609.4213333333</v>
      </c>
      <c r="BM169" s="155">
        <f t="shared" si="71"/>
        <v>492609.4213333333</v>
      </c>
      <c r="BN169" s="158">
        <v>517449.3244444445</v>
      </c>
      <c r="BO169" s="155">
        <f t="shared" si="72"/>
        <v>517449.3244444445</v>
      </c>
      <c r="BP169" s="158">
        <v>484406.4</v>
      </c>
      <c r="BQ169" s="155">
        <f t="shared" si="73"/>
        <v>484406.4</v>
      </c>
      <c r="BR169" s="158">
        <v>497063.11288888892</v>
      </c>
      <c r="BS169" s="155">
        <f t="shared" si="74"/>
        <v>497063.11288888892</v>
      </c>
      <c r="BT169" s="194">
        <v>761314.84799999988</v>
      </c>
      <c r="BU169" s="194"/>
      <c r="BV169" s="348">
        <f t="shared" si="79"/>
        <v>761314.84799999988</v>
      </c>
      <c r="BW169" s="195">
        <f t="shared" si="75"/>
        <v>663431.35644444439</v>
      </c>
      <c r="BX169" s="157">
        <f t="shared" si="80"/>
        <v>165857.8391111111</v>
      </c>
      <c r="BY169" s="157">
        <f>IF(E169*$CJ$10*'Year 7 Payments'!$L$20*IF(B169="",1,0.8)&lt;=(BW169-(J169*350)),E169*$CJ$10*'Year 7 Payments'!$L$20*IF(B169="",1,0.8),BW169-(IF(B169="",1,0.8)*J169*350))</f>
        <v>232365.86060799999</v>
      </c>
      <c r="BZ169" s="157">
        <f t="shared" si="81"/>
        <v>58091.465151999997</v>
      </c>
      <c r="CA169" s="157">
        <f t="shared" si="82"/>
        <v>431065.49583644443</v>
      </c>
      <c r="CB169" s="157">
        <f t="shared" si="83"/>
        <v>107766.37395911111</v>
      </c>
      <c r="CC169" s="157">
        <f t="shared" si="84"/>
        <v>1724261.9833457777</v>
      </c>
      <c r="CD169" s="201">
        <f t="shared" si="85"/>
        <v>431065.49583644443</v>
      </c>
      <c r="CE169" s="155">
        <f t="shared" si="86"/>
        <v>431065.49583644443</v>
      </c>
    </row>
    <row r="170" spans="1:83" x14ac:dyDescent="0.2">
      <c r="A170" s="147" t="s">
        <v>640</v>
      </c>
      <c r="B170" s="57"/>
      <c r="C170" s="57" t="s">
        <v>461</v>
      </c>
      <c r="D170" s="148" t="s">
        <v>198</v>
      </c>
      <c r="E170" s="197">
        <v>87431.333333333328</v>
      </c>
      <c r="F170" s="147">
        <f t="shared" si="76"/>
        <v>83737</v>
      </c>
      <c r="G170" s="342">
        <v>502</v>
      </c>
      <c r="H170" s="149">
        <f t="shared" si="61"/>
        <v>667</v>
      </c>
      <c r="I170" s="346">
        <v>328.16355555555549</v>
      </c>
      <c r="J170" s="150">
        <v>124</v>
      </c>
      <c r="K170"/>
      <c r="L170" s="151">
        <v>1075</v>
      </c>
      <c r="M170" s="151">
        <v>8265</v>
      </c>
      <c r="N170" s="151">
        <v>22704</v>
      </c>
      <c r="O170" s="151">
        <v>27560</v>
      </c>
      <c r="P170" s="151">
        <v>13084</v>
      </c>
      <c r="Q170" s="151">
        <v>5385</v>
      </c>
      <c r="R170" s="151">
        <v>3983</v>
      </c>
      <c r="S170" s="151">
        <v>1681</v>
      </c>
      <c r="T170" s="151">
        <v>83737</v>
      </c>
      <c r="U170" s="147"/>
      <c r="V170" s="152">
        <f t="shared" si="77"/>
        <v>1.2837813630772538E-2</v>
      </c>
      <c r="W170" s="152">
        <f t="shared" si="62"/>
        <v>9.8701888054265136E-2</v>
      </c>
      <c r="X170" s="152">
        <f t="shared" si="63"/>
        <v>0.271134623881916</v>
      </c>
      <c r="Y170" s="152">
        <f t="shared" si="64"/>
        <v>0.32912571503636384</v>
      </c>
      <c r="Z170" s="152">
        <f t="shared" si="65"/>
        <v>0.15625111957677013</v>
      </c>
      <c r="AA170" s="152">
        <f t="shared" si="66"/>
        <v>6.4308489676009412E-2</v>
      </c>
      <c r="AB170" s="152">
        <f t="shared" si="67"/>
        <v>4.7565592271039084E-2</v>
      </c>
      <c r="AC170" s="152">
        <f t="shared" si="68"/>
        <v>2.0074757872863846E-2</v>
      </c>
      <c r="AD170" s="152"/>
      <c r="AE170" s="221">
        <v>40</v>
      </c>
      <c r="AF170" s="221">
        <v>123</v>
      </c>
      <c r="AG170" s="221">
        <v>318</v>
      </c>
      <c r="AH170" s="221">
        <v>32</v>
      </c>
      <c r="AI170" s="221">
        <v>33</v>
      </c>
      <c r="AJ170" s="221">
        <v>85</v>
      </c>
      <c r="AK170" s="221">
        <v>16</v>
      </c>
      <c r="AL170" s="221">
        <v>12</v>
      </c>
      <c r="AM170" s="221">
        <v>659</v>
      </c>
      <c r="AN170" s="147"/>
      <c r="AO170" s="221">
        <v>3</v>
      </c>
      <c r="AP170" s="221">
        <v>4</v>
      </c>
      <c r="AQ170" s="221">
        <v>8</v>
      </c>
      <c r="AR170" s="221">
        <v>-5</v>
      </c>
      <c r="AS170" s="221">
        <v>6</v>
      </c>
      <c r="AT170" s="221">
        <v>-6</v>
      </c>
      <c r="AU170" s="221">
        <v>-9</v>
      </c>
      <c r="AV170" s="221">
        <v>-9</v>
      </c>
      <c r="AW170" s="221">
        <v>-8</v>
      </c>
      <c r="AX170" s="56">
        <f t="shared" si="88"/>
        <v>-3</v>
      </c>
      <c r="AY170" s="56">
        <f t="shared" si="88"/>
        <v>-4</v>
      </c>
      <c r="AZ170" s="56">
        <f t="shared" si="88"/>
        <v>-8</v>
      </c>
      <c r="BA170" s="56">
        <f t="shared" si="87"/>
        <v>5</v>
      </c>
      <c r="BB170" s="56">
        <f t="shared" si="87"/>
        <v>-6</v>
      </c>
      <c r="BC170" s="56">
        <f t="shared" si="87"/>
        <v>6</v>
      </c>
      <c r="BD170" s="56">
        <f t="shared" si="87"/>
        <v>9</v>
      </c>
      <c r="BE170" s="56">
        <f t="shared" si="59"/>
        <v>9</v>
      </c>
      <c r="BF170" s="56">
        <f t="shared" si="59"/>
        <v>8</v>
      </c>
      <c r="BH170">
        <f t="shared" si="69"/>
        <v>1</v>
      </c>
      <c r="BI170">
        <f t="shared" si="78"/>
        <v>0</v>
      </c>
      <c r="BJ170" s="154">
        <v>551860.91333333333</v>
      </c>
      <c r="BK170" s="155">
        <f t="shared" si="70"/>
        <v>551860.91333333333</v>
      </c>
      <c r="BL170" s="156">
        <v>583806.81444444438</v>
      </c>
      <c r="BM170" s="155">
        <f t="shared" si="71"/>
        <v>583806.81444444438</v>
      </c>
      <c r="BN170" s="158">
        <v>1322079.5066666666</v>
      </c>
      <c r="BO170" s="155">
        <f t="shared" si="72"/>
        <v>1322079.5066666666</v>
      </c>
      <c r="BP170" s="158">
        <v>633158</v>
      </c>
      <c r="BQ170" s="155">
        <f t="shared" si="73"/>
        <v>633158</v>
      </c>
      <c r="BR170" s="158">
        <v>592818.71777777781</v>
      </c>
      <c r="BS170" s="155">
        <f t="shared" si="74"/>
        <v>592818.71777777781</v>
      </c>
      <c r="BT170" s="194">
        <v>974609.3933333332</v>
      </c>
      <c r="BU170" s="194"/>
      <c r="BV170" s="348">
        <f t="shared" si="79"/>
        <v>974609.3933333332</v>
      </c>
      <c r="BW170" s="195">
        <f t="shared" si="75"/>
        <v>1080271.7288888888</v>
      </c>
      <c r="BX170" s="157" t="str">
        <f t="shared" si="80"/>
        <v>0</v>
      </c>
      <c r="BY170" s="157">
        <f>IF(E170*$CJ$10*'Year 7 Payments'!$L$20*IF(B170="",1,0.8)&lt;=(BW170-(J170*350)),E170*$CJ$10*'Year 7 Payments'!$L$20*IF(B170="",1,0.8),BW170-(IF(B170="",1,0.8)*J170*350))</f>
        <v>534925.88085333328</v>
      </c>
      <c r="BZ170" s="157" t="str">
        <f t="shared" si="81"/>
        <v>0</v>
      </c>
      <c r="CA170" s="157">
        <f t="shared" si="82"/>
        <v>545345.84803555557</v>
      </c>
      <c r="CB170" s="157">
        <f t="shared" si="83"/>
        <v>0</v>
      </c>
      <c r="CC170" s="157">
        <f t="shared" si="84"/>
        <v>2181383.3921422223</v>
      </c>
      <c r="CD170" s="201">
        <f t="shared" si="85"/>
        <v>0</v>
      </c>
      <c r="CE170" s="155">
        <f t="shared" si="86"/>
        <v>545345.84803555557</v>
      </c>
    </row>
    <row r="171" spans="1:83" x14ac:dyDescent="0.2">
      <c r="A171" s="147" t="s">
        <v>641</v>
      </c>
      <c r="B171" s="57" t="s">
        <v>555</v>
      </c>
      <c r="C171" s="57" t="s">
        <v>472</v>
      </c>
      <c r="D171" s="148" t="s">
        <v>199</v>
      </c>
      <c r="E171" s="197">
        <v>32843.888888888891</v>
      </c>
      <c r="F171" s="147">
        <f t="shared" si="76"/>
        <v>35384</v>
      </c>
      <c r="G171" s="342">
        <v>220</v>
      </c>
      <c r="H171" s="149">
        <f t="shared" si="61"/>
        <v>345</v>
      </c>
      <c r="I171" s="346">
        <v>196.73555555555558</v>
      </c>
      <c r="J171" s="150">
        <v>26</v>
      </c>
      <c r="K171"/>
      <c r="L171" s="151">
        <v>6147</v>
      </c>
      <c r="M171" s="151">
        <v>8844</v>
      </c>
      <c r="N171" s="151">
        <v>6525</v>
      </c>
      <c r="O171" s="151">
        <v>6066</v>
      </c>
      <c r="P171" s="151">
        <v>4469</v>
      </c>
      <c r="Q171" s="151">
        <v>2329</v>
      </c>
      <c r="R171" s="151">
        <v>946</v>
      </c>
      <c r="S171" s="151">
        <v>58</v>
      </c>
      <c r="T171" s="151">
        <v>35384</v>
      </c>
      <c r="U171" s="147"/>
      <c r="V171" s="152">
        <f t="shared" si="77"/>
        <v>0.17372258647976488</v>
      </c>
      <c r="W171" s="152">
        <f t="shared" si="62"/>
        <v>0.2499434772778657</v>
      </c>
      <c r="X171" s="152">
        <f t="shared" si="63"/>
        <v>0.18440538096314718</v>
      </c>
      <c r="Y171" s="152">
        <f t="shared" si="64"/>
        <v>0.17143341623332581</v>
      </c>
      <c r="Z171" s="152">
        <f t="shared" si="65"/>
        <v>0.12630002260908885</v>
      </c>
      <c r="AA171" s="152">
        <f t="shared" si="66"/>
        <v>6.5820709925390006E-2</v>
      </c>
      <c r="AB171" s="152">
        <f t="shared" si="67"/>
        <v>2.673524756952295E-2</v>
      </c>
      <c r="AC171" s="152">
        <f t="shared" si="68"/>
        <v>1.6391589418946416E-3</v>
      </c>
      <c r="AD171" s="152"/>
      <c r="AE171" s="221">
        <v>81</v>
      </c>
      <c r="AF171" s="221">
        <v>36</v>
      </c>
      <c r="AG171" s="221">
        <v>76</v>
      </c>
      <c r="AH171" s="221">
        <v>54</v>
      </c>
      <c r="AI171" s="221">
        <v>52</v>
      </c>
      <c r="AJ171" s="221">
        <v>27</v>
      </c>
      <c r="AK171" s="221">
        <v>2</v>
      </c>
      <c r="AL171" s="221">
        <v>0</v>
      </c>
      <c r="AM171" s="221">
        <v>328</v>
      </c>
      <c r="AN171" s="147"/>
      <c r="AO171" s="221">
        <v>10</v>
      </c>
      <c r="AP171" s="221">
        <v>-13</v>
      </c>
      <c r="AQ171" s="221">
        <v>-1</v>
      </c>
      <c r="AR171" s="221">
        <v>-2</v>
      </c>
      <c r="AS171" s="221">
        <v>-12</v>
      </c>
      <c r="AT171" s="221">
        <v>-3</v>
      </c>
      <c r="AU171" s="221">
        <v>4</v>
      </c>
      <c r="AV171" s="221">
        <v>0</v>
      </c>
      <c r="AW171" s="221">
        <v>-17</v>
      </c>
      <c r="AX171" s="56">
        <f t="shared" si="88"/>
        <v>-10</v>
      </c>
      <c r="AY171" s="56">
        <f t="shared" si="88"/>
        <v>13</v>
      </c>
      <c r="AZ171" s="56">
        <f t="shared" si="88"/>
        <v>1</v>
      </c>
      <c r="BA171" s="56">
        <f t="shared" si="87"/>
        <v>2</v>
      </c>
      <c r="BB171" s="56">
        <f t="shared" si="87"/>
        <v>12</v>
      </c>
      <c r="BC171" s="56">
        <f t="shared" si="87"/>
        <v>3</v>
      </c>
      <c r="BD171" s="56">
        <f t="shared" si="87"/>
        <v>-4</v>
      </c>
      <c r="BE171" s="56">
        <f t="shared" si="59"/>
        <v>0</v>
      </c>
      <c r="BF171" s="56">
        <f t="shared" si="59"/>
        <v>17</v>
      </c>
      <c r="BH171">
        <f t="shared" si="69"/>
        <v>0.8</v>
      </c>
      <c r="BI171">
        <f t="shared" si="78"/>
        <v>0.19999999999999996</v>
      </c>
      <c r="BJ171" s="154">
        <v>202514.24533333335</v>
      </c>
      <c r="BK171" s="155">
        <f t="shared" si="70"/>
        <v>202514.24533333335</v>
      </c>
      <c r="BL171" s="156">
        <v>154975.67999999999</v>
      </c>
      <c r="BM171" s="155">
        <f t="shared" si="71"/>
        <v>154975.67999999999</v>
      </c>
      <c r="BN171" s="158">
        <v>341113.89244444447</v>
      </c>
      <c r="BO171" s="155">
        <f t="shared" si="72"/>
        <v>341113.89244444447</v>
      </c>
      <c r="BP171" s="158">
        <v>576113.28</v>
      </c>
      <c r="BQ171" s="155">
        <f t="shared" si="73"/>
        <v>576113.28</v>
      </c>
      <c r="BR171" s="158">
        <v>338007.5768888889</v>
      </c>
      <c r="BS171" s="155">
        <f t="shared" si="74"/>
        <v>338007.5768888889</v>
      </c>
      <c r="BT171" s="194">
        <v>218736.82133333336</v>
      </c>
      <c r="BU171" s="194"/>
      <c r="BV171" s="348">
        <f t="shared" si="79"/>
        <v>218736.82133333336</v>
      </c>
      <c r="BW171" s="195">
        <f t="shared" si="75"/>
        <v>408772.50488888891</v>
      </c>
      <c r="BX171" s="157">
        <f t="shared" si="80"/>
        <v>102193.12622222223</v>
      </c>
      <c r="BY171" s="157">
        <f>IF(E171*$CJ$10*'Year 7 Payments'!$L$20*IF(B171="",1,0.8)&lt;=(BW171-(J171*350)),E171*$CJ$10*'Year 7 Payments'!$L$20*IF(B171="",1,0.8),BW171-(IF(B171="",1,0.8)*J171*350))</f>
        <v>160757.43580444448</v>
      </c>
      <c r="BZ171" s="157">
        <f t="shared" si="81"/>
        <v>40189.35895111112</v>
      </c>
      <c r="CA171" s="157">
        <f t="shared" si="82"/>
        <v>248015.06908444443</v>
      </c>
      <c r="CB171" s="157">
        <f t="shared" si="83"/>
        <v>62003.767271111108</v>
      </c>
      <c r="CC171" s="157">
        <f t="shared" si="84"/>
        <v>992060.27633777773</v>
      </c>
      <c r="CD171" s="201">
        <f t="shared" si="85"/>
        <v>248015.06908444443</v>
      </c>
      <c r="CE171" s="155">
        <f t="shared" si="86"/>
        <v>248015.06908444443</v>
      </c>
    </row>
    <row r="172" spans="1:83" x14ac:dyDescent="0.2">
      <c r="A172" s="147" t="s">
        <v>642</v>
      </c>
      <c r="B172" s="57" t="s">
        <v>458</v>
      </c>
      <c r="C172" s="57" t="s">
        <v>459</v>
      </c>
      <c r="D172" s="148" t="s">
        <v>200</v>
      </c>
      <c r="E172" s="197">
        <v>40978</v>
      </c>
      <c r="F172" s="147">
        <f t="shared" si="76"/>
        <v>43461</v>
      </c>
      <c r="G172" s="342">
        <v>292</v>
      </c>
      <c r="H172" s="149">
        <f t="shared" si="61"/>
        <v>347</v>
      </c>
      <c r="I172" s="346">
        <v>187.64355555555548</v>
      </c>
      <c r="J172" s="150">
        <v>63</v>
      </c>
      <c r="K172"/>
      <c r="L172" s="151">
        <v>5330</v>
      </c>
      <c r="M172" s="151">
        <v>11851</v>
      </c>
      <c r="N172" s="151">
        <v>9537</v>
      </c>
      <c r="O172" s="151">
        <v>6951</v>
      </c>
      <c r="P172" s="151">
        <v>5239</v>
      </c>
      <c r="Q172" s="151">
        <v>2846</v>
      </c>
      <c r="R172" s="151">
        <v>1594</v>
      </c>
      <c r="S172" s="151">
        <v>113</v>
      </c>
      <c r="T172" s="151">
        <v>43461</v>
      </c>
      <c r="U172" s="147"/>
      <c r="V172" s="152">
        <f t="shared" si="77"/>
        <v>0.1226386875589609</v>
      </c>
      <c r="W172" s="152">
        <f t="shared" si="62"/>
        <v>0.27268125445801983</v>
      </c>
      <c r="X172" s="152">
        <f t="shared" si="63"/>
        <v>0.21943811693242218</v>
      </c>
      <c r="Y172" s="152">
        <f t="shared" si="64"/>
        <v>0.159936494788431</v>
      </c>
      <c r="Z172" s="152">
        <f t="shared" si="65"/>
        <v>0.12054485630795425</v>
      </c>
      <c r="AA172" s="152">
        <f t="shared" si="66"/>
        <v>6.5483997146867312E-2</v>
      </c>
      <c r="AB172" s="152">
        <f t="shared" si="67"/>
        <v>3.667656059455604E-2</v>
      </c>
      <c r="AC172" s="152">
        <f t="shared" si="68"/>
        <v>2.6000322127884769E-3</v>
      </c>
      <c r="AD172" s="152"/>
      <c r="AE172" s="221">
        <v>-2</v>
      </c>
      <c r="AF172" s="221">
        <v>115</v>
      </c>
      <c r="AG172" s="221">
        <v>82</v>
      </c>
      <c r="AH172" s="221">
        <v>51</v>
      </c>
      <c r="AI172" s="221">
        <v>41</v>
      </c>
      <c r="AJ172" s="221">
        <v>39</v>
      </c>
      <c r="AK172" s="221">
        <v>12</v>
      </c>
      <c r="AL172" s="221">
        <v>3</v>
      </c>
      <c r="AM172" s="221">
        <v>341</v>
      </c>
      <c r="AN172" s="147"/>
      <c r="AO172" s="221">
        <v>6</v>
      </c>
      <c r="AP172" s="221">
        <v>2</v>
      </c>
      <c r="AQ172" s="221">
        <v>-8</v>
      </c>
      <c r="AR172" s="221">
        <v>-2</v>
      </c>
      <c r="AS172" s="221">
        <v>-9</v>
      </c>
      <c r="AT172" s="221">
        <v>4</v>
      </c>
      <c r="AU172" s="221">
        <v>1</v>
      </c>
      <c r="AV172" s="221">
        <v>0</v>
      </c>
      <c r="AW172" s="221">
        <v>-6</v>
      </c>
      <c r="AX172" s="56">
        <f t="shared" si="88"/>
        <v>-6</v>
      </c>
      <c r="AY172" s="56">
        <f t="shared" si="88"/>
        <v>-2</v>
      </c>
      <c r="AZ172" s="56">
        <f t="shared" si="88"/>
        <v>8</v>
      </c>
      <c r="BA172" s="56">
        <f t="shared" si="87"/>
        <v>2</v>
      </c>
      <c r="BB172" s="56">
        <f t="shared" si="87"/>
        <v>9</v>
      </c>
      <c r="BC172" s="56">
        <f t="shared" si="87"/>
        <v>-4</v>
      </c>
      <c r="BD172" s="56">
        <f t="shared" si="87"/>
        <v>-1</v>
      </c>
      <c r="BE172" s="56">
        <f t="shared" si="59"/>
        <v>0</v>
      </c>
      <c r="BF172" s="56">
        <f t="shared" si="59"/>
        <v>6</v>
      </c>
      <c r="BH172">
        <f t="shared" si="69"/>
        <v>0.8</v>
      </c>
      <c r="BI172">
        <f t="shared" si="78"/>
        <v>0.19999999999999996</v>
      </c>
      <c r="BJ172" s="154">
        <v>408610.54933333333</v>
      </c>
      <c r="BK172" s="155">
        <f t="shared" si="70"/>
        <v>408610.54933333333</v>
      </c>
      <c r="BL172" s="156">
        <v>451521.68</v>
      </c>
      <c r="BM172" s="155">
        <f t="shared" si="71"/>
        <v>451521.68</v>
      </c>
      <c r="BN172" s="158">
        <v>333713.51022222231</v>
      </c>
      <c r="BO172" s="155">
        <f t="shared" si="72"/>
        <v>333713.51022222231</v>
      </c>
      <c r="BP172" s="158">
        <v>520632.63999999996</v>
      </c>
      <c r="BQ172" s="155">
        <f t="shared" si="73"/>
        <v>520632.63999999996</v>
      </c>
      <c r="BR172" s="158">
        <v>506162.02488888893</v>
      </c>
      <c r="BS172" s="155">
        <f t="shared" si="74"/>
        <v>506162.02488888893</v>
      </c>
      <c r="BT172" s="194">
        <v>419950.68266666663</v>
      </c>
      <c r="BU172" s="194"/>
      <c r="BV172" s="348">
        <f t="shared" si="79"/>
        <v>419950.68266666663</v>
      </c>
      <c r="BW172" s="195">
        <f t="shared" si="75"/>
        <v>447820.25244444446</v>
      </c>
      <c r="BX172" s="157">
        <f t="shared" si="80"/>
        <v>111955.06311111111</v>
      </c>
      <c r="BY172" s="157">
        <f>IF(E172*$CJ$10*'Year 7 Payments'!$L$20*IF(B172="",1,0.8)&lt;=(BW172-(J172*350)),E172*$CJ$10*'Year 7 Payments'!$L$20*IF(B172="",1,0.8),BW172-(IF(B172="",1,0.8)*J172*350))</f>
        <v>200570.59097600001</v>
      </c>
      <c r="BZ172" s="157">
        <f t="shared" si="81"/>
        <v>50142.647744000002</v>
      </c>
      <c r="CA172" s="157">
        <f t="shared" si="82"/>
        <v>247249.66146844445</v>
      </c>
      <c r="CB172" s="157">
        <f t="shared" si="83"/>
        <v>61812.415367111113</v>
      </c>
      <c r="CC172" s="157">
        <f t="shared" si="84"/>
        <v>988998.6458737778</v>
      </c>
      <c r="CD172" s="201">
        <f t="shared" si="85"/>
        <v>247249.66146844445</v>
      </c>
      <c r="CE172" s="155">
        <f t="shared" si="86"/>
        <v>247249.66146844445</v>
      </c>
    </row>
    <row r="173" spans="1:83" x14ac:dyDescent="0.2">
      <c r="A173" s="147" t="s">
        <v>643</v>
      </c>
      <c r="B173" s="57" t="s">
        <v>442</v>
      </c>
      <c r="C173" s="57" t="s">
        <v>443</v>
      </c>
      <c r="D173" s="148" t="s">
        <v>201</v>
      </c>
      <c r="E173" s="197">
        <v>66295.111111111109</v>
      </c>
      <c r="F173" s="147">
        <f t="shared" si="76"/>
        <v>61878</v>
      </c>
      <c r="G173" s="342">
        <v>348</v>
      </c>
      <c r="H173" s="149">
        <f t="shared" si="61"/>
        <v>852</v>
      </c>
      <c r="I173" s="346">
        <v>672.70844444444447</v>
      </c>
      <c r="J173" s="150">
        <v>79</v>
      </c>
      <c r="K173"/>
      <c r="L173" s="151">
        <v>2045</v>
      </c>
      <c r="M173" s="151">
        <v>6339</v>
      </c>
      <c r="N173" s="151">
        <v>13262</v>
      </c>
      <c r="O173" s="151">
        <v>16563</v>
      </c>
      <c r="P173" s="151">
        <v>10912</v>
      </c>
      <c r="Q173" s="151">
        <v>8053</v>
      </c>
      <c r="R173" s="151">
        <v>4331</v>
      </c>
      <c r="S173" s="151">
        <v>373</v>
      </c>
      <c r="T173" s="151">
        <v>61878</v>
      </c>
      <c r="U173" s="147"/>
      <c r="V173" s="152">
        <f t="shared" si="77"/>
        <v>3.3048902679466044E-2</v>
      </c>
      <c r="W173" s="152">
        <f t="shared" si="62"/>
        <v>0.10244351789004169</v>
      </c>
      <c r="X173" s="152">
        <f t="shared" si="63"/>
        <v>0.21432496202204337</v>
      </c>
      <c r="Y173" s="152">
        <f t="shared" si="64"/>
        <v>0.26767187045476581</v>
      </c>
      <c r="Z173" s="152">
        <f t="shared" si="65"/>
        <v>0.17634700539771808</v>
      </c>
      <c r="AA173" s="152">
        <f t="shared" si="66"/>
        <v>0.13014318497689001</v>
      </c>
      <c r="AB173" s="152">
        <f t="shared" si="67"/>
        <v>6.9992566017001198E-2</v>
      </c>
      <c r="AC173" s="152">
        <f t="shared" si="68"/>
        <v>6.0279905620737578E-3</v>
      </c>
      <c r="AD173" s="152"/>
      <c r="AE173" s="221">
        <v>22</v>
      </c>
      <c r="AF173" s="221">
        <v>113</v>
      </c>
      <c r="AG173" s="221">
        <v>186</v>
      </c>
      <c r="AH173" s="221">
        <v>167</v>
      </c>
      <c r="AI173" s="221">
        <v>166</v>
      </c>
      <c r="AJ173" s="221">
        <v>79</v>
      </c>
      <c r="AK173" s="221">
        <v>109</v>
      </c>
      <c r="AL173" s="221">
        <v>1</v>
      </c>
      <c r="AM173" s="221">
        <v>843</v>
      </c>
      <c r="AN173" s="147"/>
      <c r="AO173" s="221">
        <v>-4</v>
      </c>
      <c r="AP173" s="221">
        <v>-8</v>
      </c>
      <c r="AQ173" s="221">
        <v>-6</v>
      </c>
      <c r="AR173" s="221">
        <v>-4</v>
      </c>
      <c r="AS173" s="221">
        <v>11</v>
      </c>
      <c r="AT173" s="221">
        <v>-2</v>
      </c>
      <c r="AU173" s="221">
        <v>8</v>
      </c>
      <c r="AV173" s="221">
        <v>-4</v>
      </c>
      <c r="AW173" s="221">
        <v>-9</v>
      </c>
      <c r="AX173" s="56">
        <f t="shared" si="88"/>
        <v>4</v>
      </c>
      <c r="AY173" s="56">
        <f t="shared" si="88"/>
        <v>8</v>
      </c>
      <c r="AZ173" s="56">
        <f t="shared" si="88"/>
        <v>6</v>
      </c>
      <c r="BA173" s="56">
        <f t="shared" si="87"/>
        <v>4</v>
      </c>
      <c r="BB173" s="56">
        <f t="shared" si="87"/>
        <v>-11</v>
      </c>
      <c r="BC173" s="56">
        <f t="shared" si="87"/>
        <v>2</v>
      </c>
      <c r="BD173" s="56">
        <f t="shared" si="87"/>
        <v>-8</v>
      </c>
      <c r="BE173" s="56">
        <f t="shared" si="59"/>
        <v>4</v>
      </c>
      <c r="BF173" s="56">
        <f t="shared" si="59"/>
        <v>9</v>
      </c>
      <c r="BH173">
        <f t="shared" si="69"/>
        <v>0.8</v>
      </c>
      <c r="BI173">
        <f t="shared" si="78"/>
        <v>0.19999999999999996</v>
      </c>
      <c r="BJ173" s="154">
        <v>359996.89600000007</v>
      </c>
      <c r="BK173" s="155">
        <f t="shared" si="70"/>
        <v>359996.89600000007</v>
      </c>
      <c r="BL173" s="156">
        <v>506376.66666666674</v>
      </c>
      <c r="BM173" s="155">
        <f t="shared" si="71"/>
        <v>506376.66666666674</v>
      </c>
      <c r="BN173" s="158">
        <v>735319.56266666669</v>
      </c>
      <c r="BO173" s="155">
        <f t="shared" si="72"/>
        <v>735319.56266666669</v>
      </c>
      <c r="BP173" s="158">
        <v>893378.45333333337</v>
      </c>
      <c r="BQ173" s="155">
        <f t="shared" si="73"/>
        <v>893378.45333333337</v>
      </c>
      <c r="BR173" s="158">
        <v>761277.62133333331</v>
      </c>
      <c r="BS173" s="155">
        <f t="shared" si="74"/>
        <v>761277.62133333331</v>
      </c>
      <c r="BT173" s="194">
        <v>1172829.7528888888</v>
      </c>
      <c r="BU173" s="194"/>
      <c r="BV173" s="348">
        <f t="shared" si="79"/>
        <v>1172829.7528888888</v>
      </c>
      <c r="BW173" s="195">
        <f t="shared" si="75"/>
        <v>1169765.8631111113</v>
      </c>
      <c r="BX173" s="157">
        <f t="shared" si="80"/>
        <v>292441.46577777783</v>
      </c>
      <c r="BY173" s="157">
        <f>IF(E173*$CJ$10*'Year 7 Payments'!$L$20*IF(B173="",1,0.8)&lt;=(BW173-(J173*350)),E173*$CJ$10*'Year 7 Payments'!$L$20*IF(B173="",1,0.8),BW173-(IF(B173="",1,0.8)*J173*350))</f>
        <v>324487.52048355556</v>
      </c>
      <c r="BZ173" s="157">
        <f t="shared" si="81"/>
        <v>81121.880120888891</v>
      </c>
      <c r="CA173" s="157">
        <f t="shared" si="82"/>
        <v>845278.34262755583</v>
      </c>
      <c r="CB173" s="157">
        <f t="shared" si="83"/>
        <v>211319.58565688896</v>
      </c>
      <c r="CC173" s="157">
        <f t="shared" si="84"/>
        <v>3381113.3705102233</v>
      </c>
      <c r="CD173" s="201">
        <f t="shared" si="85"/>
        <v>845278.34262755583</v>
      </c>
      <c r="CE173" s="155">
        <f t="shared" si="86"/>
        <v>845278.34262755583</v>
      </c>
    </row>
    <row r="174" spans="1:83" x14ac:dyDescent="0.2">
      <c r="A174" s="147" t="s">
        <v>644</v>
      </c>
      <c r="B174" s="57"/>
      <c r="C174" s="57" t="s">
        <v>543</v>
      </c>
      <c r="D174" s="148" t="s">
        <v>202</v>
      </c>
      <c r="E174" s="197">
        <v>48214.666666666672</v>
      </c>
      <c r="F174" s="147">
        <f t="shared" si="76"/>
        <v>62755</v>
      </c>
      <c r="G174" s="342">
        <v>785</v>
      </c>
      <c r="H174" s="149">
        <f t="shared" si="61"/>
        <v>560</v>
      </c>
      <c r="I174" s="346">
        <v>372.80799999999994</v>
      </c>
      <c r="J174" s="150">
        <v>87</v>
      </c>
      <c r="K174"/>
      <c r="L174" s="151">
        <v>33203</v>
      </c>
      <c r="M174" s="151">
        <v>10536</v>
      </c>
      <c r="N174" s="151">
        <v>10648</v>
      </c>
      <c r="O174" s="151">
        <v>4873</v>
      </c>
      <c r="P174" s="151">
        <v>2197</v>
      </c>
      <c r="Q174" s="151">
        <v>756</v>
      </c>
      <c r="R174" s="151">
        <v>491</v>
      </c>
      <c r="S174" s="151">
        <v>51</v>
      </c>
      <c r="T174" s="151">
        <v>62755</v>
      </c>
      <c r="U174" s="147"/>
      <c r="V174" s="152">
        <f t="shared" si="77"/>
        <v>0.52908931559238304</v>
      </c>
      <c r="W174" s="152">
        <f t="shared" si="62"/>
        <v>0.16789100470082066</v>
      </c>
      <c r="X174" s="152">
        <f t="shared" si="63"/>
        <v>0.16967572304995618</v>
      </c>
      <c r="Y174" s="152">
        <f t="shared" si="64"/>
        <v>7.7651183172655569E-2</v>
      </c>
      <c r="Z174" s="152">
        <f t="shared" si="65"/>
        <v>3.5009162616524578E-2</v>
      </c>
      <c r="AA174" s="152">
        <f t="shared" si="66"/>
        <v>1.2046848856664807E-2</v>
      </c>
      <c r="AB174" s="152">
        <f t="shared" si="67"/>
        <v>7.8240777627280687E-3</v>
      </c>
      <c r="AC174" s="152">
        <f t="shared" si="68"/>
        <v>8.1268424826707035E-4</v>
      </c>
      <c r="AD174" s="152"/>
      <c r="AE174" s="221">
        <v>150</v>
      </c>
      <c r="AF174" s="221">
        <v>135</v>
      </c>
      <c r="AG174" s="221">
        <v>56</v>
      </c>
      <c r="AH174" s="221">
        <v>75</v>
      </c>
      <c r="AI174" s="221">
        <v>180</v>
      </c>
      <c r="AJ174" s="221">
        <v>45</v>
      </c>
      <c r="AK174" s="221">
        <v>15</v>
      </c>
      <c r="AL174" s="221">
        <v>0</v>
      </c>
      <c r="AM174" s="221">
        <v>656</v>
      </c>
      <c r="AN174" s="147"/>
      <c r="AO174" s="221">
        <v>53</v>
      </c>
      <c r="AP174" s="221">
        <v>18</v>
      </c>
      <c r="AQ174" s="221">
        <v>10</v>
      </c>
      <c r="AR174" s="221">
        <v>12</v>
      </c>
      <c r="AS174" s="221">
        <v>2</v>
      </c>
      <c r="AT174" s="221">
        <v>1</v>
      </c>
      <c r="AU174" s="221">
        <v>0</v>
      </c>
      <c r="AV174" s="221">
        <v>0</v>
      </c>
      <c r="AW174" s="221">
        <v>96</v>
      </c>
      <c r="AX174" s="56">
        <f t="shared" si="88"/>
        <v>-53</v>
      </c>
      <c r="AY174" s="56">
        <f t="shared" si="88"/>
        <v>-18</v>
      </c>
      <c r="AZ174" s="56">
        <f t="shared" si="88"/>
        <v>-10</v>
      </c>
      <c r="BA174" s="56">
        <f t="shared" si="87"/>
        <v>-12</v>
      </c>
      <c r="BB174" s="56">
        <f t="shared" si="87"/>
        <v>-2</v>
      </c>
      <c r="BC174" s="56">
        <f t="shared" si="87"/>
        <v>-1</v>
      </c>
      <c r="BD174" s="56">
        <f t="shared" si="87"/>
        <v>0</v>
      </c>
      <c r="BE174" s="56">
        <f t="shared" si="59"/>
        <v>0</v>
      </c>
      <c r="BF174" s="56">
        <f t="shared" si="59"/>
        <v>-96</v>
      </c>
      <c r="BH174">
        <f t="shared" si="69"/>
        <v>1</v>
      </c>
      <c r="BI174">
        <f t="shared" si="78"/>
        <v>0</v>
      </c>
      <c r="BJ174" s="154">
        <v>461349.96666666667</v>
      </c>
      <c r="BK174" s="155">
        <f t="shared" si="70"/>
        <v>461349.96666666667</v>
      </c>
      <c r="BL174" s="156">
        <v>456663.26888888888</v>
      </c>
      <c r="BM174" s="155">
        <f t="shared" si="71"/>
        <v>456663.26888888888</v>
      </c>
      <c r="BN174" s="158">
        <v>351062.92111111124</v>
      </c>
      <c r="BO174" s="155">
        <f t="shared" si="72"/>
        <v>351062.92111111124</v>
      </c>
      <c r="BP174" s="158">
        <v>275741.33333333337</v>
      </c>
      <c r="BQ174" s="155">
        <f t="shared" si="73"/>
        <v>275741.33333333337</v>
      </c>
      <c r="BR174" s="158">
        <v>458896.22000000009</v>
      </c>
      <c r="BS174" s="155">
        <f t="shared" si="74"/>
        <v>458896.22000000009</v>
      </c>
      <c r="BT174" s="194">
        <v>1167256.6422222222</v>
      </c>
      <c r="BU174" s="194"/>
      <c r="BV174" s="348">
        <f t="shared" si="79"/>
        <v>1167256.6422222222</v>
      </c>
      <c r="BW174" s="195">
        <f t="shared" si="75"/>
        <v>895671.10666666669</v>
      </c>
      <c r="BX174" s="157" t="str">
        <f t="shared" si="80"/>
        <v>0</v>
      </c>
      <c r="BY174" s="157">
        <f>IF(E174*$CJ$10*'Year 7 Payments'!$L$20*IF(B174="",1,0.8)&lt;=(BW174-(J174*350)),E174*$CJ$10*'Year 7 Payments'!$L$20*IF(B174="",1,0.8),BW174-(IF(B174="",1,0.8)*J174*350))</f>
        <v>294988.90218666667</v>
      </c>
      <c r="BZ174" s="157" t="str">
        <f t="shared" si="81"/>
        <v>0</v>
      </c>
      <c r="CA174" s="157">
        <f t="shared" si="82"/>
        <v>600682.20448000007</v>
      </c>
      <c r="CB174" s="157">
        <f t="shared" si="83"/>
        <v>0</v>
      </c>
      <c r="CC174" s="157">
        <f t="shared" si="84"/>
        <v>2402728.8179200003</v>
      </c>
      <c r="CD174" s="201">
        <f t="shared" si="85"/>
        <v>0</v>
      </c>
      <c r="CE174" s="155">
        <f t="shared" si="86"/>
        <v>600682.20448000007</v>
      </c>
    </row>
    <row r="175" spans="1:83" x14ac:dyDescent="0.2">
      <c r="A175" s="147" t="s">
        <v>645</v>
      </c>
      <c r="B175" s="57"/>
      <c r="C175" s="57" t="s">
        <v>443</v>
      </c>
      <c r="D175" s="148" t="s">
        <v>203</v>
      </c>
      <c r="E175" s="197">
        <v>98674.666666666657</v>
      </c>
      <c r="F175" s="147">
        <f t="shared" si="76"/>
        <v>108981</v>
      </c>
      <c r="G175" s="342">
        <v>318</v>
      </c>
      <c r="H175" s="149">
        <f t="shared" si="61"/>
        <v>1368</v>
      </c>
      <c r="I175" s="346">
        <v>956.85688888888876</v>
      </c>
      <c r="J175" s="150">
        <v>121</v>
      </c>
      <c r="K175"/>
      <c r="L175" s="151">
        <v>16602</v>
      </c>
      <c r="M175" s="151">
        <v>31216</v>
      </c>
      <c r="N175" s="151">
        <v>28076</v>
      </c>
      <c r="O175" s="151">
        <v>13607</v>
      </c>
      <c r="P175" s="151">
        <v>10984</v>
      </c>
      <c r="Q175" s="151">
        <v>5546</v>
      </c>
      <c r="R175" s="151">
        <v>2800</v>
      </c>
      <c r="S175" s="151">
        <v>150</v>
      </c>
      <c r="T175" s="151">
        <v>108981</v>
      </c>
      <c r="U175" s="147"/>
      <c r="V175" s="152">
        <f t="shared" si="77"/>
        <v>0.15233848101962727</v>
      </c>
      <c r="W175" s="152">
        <f t="shared" si="62"/>
        <v>0.28643525018122423</v>
      </c>
      <c r="X175" s="152">
        <f t="shared" si="63"/>
        <v>0.25762288839338965</v>
      </c>
      <c r="Y175" s="152">
        <f t="shared" si="64"/>
        <v>0.12485662638441564</v>
      </c>
      <c r="Z175" s="152">
        <f t="shared" si="65"/>
        <v>0.10078821078903662</v>
      </c>
      <c r="AA175" s="152">
        <f t="shared" si="66"/>
        <v>5.0889604609977886E-2</v>
      </c>
      <c r="AB175" s="152">
        <f t="shared" si="67"/>
        <v>2.5692551912718731E-2</v>
      </c>
      <c r="AC175" s="152">
        <f t="shared" si="68"/>
        <v>1.3763867096099321E-3</v>
      </c>
      <c r="AD175" s="152"/>
      <c r="AE175" s="221">
        <v>139</v>
      </c>
      <c r="AF175" s="221">
        <v>365</v>
      </c>
      <c r="AG175" s="221">
        <v>232</v>
      </c>
      <c r="AH175" s="221">
        <v>190</v>
      </c>
      <c r="AI175" s="221">
        <v>207</v>
      </c>
      <c r="AJ175" s="221">
        <v>109</v>
      </c>
      <c r="AK175" s="221">
        <v>62</v>
      </c>
      <c r="AL175" s="221">
        <v>4</v>
      </c>
      <c r="AM175" s="221">
        <v>1308</v>
      </c>
      <c r="AN175" s="147"/>
      <c r="AO175" s="221">
        <v>-8</v>
      </c>
      <c r="AP175" s="221">
        <v>-23</v>
      </c>
      <c r="AQ175" s="221">
        <v>-19</v>
      </c>
      <c r="AR175" s="221">
        <v>5</v>
      </c>
      <c r="AS175" s="221">
        <v>-7</v>
      </c>
      <c r="AT175" s="221">
        <v>-3</v>
      </c>
      <c r="AU175" s="221">
        <v>-3</v>
      </c>
      <c r="AV175" s="221">
        <v>-2</v>
      </c>
      <c r="AW175" s="221">
        <v>-60</v>
      </c>
      <c r="AX175" s="56">
        <f t="shared" si="88"/>
        <v>8</v>
      </c>
      <c r="AY175" s="56">
        <f t="shared" si="88"/>
        <v>23</v>
      </c>
      <c r="AZ175" s="56">
        <f t="shared" si="88"/>
        <v>19</v>
      </c>
      <c r="BA175" s="56">
        <f t="shared" si="87"/>
        <v>-5</v>
      </c>
      <c r="BB175" s="56">
        <f t="shared" si="87"/>
        <v>7</v>
      </c>
      <c r="BC175" s="56">
        <f t="shared" si="87"/>
        <v>3</v>
      </c>
      <c r="BD175" s="56">
        <f t="shared" si="87"/>
        <v>3</v>
      </c>
      <c r="BE175" s="56">
        <f t="shared" si="59"/>
        <v>2</v>
      </c>
      <c r="BF175" s="56">
        <f t="shared" si="59"/>
        <v>60</v>
      </c>
      <c r="BH175">
        <f t="shared" si="69"/>
        <v>1</v>
      </c>
      <c r="BI175">
        <f t="shared" si="78"/>
        <v>0</v>
      </c>
      <c r="BJ175" s="154">
        <v>2513997.5133333332</v>
      </c>
      <c r="BK175" s="155">
        <f t="shared" si="70"/>
        <v>2513997.5133333332</v>
      </c>
      <c r="BL175" s="156">
        <v>1911454.561111111</v>
      </c>
      <c r="BM175" s="155">
        <f t="shared" si="71"/>
        <v>1911454.561111111</v>
      </c>
      <c r="BN175" s="158">
        <v>2301712.1322222222</v>
      </c>
      <c r="BO175" s="155">
        <f t="shared" si="72"/>
        <v>2301712.1322222222</v>
      </c>
      <c r="BP175" s="158">
        <v>1919325.7333333329</v>
      </c>
      <c r="BQ175" s="155">
        <f t="shared" si="73"/>
        <v>1919325.7333333329</v>
      </c>
      <c r="BR175" s="158">
        <v>1966898.0666666664</v>
      </c>
      <c r="BS175" s="155">
        <f t="shared" si="74"/>
        <v>1966898.0666666664</v>
      </c>
      <c r="BT175" s="194">
        <v>1708711.1222222222</v>
      </c>
      <c r="BU175" s="194"/>
      <c r="BV175" s="348">
        <f t="shared" si="79"/>
        <v>1708711.1222222222</v>
      </c>
      <c r="BW175" s="195">
        <f t="shared" si="75"/>
        <v>2109635.3155555557</v>
      </c>
      <c r="BX175" s="157" t="str">
        <f t="shared" si="80"/>
        <v>0</v>
      </c>
      <c r="BY175" s="157">
        <f>IF(E175*$CJ$10*'Year 7 Payments'!$L$20*IF(B175="",1,0.8)&lt;=(BW175-(J175*350)),E175*$CJ$10*'Year 7 Payments'!$L$20*IF(B175="",1,0.8),BW175-(IF(B175="",1,0.8)*J175*350))</f>
        <v>603715.29258666665</v>
      </c>
      <c r="BZ175" s="157" t="str">
        <f t="shared" si="81"/>
        <v>0</v>
      </c>
      <c r="CA175" s="157">
        <f t="shared" si="82"/>
        <v>1505920.0229688892</v>
      </c>
      <c r="CB175" s="157">
        <f t="shared" si="83"/>
        <v>0</v>
      </c>
      <c r="CC175" s="157">
        <f t="shared" si="84"/>
        <v>6023680.0918755569</v>
      </c>
      <c r="CD175" s="201">
        <f t="shared" si="85"/>
        <v>0</v>
      </c>
      <c r="CE175" s="155">
        <f t="shared" si="86"/>
        <v>1505920.0229688892</v>
      </c>
    </row>
    <row r="176" spans="1:83" x14ac:dyDescent="0.2">
      <c r="A176" s="147" t="s">
        <v>646</v>
      </c>
      <c r="B176" s="57" t="s">
        <v>568</v>
      </c>
      <c r="C176" s="57" t="s">
        <v>443</v>
      </c>
      <c r="D176" s="148" t="s">
        <v>204</v>
      </c>
      <c r="E176" s="197">
        <v>45905.333333333328</v>
      </c>
      <c r="F176" s="147">
        <f t="shared" si="76"/>
        <v>37615</v>
      </c>
      <c r="G176" s="342">
        <v>259</v>
      </c>
      <c r="H176" s="149">
        <f t="shared" si="61"/>
        <v>116</v>
      </c>
      <c r="I176" s="346">
        <v>0</v>
      </c>
      <c r="J176" s="150">
        <v>27</v>
      </c>
      <c r="K176"/>
      <c r="L176" s="151">
        <v>1627</v>
      </c>
      <c r="M176" s="151">
        <v>2476</v>
      </c>
      <c r="N176" s="151">
        <v>3914</v>
      </c>
      <c r="O176" s="151">
        <v>7970</v>
      </c>
      <c r="P176" s="151">
        <v>6972</v>
      </c>
      <c r="Q176" s="151">
        <v>6105</v>
      </c>
      <c r="R176" s="151">
        <v>7544</v>
      </c>
      <c r="S176" s="151">
        <v>1007</v>
      </c>
      <c r="T176" s="151">
        <v>37615</v>
      </c>
      <c r="U176" s="147"/>
      <c r="V176" s="152">
        <f t="shared" si="77"/>
        <v>4.3254021002259738E-2</v>
      </c>
      <c r="W176" s="152">
        <f t="shared" si="62"/>
        <v>6.5824803934600565E-2</v>
      </c>
      <c r="X176" s="152">
        <f t="shared" si="63"/>
        <v>0.10405423368337099</v>
      </c>
      <c r="Y176" s="152">
        <f t="shared" si="64"/>
        <v>0.21188355709158579</v>
      </c>
      <c r="Z176" s="152">
        <f t="shared" si="65"/>
        <v>0.18535158846204972</v>
      </c>
      <c r="AA176" s="152">
        <f t="shared" si="66"/>
        <v>0.16230227302937658</v>
      </c>
      <c r="AB176" s="152">
        <f t="shared" si="67"/>
        <v>0.20055828791705438</v>
      </c>
      <c r="AC176" s="152">
        <f t="shared" si="68"/>
        <v>2.6771234879702246E-2</v>
      </c>
      <c r="AD176" s="152"/>
      <c r="AE176" s="221">
        <v>0</v>
      </c>
      <c r="AF176" s="221">
        <v>7</v>
      </c>
      <c r="AG176" s="221">
        <v>38</v>
      </c>
      <c r="AH176" s="221">
        <v>6</v>
      </c>
      <c r="AI176" s="221">
        <v>-26</v>
      </c>
      <c r="AJ176" s="221">
        <v>22</v>
      </c>
      <c r="AK176" s="221">
        <v>49</v>
      </c>
      <c r="AL176" s="221">
        <v>14</v>
      </c>
      <c r="AM176" s="221">
        <v>110</v>
      </c>
      <c r="AN176" s="147"/>
      <c r="AO176" s="221">
        <v>-10</v>
      </c>
      <c r="AP176" s="221">
        <v>-4</v>
      </c>
      <c r="AQ176" s="221">
        <v>6</v>
      </c>
      <c r="AR176" s="221">
        <v>4</v>
      </c>
      <c r="AS176" s="221">
        <v>-3</v>
      </c>
      <c r="AT176" s="221">
        <v>3</v>
      </c>
      <c r="AU176" s="221">
        <v>-3</v>
      </c>
      <c r="AV176" s="221">
        <v>1</v>
      </c>
      <c r="AW176" s="221">
        <v>-6</v>
      </c>
      <c r="AX176" s="56">
        <f t="shared" si="88"/>
        <v>10</v>
      </c>
      <c r="AY176" s="56">
        <f t="shared" si="88"/>
        <v>4</v>
      </c>
      <c r="AZ176" s="56">
        <f t="shared" si="88"/>
        <v>-6</v>
      </c>
      <c r="BA176" s="56">
        <f t="shared" si="87"/>
        <v>-4</v>
      </c>
      <c r="BB176" s="56">
        <f t="shared" si="87"/>
        <v>3</v>
      </c>
      <c r="BC176" s="56">
        <f t="shared" si="87"/>
        <v>-3</v>
      </c>
      <c r="BD176" s="56">
        <f t="shared" si="87"/>
        <v>3</v>
      </c>
      <c r="BE176" s="56">
        <f t="shared" si="59"/>
        <v>-1</v>
      </c>
      <c r="BF176" s="56">
        <f t="shared" si="59"/>
        <v>6</v>
      </c>
      <c r="BH176">
        <f t="shared" si="69"/>
        <v>0.8</v>
      </c>
      <c r="BI176">
        <f t="shared" si="78"/>
        <v>0.19999999999999996</v>
      </c>
      <c r="BJ176" s="154">
        <v>139956.14933333336</v>
      </c>
      <c r="BK176" s="155">
        <f t="shared" si="70"/>
        <v>139956.14933333336</v>
      </c>
      <c r="BL176" s="156">
        <v>212192.35377777778</v>
      </c>
      <c r="BM176" s="155">
        <f t="shared" si="71"/>
        <v>212192.35377777778</v>
      </c>
      <c r="BN176" s="158">
        <v>400790.12888888898</v>
      </c>
      <c r="BO176" s="155">
        <f t="shared" si="72"/>
        <v>400790.12888888898</v>
      </c>
      <c r="BP176" s="158">
        <v>198816.74666666667</v>
      </c>
      <c r="BQ176" s="155">
        <f t="shared" si="73"/>
        <v>198816.74666666667</v>
      </c>
      <c r="BR176" s="158">
        <v>133257.13955555556</v>
      </c>
      <c r="BS176" s="155">
        <f t="shared" si="74"/>
        <v>133257.13955555556</v>
      </c>
      <c r="BT176" s="194">
        <v>240255.48088888891</v>
      </c>
      <c r="BU176" s="194"/>
      <c r="BV176" s="348">
        <f t="shared" si="79"/>
        <v>240255.48088888891</v>
      </c>
      <c r="BW176" s="195">
        <f t="shared" si="75"/>
        <v>200488.50133333335</v>
      </c>
      <c r="BX176" s="157">
        <f t="shared" si="80"/>
        <v>50122.125333333337</v>
      </c>
      <c r="BY176" s="157">
        <f>IF(E176*$CJ$10*'Year 7 Payments'!$L$20*IF(B176="",1,0.8)&lt;=(BW176-(J176*350)),E176*$CJ$10*'Year 7 Payments'!$L$20*IF(B176="",1,0.8),BW176-(IF(B176="",1,0.8)*J176*350))</f>
        <v>192928.50133333335</v>
      </c>
      <c r="BZ176" s="157">
        <f t="shared" si="81"/>
        <v>48232.125333333337</v>
      </c>
      <c r="CA176" s="157">
        <f t="shared" si="82"/>
        <v>7560</v>
      </c>
      <c r="CB176" s="157">
        <f t="shared" si="83"/>
        <v>1890</v>
      </c>
      <c r="CC176" s="157">
        <f t="shared" si="84"/>
        <v>30240</v>
      </c>
      <c r="CD176" s="201">
        <f t="shared" si="85"/>
        <v>7560</v>
      </c>
      <c r="CE176" s="155">
        <f t="shared" si="86"/>
        <v>7560</v>
      </c>
    </row>
    <row r="177" spans="1:83" x14ac:dyDescent="0.2">
      <c r="A177" s="147" t="s">
        <v>647</v>
      </c>
      <c r="B177" s="57" t="s">
        <v>469</v>
      </c>
      <c r="C177" s="57" t="s">
        <v>443</v>
      </c>
      <c r="D177" s="148" t="s">
        <v>205</v>
      </c>
      <c r="E177" s="197">
        <v>82917</v>
      </c>
      <c r="F177" s="147">
        <f t="shared" si="76"/>
        <v>81094</v>
      </c>
      <c r="G177" s="342">
        <v>474</v>
      </c>
      <c r="H177" s="149">
        <f t="shared" si="61"/>
        <v>290</v>
      </c>
      <c r="I177" s="346">
        <v>0</v>
      </c>
      <c r="J177" s="150">
        <v>16</v>
      </c>
      <c r="K177"/>
      <c r="L177" s="151">
        <v>6938</v>
      </c>
      <c r="M177" s="151">
        <v>11924</v>
      </c>
      <c r="N177" s="151">
        <v>17794</v>
      </c>
      <c r="O177" s="151">
        <v>19209</v>
      </c>
      <c r="P177" s="151">
        <v>13327</v>
      </c>
      <c r="Q177" s="151">
        <v>6831</v>
      </c>
      <c r="R177" s="151">
        <v>4479</v>
      </c>
      <c r="S177" s="151">
        <v>592</v>
      </c>
      <c r="T177" s="151">
        <v>81094</v>
      </c>
      <c r="U177" s="147"/>
      <c r="V177" s="152">
        <f t="shared" si="77"/>
        <v>8.5555034897772955E-2</v>
      </c>
      <c r="W177" s="152">
        <f t="shared" si="62"/>
        <v>0.14703923841467925</v>
      </c>
      <c r="X177" s="152">
        <f t="shared" si="63"/>
        <v>0.21942437171677312</v>
      </c>
      <c r="Y177" s="152">
        <f t="shared" si="64"/>
        <v>0.23687325819419439</v>
      </c>
      <c r="Z177" s="152">
        <f t="shared" si="65"/>
        <v>0.16434014846967718</v>
      </c>
      <c r="AA177" s="152">
        <f t="shared" si="66"/>
        <v>8.4235578464497987E-2</v>
      </c>
      <c r="AB177" s="152">
        <f t="shared" si="67"/>
        <v>5.5232199669519325E-2</v>
      </c>
      <c r="AC177" s="152">
        <f t="shared" si="68"/>
        <v>7.3001701728857872E-3</v>
      </c>
      <c r="AD177" s="152"/>
      <c r="AE177" s="221">
        <v>76</v>
      </c>
      <c r="AF177" s="221">
        <v>45</v>
      </c>
      <c r="AG177" s="221">
        <v>14</v>
      </c>
      <c r="AH177" s="221">
        <v>32</v>
      </c>
      <c r="AI177" s="221">
        <v>52</v>
      </c>
      <c r="AJ177" s="221">
        <v>55</v>
      </c>
      <c r="AK177" s="221">
        <v>36</v>
      </c>
      <c r="AL177" s="221">
        <v>5</v>
      </c>
      <c r="AM177" s="221">
        <v>315</v>
      </c>
      <c r="AN177" s="147"/>
      <c r="AO177" s="221">
        <v>-10</v>
      </c>
      <c r="AP177" s="221">
        <v>20</v>
      </c>
      <c r="AQ177" s="221">
        <v>-14</v>
      </c>
      <c r="AR177" s="221">
        <v>6</v>
      </c>
      <c r="AS177" s="221">
        <v>8</v>
      </c>
      <c r="AT177" s="221">
        <v>7</v>
      </c>
      <c r="AU177" s="221">
        <v>9</v>
      </c>
      <c r="AV177" s="221">
        <v>-1</v>
      </c>
      <c r="AW177" s="221">
        <v>25</v>
      </c>
      <c r="AX177" s="56">
        <f t="shared" si="88"/>
        <v>10</v>
      </c>
      <c r="AY177" s="56">
        <f t="shared" si="88"/>
        <v>-20</v>
      </c>
      <c r="AZ177" s="56">
        <f t="shared" si="88"/>
        <v>14</v>
      </c>
      <c r="BA177" s="56">
        <f t="shared" si="87"/>
        <v>-6</v>
      </c>
      <c r="BB177" s="56">
        <f t="shared" si="87"/>
        <v>-8</v>
      </c>
      <c r="BC177" s="56">
        <f t="shared" si="87"/>
        <v>-7</v>
      </c>
      <c r="BD177" s="56">
        <f t="shared" si="87"/>
        <v>-9</v>
      </c>
      <c r="BE177" s="56">
        <f t="shared" si="87"/>
        <v>1</v>
      </c>
      <c r="BF177" s="56">
        <f t="shared" si="87"/>
        <v>-25</v>
      </c>
      <c r="BH177">
        <f t="shared" si="69"/>
        <v>0.8</v>
      </c>
      <c r="BI177">
        <f t="shared" si="78"/>
        <v>0.19999999999999996</v>
      </c>
      <c r="BJ177" s="154">
        <v>408226.75733333337</v>
      </c>
      <c r="BK177" s="155">
        <f t="shared" si="70"/>
        <v>408226.75733333337</v>
      </c>
      <c r="BL177" s="156">
        <v>311750.96266666666</v>
      </c>
      <c r="BM177" s="155">
        <f t="shared" si="71"/>
        <v>311750.96266666666</v>
      </c>
      <c r="BN177" s="158">
        <v>268970.76533333334</v>
      </c>
      <c r="BO177" s="155">
        <f t="shared" si="72"/>
        <v>268970.76533333334</v>
      </c>
      <c r="BP177" s="158">
        <v>583507.5199999999</v>
      </c>
      <c r="BQ177" s="155">
        <f t="shared" si="73"/>
        <v>583507.5199999999</v>
      </c>
      <c r="BR177" s="158">
        <v>350534.33955555561</v>
      </c>
      <c r="BS177" s="155">
        <f t="shared" si="74"/>
        <v>350534.33955555561</v>
      </c>
      <c r="BT177" s="194">
        <v>273126.41066666669</v>
      </c>
      <c r="BU177" s="194"/>
      <c r="BV177" s="348">
        <f t="shared" si="79"/>
        <v>273126.41066666669</v>
      </c>
      <c r="BW177" s="195">
        <f t="shared" si="75"/>
        <v>381091.66222222225</v>
      </c>
      <c r="BX177" s="157">
        <f t="shared" si="80"/>
        <v>95272.915555555563</v>
      </c>
      <c r="BY177" s="157">
        <f>IF(E177*$CJ$10*'Year 7 Payments'!$L$20*IF(B177="",1,0.8)&lt;=(BW177-(J177*350)),E177*$CJ$10*'Year 7 Payments'!$L$20*IF(B177="",1,0.8),BW177-(IF(B177="",1,0.8)*J177*350))</f>
        <v>376611.66222222225</v>
      </c>
      <c r="BZ177" s="157">
        <f t="shared" si="81"/>
        <v>94152.915555555563</v>
      </c>
      <c r="CA177" s="157">
        <f t="shared" si="82"/>
        <v>4480</v>
      </c>
      <c r="CB177" s="157">
        <f t="shared" si="83"/>
        <v>1120</v>
      </c>
      <c r="CC177" s="157">
        <f t="shared" si="84"/>
        <v>17920</v>
      </c>
      <c r="CD177" s="201">
        <f t="shared" si="85"/>
        <v>4480</v>
      </c>
      <c r="CE177" s="155">
        <f t="shared" si="86"/>
        <v>4480</v>
      </c>
    </row>
    <row r="178" spans="1:83" x14ac:dyDescent="0.2">
      <c r="A178" s="147" t="s">
        <v>648</v>
      </c>
      <c r="B178" s="57" t="s">
        <v>452</v>
      </c>
      <c r="C178" s="57" t="s">
        <v>449</v>
      </c>
      <c r="D178" s="148" t="s">
        <v>206</v>
      </c>
      <c r="E178" s="197">
        <v>44806.222222222226</v>
      </c>
      <c r="F178" s="147">
        <f t="shared" si="76"/>
        <v>53034</v>
      </c>
      <c r="G178" s="342">
        <v>647</v>
      </c>
      <c r="H178" s="149">
        <f t="shared" si="61"/>
        <v>547</v>
      </c>
      <c r="I178" s="346">
        <v>306.4417777777777</v>
      </c>
      <c r="J178" s="150">
        <v>53</v>
      </c>
      <c r="K178"/>
      <c r="L178" s="151">
        <v>22793</v>
      </c>
      <c r="M178" s="151">
        <v>7881</v>
      </c>
      <c r="N178" s="151">
        <v>8527</v>
      </c>
      <c r="O178" s="151">
        <v>5701</v>
      </c>
      <c r="P178" s="151">
        <v>4035</v>
      </c>
      <c r="Q178" s="151">
        <v>2563</v>
      </c>
      <c r="R178" s="151">
        <v>1407</v>
      </c>
      <c r="S178" s="151">
        <v>127</v>
      </c>
      <c r="T178" s="151">
        <v>53034</v>
      </c>
      <c r="U178" s="147"/>
      <c r="V178" s="152">
        <f t="shared" si="77"/>
        <v>0.4297808952747294</v>
      </c>
      <c r="W178" s="152">
        <f t="shared" si="62"/>
        <v>0.14860278312026248</v>
      </c>
      <c r="X178" s="152">
        <f t="shared" si="63"/>
        <v>0.16078364822566654</v>
      </c>
      <c r="Y178" s="152">
        <f t="shared" si="64"/>
        <v>0.10749707734660784</v>
      </c>
      <c r="Z178" s="152">
        <f t="shared" si="65"/>
        <v>7.6083267337934149E-2</v>
      </c>
      <c r="AA178" s="152">
        <f t="shared" si="66"/>
        <v>4.8327488026549008E-2</v>
      </c>
      <c r="AB178" s="152">
        <f t="shared" si="67"/>
        <v>2.6530150469510124E-2</v>
      </c>
      <c r="AC178" s="152">
        <f t="shared" si="68"/>
        <v>2.3946901987404305E-3</v>
      </c>
      <c r="AD178" s="152"/>
      <c r="AE178" s="221">
        <v>206</v>
      </c>
      <c r="AF178" s="221">
        <v>90</v>
      </c>
      <c r="AG178" s="221">
        <v>70</v>
      </c>
      <c r="AH178" s="221">
        <v>41</v>
      </c>
      <c r="AI178" s="221">
        <v>40</v>
      </c>
      <c r="AJ178" s="221">
        <v>37</v>
      </c>
      <c r="AK178" s="221">
        <v>14</v>
      </c>
      <c r="AL178" s="221">
        <v>2</v>
      </c>
      <c r="AM178" s="221">
        <v>500</v>
      </c>
      <c r="AN178" s="147"/>
      <c r="AO178" s="221">
        <v>-2</v>
      </c>
      <c r="AP178" s="221">
        <v>-14</v>
      </c>
      <c r="AQ178" s="221">
        <v>-10</v>
      </c>
      <c r="AR178" s="221">
        <v>-10</v>
      </c>
      <c r="AS178" s="221">
        <v>-16</v>
      </c>
      <c r="AT178" s="221">
        <v>11</v>
      </c>
      <c r="AU178" s="221">
        <v>-4</v>
      </c>
      <c r="AV178" s="221">
        <v>-2</v>
      </c>
      <c r="AW178" s="221">
        <v>-47</v>
      </c>
      <c r="AX178" s="56">
        <f t="shared" si="88"/>
        <v>2</v>
      </c>
      <c r="AY178" s="56">
        <f t="shared" si="88"/>
        <v>14</v>
      </c>
      <c r="AZ178" s="56">
        <f t="shared" si="88"/>
        <v>10</v>
      </c>
      <c r="BA178" s="56">
        <f t="shared" si="87"/>
        <v>10</v>
      </c>
      <c r="BB178" s="56">
        <f t="shared" si="87"/>
        <v>16</v>
      </c>
      <c r="BC178" s="56">
        <f t="shared" si="87"/>
        <v>-11</v>
      </c>
      <c r="BD178" s="56">
        <f t="shared" si="87"/>
        <v>4</v>
      </c>
      <c r="BE178" s="56">
        <f t="shared" si="87"/>
        <v>2</v>
      </c>
      <c r="BF178" s="56">
        <f t="shared" si="87"/>
        <v>47</v>
      </c>
      <c r="BH178">
        <f t="shared" si="69"/>
        <v>0.8</v>
      </c>
      <c r="BI178">
        <f t="shared" si="78"/>
        <v>0.19999999999999996</v>
      </c>
      <c r="BJ178" s="154">
        <v>389804.74133333331</v>
      </c>
      <c r="BK178" s="155">
        <f t="shared" si="70"/>
        <v>389804.74133333331</v>
      </c>
      <c r="BL178" s="156">
        <v>377615.08088888892</v>
      </c>
      <c r="BM178" s="155">
        <f t="shared" si="71"/>
        <v>377615.08088888892</v>
      </c>
      <c r="BN178" s="158">
        <v>377638.3280000001</v>
      </c>
      <c r="BO178" s="155">
        <f t="shared" si="72"/>
        <v>377638.3280000001</v>
      </c>
      <c r="BP178" s="158">
        <v>413472.21333333338</v>
      </c>
      <c r="BQ178" s="155">
        <f t="shared" si="73"/>
        <v>413472.21333333338</v>
      </c>
      <c r="BR178" s="158">
        <v>320223.27822222229</v>
      </c>
      <c r="BS178" s="155">
        <f t="shared" si="74"/>
        <v>320223.27822222229</v>
      </c>
      <c r="BT178" s="194">
        <v>402107.80088888889</v>
      </c>
      <c r="BU178" s="194"/>
      <c r="BV178" s="348">
        <f t="shared" si="79"/>
        <v>402107.80088888889</v>
      </c>
      <c r="BW178" s="195">
        <f t="shared" si="75"/>
        <v>609125.0453333332</v>
      </c>
      <c r="BX178" s="157">
        <f t="shared" si="80"/>
        <v>152281.2613333333</v>
      </c>
      <c r="BY178" s="157">
        <f>IF(E178*$CJ$10*'Year 7 Payments'!$L$20*IF(B178="",1,0.8)&lt;=(BW178-(J178*350)),E178*$CJ$10*'Year 7 Payments'!$L$20*IF(B178="",1,0.8),BW178-(IF(B178="",1,0.8)*J178*350))</f>
        <v>219308.17683911114</v>
      </c>
      <c r="BZ178" s="157">
        <f t="shared" si="81"/>
        <v>54827.044209777785</v>
      </c>
      <c r="CA178" s="157">
        <f t="shared" si="82"/>
        <v>389816.86849422206</v>
      </c>
      <c r="CB178" s="157">
        <f t="shared" si="83"/>
        <v>97454.217123555514</v>
      </c>
      <c r="CC178" s="157">
        <f t="shared" si="84"/>
        <v>1559267.4739768882</v>
      </c>
      <c r="CD178" s="201">
        <f t="shared" si="85"/>
        <v>389816.86849422206</v>
      </c>
      <c r="CE178" s="155">
        <f t="shared" si="86"/>
        <v>389816.86849422206</v>
      </c>
    </row>
    <row r="179" spans="1:83" x14ac:dyDescent="0.2">
      <c r="A179" s="147" t="s">
        <v>649</v>
      </c>
      <c r="B179" s="57"/>
      <c r="C179" s="57" t="s">
        <v>543</v>
      </c>
      <c r="D179" s="148" t="s">
        <v>207</v>
      </c>
      <c r="E179" s="197">
        <v>98695.111111111124</v>
      </c>
      <c r="F179" s="147">
        <f t="shared" si="76"/>
        <v>129494</v>
      </c>
      <c r="G179" s="342">
        <v>1282</v>
      </c>
      <c r="H179" s="149">
        <f t="shared" si="61"/>
        <v>2387</v>
      </c>
      <c r="I179" s="346">
        <v>1396.5528888888887</v>
      </c>
      <c r="J179" s="150">
        <v>125</v>
      </c>
      <c r="K179"/>
      <c r="L179" s="151">
        <v>74449</v>
      </c>
      <c r="M179" s="151">
        <v>19667</v>
      </c>
      <c r="N179" s="151">
        <v>18358</v>
      </c>
      <c r="O179" s="151">
        <v>8645</v>
      </c>
      <c r="P179" s="151">
        <v>4401</v>
      </c>
      <c r="Q179" s="151">
        <v>2189</v>
      </c>
      <c r="R179" s="151">
        <v>1656</v>
      </c>
      <c r="S179" s="151">
        <v>129</v>
      </c>
      <c r="T179" s="151">
        <v>129494</v>
      </c>
      <c r="U179" s="147"/>
      <c r="V179" s="152">
        <f t="shared" si="77"/>
        <v>0.57492239022657421</v>
      </c>
      <c r="W179" s="152">
        <f t="shared" si="62"/>
        <v>0.15187576258359461</v>
      </c>
      <c r="X179" s="152">
        <f t="shared" si="63"/>
        <v>0.14176718612445363</v>
      </c>
      <c r="Y179" s="152">
        <f t="shared" si="64"/>
        <v>6.6759849877214394E-2</v>
      </c>
      <c r="Z179" s="152">
        <f t="shared" si="65"/>
        <v>3.398613063153505E-2</v>
      </c>
      <c r="AA179" s="152">
        <f t="shared" si="66"/>
        <v>1.6904258112344972E-2</v>
      </c>
      <c r="AB179" s="152">
        <f t="shared" si="67"/>
        <v>1.2788237292847546E-2</v>
      </c>
      <c r="AC179" s="152">
        <f t="shared" si="68"/>
        <v>9.9618515143558772E-4</v>
      </c>
      <c r="AD179" s="152"/>
      <c r="AE179" s="221">
        <v>1862</v>
      </c>
      <c r="AF179" s="221">
        <v>254</v>
      </c>
      <c r="AG179" s="221">
        <v>250</v>
      </c>
      <c r="AH179" s="221">
        <v>75</v>
      </c>
      <c r="AI179" s="221">
        <v>110</v>
      </c>
      <c r="AJ179" s="221">
        <v>38</v>
      </c>
      <c r="AK179" s="221">
        <v>21</v>
      </c>
      <c r="AL179" s="221">
        <v>0</v>
      </c>
      <c r="AM179" s="221">
        <v>2610</v>
      </c>
      <c r="AN179" s="147"/>
      <c r="AO179" s="221">
        <v>164</v>
      </c>
      <c r="AP179" s="221">
        <v>2</v>
      </c>
      <c r="AQ179" s="221">
        <v>34</v>
      </c>
      <c r="AR179" s="221">
        <v>11</v>
      </c>
      <c r="AS179" s="221">
        <v>5</v>
      </c>
      <c r="AT179" s="221">
        <v>2</v>
      </c>
      <c r="AU179" s="221">
        <v>6</v>
      </c>
      <c r="AV179" s="221">
        <v>-1</v>
      </c>
      <c r="AW179" s="221">
        <v>223</v>
      </c>
      <c r="AX179" s="56">
        <f t="shared" si="88"/>
        <v>-164</v>
      </c>
      <c r="AY179" s="56">
        <f t="shared" si="88"/>
        <v>-2</v>
      </c>
      <c r="AZ179" s="56">
        <f t="shared" si="88"/>
        <v>-34</v>
      </c>
      <c r="BA179" s="56">
        <f t="shared" si="87"/>
        <v>-11</v>
      </c>
      <c r="BB179" s="56">
        <f t="shared" si="87"/>
        <v>-5</v>
      </c>
      <c r="BC179" s="56">
        <f t="shared" si="87"/>
        <v>-2</v>
      </c>
      <c r="BD179" s="56">
        <f t="shared" si="87"/>
        <v>-6</v>
      </c>
      <c r="BE179" s="56">
        <f t="shared" si="87"/>
        <v>1</v>
      </c>
      <c r="BF179" s="56">
        <f t="shared" si="87"/>
        <v>-223</v>
      </c>
      <c r="BH179">
        <f t="shared" si="69"/>
        <v>1</v>
      </c>
      <c r="BI179">
        <f t="shared" si="78"/>
        <v>0</v>
      </c>
      <c r="BJ179" s="154">
        <v>455753</v>
      </c>
      <c r="BK179" s="155">
        <f t="shared" si="70"/>
        <v>455753</v>
      </c>
      <c r="BL179" s="156">
        <v>698314.7533333333</v>
      </c>
      <c r="BM179" s="155">
        <f t="shared" si="71"/>
        <v>698314.7533333333</v>
      </c>
      <c r="BN179" s="158">
        <v>948078.21</v>
      </c>
      <c r="BO179" s="155">
        <f t="shared" si="72"/>
        <v>948078.21</v>
      </c>
      <c r="BP179" s="158">
        <v>1526686.6666666665</v>
      </c>
      <c r="BQ179" s="155">
        <f t="shared" si="73"/>
        <v>1526686.6666666665</v>
      </c>
      <c r="BR179" s="158">
        <v>1497515.7444444445</v>
      </c>
      <c r="BS179" s="155">
        <f t="shared" si="74"/>
        <v>1497515.7444444445</v>
      </c>
      <c r="BT179" s="194">
        <v>1067803.333333333</v>
      </c>
      <c r="BU179" s="194"/>
      <c r="BV179" s="348">
        <f t="shared" si="79"/>
        <v>1067803.333333333</v>
      </c>
      <c r="BW179" s="195">
        <f t="shared" si="75"/>
        <v>2783701.8133333335</v>
      </c>
      <c r="BX179" s="157" t="str">
        <f t="shared" si="80"/>
        <v>0</v>
      </c>
      <c r="BY179" s="157">
        <f>IF(E179*$CJ$10*'Year 7 Payments'!$L$20*IF(B179="",1,0.8)&lt;=(BW179-(J179*350)),E179*$CJ$10*'Year 7 Payments'!$L$20*IF(B179="",1,0.8),BW179-(IF(B179="",1,0.8)*J179*350))</f>
        <v>603840.37660444446</v>
      </c>
      <c r="BZ179" s="157" t="str">
        <f t="shared" si="81"/>
        <v>0</v>
      </c>
      <c r="CA179" s="157">
        <f t="shared" si="82"/>
        <v>2179861.4367288891</v>
      </c>
      <c r="CB179" s="157">
        <f t="shared" si="83"/>
        <v>0</v>
      </c>
      <c r="CC179" s="157">
        <f t="shared" si="84"/>
        <v>8719445.7469155565</v>
      </c>
      <c r="CD179" s="201">
        <f t="shared" si="85"/>
        <v>0</v>
      </c>
      <c r="CE179" s="155">
        <f t="shared" si="86"/>
        <v>2179861.4367288891</v>
      </c>
    </row>
    <row r="180" spans="1:83" x14ac:dyDescent="0.2">
      <c r="A180" s="147" t="s">
        <v>650</v>
      </c>
      <c r="B180" s="57" t="s">
        <v>510</v>
      </c>
      <c r="C180" s="57" t="s">
        <v>476</v>
      </c>
      <c r="D180" s="148" t="s">
        <v>208</v>
      </c>
      <c r="E180" s="197">
        <v>45423.888888888883</v>
      </c>
      <c r="F180" s="147">
        <f t="shared" si="76"/>
        <v>55657</v>
      </c>
      <c r="G180" s="342">
        <v>411</v>
      </c>
      <c r="H180" s="149">
        <f t="shared" si="61"/>
        <v>466</v>
      </c>
      <c r="I180" s="346">
        <v>193.85999999999996</v>
      </c>
      <c r="J180" s="150">
        <v>0</v>
      </c>
      <c r="K180"/>
      <c r="L180" s="151">
        <v>24027</v>
      </c>
      <c r="M180" s="151">
        <v>10338</v>
      </c>
      <c r="N180" s="151">
        <v>11206</v>
      </c>
      <c r="O180" s="151">
        <v>4696</v>
      </c>
      <c r="P180" s="151">
        <v>2705</v>
      </c>
      <c r="Q180" s="151">
        <v>1723</v>
      </c>
      <c r="R180" s="151">
        <v>915</v>
      </c>
      <c r="S180" s="151">
        <v>47</v>
      </c>
      <c r="T180" s="151">
        <v>55657</v>
      </c>
      <c r="U180" s="147"/>
      <c r="V180" s="152">
        <f t="shared" si="77"/>
        <v>0.43169771996334694</v>
      </c>
      <c r="W180" s="152">
        <f t="shared" si="62"/>
        <v>0.1857448299405286</v>
      </c>
      <c r="X180" s="152">
        <f t="shared" si="63"/>
        <v>0.20134035251630522</v>
      </c>
      <c r="Y180" s="152">
        <f t="shared" si="64"/>
        <v>8.4373933197980491E-2</v>
      </c>
      <c r="Z180" s="152">
        <f t="shared" si="65"/>
        <v>4.8601254109995148E-2</v>
      </c>
      <c r="AA180" s="152">
        <f t="shared" si="66"/>
        <v>3.0957471656754765E-2</v>
      </c>
      <c r="AB180" s="152">
        <f t="shared" si="67"/>
        <v>1.6439980595432741E-2</v>
      </c>
      <c r="AC180" s="152">
        <f t="shared" si="68"/>
        <v>8.4445801965610798E-4</v>
      </c>
      <c r="AD180" s="152"/>
      <c r="AE180" s="221">
        <v>178</v>
      </c>
      <c r="AF180" s="221">
        <v>40</v>
      </c>
      <c r="AG180" s="221">
        <v>48</v>
      </c>
      <c r="AH180" s="221">
        <v>33</v>
      </c>
      <c r="AI180" s="221">
        <v>5</v>
      </c>
      <c r="AJ180" s="221">
        <v>9</v>
      </c>
      <c r="AK180" s="221">
        <v>4</v>
      </c>
      <c r="AL180" s="221">
        <v>1</v>
      </c>
      <c r="AM180" s="221">
        <v>318</v>
      </c>
      <c r="AN180" s="147"/>
      <c r="AO180" s="221">
        <v>-75</v>
      </c>
      <c r="AP180" s="221">
        <v>0</v>
      </c>
      <c r="AQ180" s="221">
        <v>-44</v>
      </c>
      <c r="AR180" s="221">
        <v>-17</v>
      </c>
      <c r="AS180" s="221">
        <v>-9</v>
      </c>
      <c r="AT180" s="221">
        <v>1</v>
      </c>
      <c r="AU180" s="221">
        <v>-4</v>
      </c>
      <c r="AV180" s="221">
        <v>0</v>
      </c>
      <c r="AW180" s="221">
        <v>-148</v>
      </c>
      <c r="AX180" s="56">
        <f t="shared" si="88"/>
        <v>75</v>
      </c>
      <c r="AY180" s="56">
        <f t="shared" si="88"/>
        <v>0</v>
      </c>
      <c r="AZ180" s="56">
        <f t="shared" si="88"/>
        <v>44</v>
      </c>
      <c r="BA180" s="56">
        <f t="shared" si="87"/>
        <v>17</v>
      </c>
      <c r="BB180" s="56">
        <f t="shared" si="87"/>
        <v>9</v>
      </c>
      <c r="BC180" s="56">
        <f t="shared" si="87"/>
        <v>-1</v>
      </c>
      <c r="BD180" s="56">
        <f t="shared" si="87"/>
        <v>4</v>
      </c>
      <c r="BE180" s="56">
        <f t="shared" si="87"/>
        <v>0</v>
      </c>
      <c r="BF180" s="56">
        <f t="shared" si="87"/>
        <v>148</v>
      </c>
      <c r="BH180">
        <f t="shared" si="69"/>
        <v>0.8</v>
      </c>
      <c r="BI180">
        <f t="shared" si="78"/>
        <v>0.19999999999999996</v>
      </c>
      <c r="BJ180" s="154">
        <v>263920.96533333341</v>
      </c>
      <c r="BK180" s="155">
        <f t="shared" si="70"/>
        <v>263920.96533333341</v>
      </c>
      <c r="BL180" s="156">
        <v>513477.31200000003</v>
      </c>
      <c r="BM180" s="155">
        <f t="shared" si="71"/>
        <v>513477.31200000003</v>
      </c>
      <c r="BN180" s="158">
        <v>153874.43022222223</v>
      </c>
      <c r="BO180" s="155">
        <f t="shared" si="72"/>
        <v>153874.43022222223</v>
      </c>
      <c r="BP180" s="158">
        <v>363989.8666666667</v>
      </c>
      <c r="BQ180" s="155">
        <f t="shared" si="73"/>
        <v>363989.8666666667</v>
      </c>
      <c r="BR180" s="158">
        <v>519300.4782222223</v>
      </c>
      <c r="BS180" s="155">
        <f t="shared" si="74"/>
        <v>519300.4782222223</v>
      </c>
      <c r="BT180" s="194">
        <v>347324.44444444438</v>
      </c>
      <c r="BU180" s="194"/>
      <c r="BV180" s="348">
        <f t="shared" si="79"/>
        <v>347324.44444444438</v>
      </c>
      <c r="BW180" s="195">
        <f t="shared" si="75"/>
        <v>459547.80444444437</v>
      </c>
      <c r="BX180" s="157">
        <f t="shared" si="80"/>
        <v>114886.95111111109</v>
      </c>
      <c r="BY180" s="157">
        <f>IF(E180*$CJ$10*'Year 7 Payments'!$L$20*IF(B180="",1,0.8)&lt;=(BW180-(J180*350)),E180*$CJ$10*'Year 7 Payments'!$L$20*IF(B180="",1,0.8),BW180-(IF(B180="",1,0.8)*J180*350))</f>
        <v>222331.4031644444</v>
      </c>
      <c r="BZ180" s="157">
        <f t="shared" si="81"/>
        <v>55582.850791111101</v>
      </c>
      <c r="CA180" s="157">
        <f t="shared" si="82"/>
        <v>237216.40127999996</v>
      </c>
      <c r="CB180" s="157">
        <f t="shared" si="83"/>
        <v>59304.10031999999</v>
      </c>
      <c r="CC180" s="157">
        <f t="shared" si="84"/>
        <v>948865.60511999985</v>
      </c>
      <c r="CD180" s="201">
        <f t="shared" si="85"/>
        <v>237216.40127999996</v>
      </c>
      <c r="CE180" s="155">
        <f t="shared" si="86"/>
        <v>237216.40127999996</v>
      </c>
    </row>
    <row r="181" spans="1:83" x14ac:dyDescent="0.2">
      <c r="A181" s="147" t="s">
        <v>651</v>
      </c>
      <c r="B181" s="57"/>
      <c r="C181" s="57" t="s">
        <v>461</v>
      </c>
      <c r="D181" s="148" t="s">
        <v>209</v>
      </c>
      <c r="E181" s="197">
        <v>95859.888888888905</v>
      </c>
      <c r="F181" s="147">
        <f t="shared" si="76"/>
        <v>111182</v>
      </c>
      <c r="G181" s="342">
        <v>593</v>
      </c>
      <c r="H181" s="149">
        <f t="shared" si="61"/>
        <v>1764</v>
      </c>
      <c r="I181" s="346">
        <v>1237.0048888888887</v>
      </c>
      <c r="J181" s="150">
        <v>80</v>
      </c>
      <c r="K181"/>
      <c r="L181" s="151">
        <v>5195</v>
      </c>
      <c r="M181" s="151">
        <v>32292</v>
      </c>
      <c r="N181" s="151">
        <v>49405</v>
      </c>
      <c r="O181" s="151">
        <v>20061</v>
      </c>
      <c r="P181" s="151">
        <v>3368</v>
      </c>
      <c r="Q181" s="151">
        <v>728</v>
      </c>
      <c r="R181" s="151">
        <v>111</v>
      </c>
      <c r="S181" s="151">
        <v>22</v>
      </c>
      <c r="T181" s="151">
        <v>111182</v>
      </c>
      <c r="U181" s="147"/>
      <c r="V181" s="152">
        <f t="shared" si="77"/>
        <v>4.6725189329207967E-2</v>
      </c>
      <c r="W181" s="152">
        <f t="shared" si="62"/>
        <v>0.29044269755895741</v>
      </c>
      <c r="X181" s="152">
        <f t="shared" si="63"/>
        <v>0.44436149736468133</v>
      </c>
      <c r="Y181" s="152">
        <f t="shared" si="64"/>
        <v>0.18043388318252954</v>
      </c>
      <c r="Z181" s="152">
        <f t="shared" si="65"/>
        <v>3.0292673274450899E-2</v>
      </c>
      <c r="AA181" s="152">
        <f t="shared" si="66"/>
        <v>6.5478224892518569E-3</v>
      </c>
      <c r="AB181" s="152">
        <f t="shared" si="67"/>
        <v>9.9836304437768701E-4</v>
      </c>
      <c r="AC181" s="152">
        <f t="shared" si="68"/>
        <v>1.9787375654332535E-4</v>
      </c>
      <c r="AD181" s="152"/>
      <c r="AE181" s="221">
        <v>88</v>
      </c>
      <c r="AF181" s="221">
        <v>101</v>
      </c>
      <c r="AG181" s="221">
        <v>358</v>
      </c>
      <c r="AH181" s="221">
        <v>421</v>
      </c>
      <c r="AI181" s="221">
        <v>73</v>
      </c>
      <c r="AJ181" s="221">
        <v>-1</v>
      </c>
      <c r="AK181" s="221">
        <v>0</v>
      </c>
      <c r="AL181" s="221">
        <v>-1</v>
      </c>
      <c r="AM181" s="221">
        <v>1039</v>
      </c>
      <c r="AN181" s="147"/>
      <c r="AO181" s="221">
        <v>-23</v>
      </c>
      <c r="AP181" s="221">
        <v>-194</v>
      </c>
      <c r="AQ181" s="221">
        <v>-254</v>
      </c>
      <c r="AR181" s="221">
        <v>-219</v>
      </c>
      <c r="AS181" s="221">
        <v>-22</v>
      </c>
      <c r="AT181" s="221">
        <v>-9</v>
      </c>
      <c r="AU181" s="221">
        <v>-2</v>
      </c>
      <c r="AV181" s="221">
        <v>-2</v>
      </c>
      <c r="AW181" s="221">
        <v>-725</v>
      </c>
      <c r="AX181" s="56">
        <f t="shared" si="88"/>
        <v>23</v>
      </c>
      <c r="AY181" s="56">
        <f t="shared" si="88"/>
        <v>194</v>
      </c>
      <c r="AZ181" s="56">
        <f t="shared" si="88"/>
        <v>254</v>
      </c>
      <c r="BA181" s="56">
        <f t="shared" si="87"/>
        <v>219</v>
      </c>
      <c r="BB181" s="56">
        <f t="shared" si="87"/>
        <v>22</v>
      </c>
      <c r="BC181" s="56">
        <f t="shared" si="87"/>
        <v>9</v>
      </c>
      <c r="BD181" s="56">
        <f t="shared" si="87"/>
        <v>2</v>
      </c>
      <c r="BE181" s="56">
        <f t="shared" si="87"/>
        <v>2</v>
      </c>
      <c r="BF181" s="56">
        <f t="shared" si="87"/>
        <v>725</v>
      </c>
      <c r="BH181">
        <f t="shared" si="69"/>
        <v>1</v>
      </c>
      <c r="BI181">
        <f t="shared" si="78"/>
        <v>0</v>
      </c>
      <c r="BJ181" s="154">
        <v>1580423.4733333334</v>
      </c>
      <c r="BK181" s="155">
        <f t="shared" si="70"/>
        <v>1580423.4733333334</v>
      </c>
      <c r="BL181" s="156">
        <v>1600818.8344444444</v>
      </c>
      <c r="BM181" s="155">
        <f t="shared" si="71"/>
        <v>1600818.8344444444</v>
      </c>
      <c r="BN181" s="158">
        <v>1878315.9444444443</v>
      </c>
      <c r="BO181" s="155">
        <f t="shared" si="72"/>
        <v>1878315.9444444443</v>
      </c>
      <c r="BP181" s="158">
        <v>1694040.1333333333</v>
      </c>
      <c r="BQ181" s="155">
        <f t="shared" si="73"/>
        <v>1694040.1333333333</v>
      </c>
      <c r="BR181" s="158">
        <v>5039457.1266666669</v>
      </c>
      <c r="BS181" s="155">
        <f t="shared" si="74"/>
        <v>5039457.1266666669</v>
      </c>
      <c r="BT181" s="194">
        <v>885639.45555555553</v>
      </c>
      <c r="BU181" s="194"/>
      <c r="BV181" s="348">
        <f t="shared" si="79"/>
        <v>885639.45555555553</v>
      </c>
      <c r="BW181" s="195">
        <f t="shared" si="75"/>
        <v>2506567.0044444446</v>
      </c>
      <c r="BX181" s="157" t="str">
        <f t="shared" si="80"/>
        <v>0</v>
      </c>
      <c r="BY181" s="157">
        <f>IF(E181*$CJ$10*'Year 7 Payments'!$L$20*IF(B181="",1,0.8)&lt;=(BW181-(J181*350)),E181*$CJ$10*'Year 7 Payments'!$L$20*IF(B181="",1,0.8),BW181-(IF(B181="",1,0.8)*J181*350))</f>
        <v>586493.80659555562</v>
      </c>
      <c r="BZ181" s="157" t="str">
        <f t="shared" si="81"/>
        <v>0</v>
      </c>
      <c r="CA181" s="157">
        <f t="shared" si="82"/>
        <v>1920073.197848889</v>
      </c>
      <c r="CB181" s="157">
        <f t="shared" si="83"/>
        <v>0</v>
      </c>
      <c r="CC181" s="157">
        <f t="shared" si="84"/>
        <v>7680292.7913955562</v>
      </c>
      <c r="CD181" s="201">
        <f t="shared" si="85"/>
        <v>0</v>
      </c>
      <c r="CE181" s="155">
        <f t="shared" si="86"/>
        <v>1920073.197848889</v>
      </c>
    </row>
    <row r="182" spans="1:83" x14ac:dyDescent="0.2">
      <c r="A182" s="147" t="s">
        <v>652</v>
      </c>
      <c r="B182" s="57" t="s">
        <v>555</v>
      </c>
      <c r="C182" s="57" t="s">
        <v>472</v>
      </c>
      <c r="D182" s="148" t="s">
        <v>210</v>
      </c>
      <c r="E182" s="197">
        <v>39377.888888888898</v>
      </c>
      <c r="F182" s="147">
        <f t="shared" si="76"/>
        <v>44845</v>
      </c>
      <c r="G182" s="342">
        <v>538</v>
      </c>
      <c r="H182" s="149">
        <f t="shared" si="61"/>
        <v>402</v>
      </c>
      <c r="I182" s="346">
        <v>200.26622222222218</v>
      </c>
      <c r="J182" s="150">
        <v>193</v>
      </c>
      <c r="K182"/>
      <c r="L182" s="151">
        <v>10011</v>
      </c>
      <c r="M182" s="151">
        <v>11002</v>
      </c>
      <c r="N182" s="151">
        <v>9525</v>
      </c>
      <c r="O182" s="151">
        <v>7608</v>
      </c>
      <c r="P182" s="151">
        <v>4242</v>
      </c>
      <c r="Q182" s="151">
        <v>1809</v>
      </c>
      <c r="R182" s="151">
        <v>602</v>
      </c>
      <c r="S182" s="151">
        <v>46</v>
      </c>
      <c r="T182" s="151">
        <v>44845</v>
      </c>
      <c r="U182" s="147"/>
      <c r="V182" s="152">
        <f t="shared" si="77"/>
        <v>0.22323558925186754</v>
      </c>
      <c r="W182" s="152">
        <f t="shared" si="62"/>
        <v>0.24533392797413311</v>
      </c>
      <c r="X182" s="152">
        <f t="shared" si="63"/>
        <v>0.21239826067566062</v>
      </c>
      <c r="Y182" s="152">
        <f t="shared" si="64"/>
        <v>0.16965102018062214</v>
      </c>
      <c r="Z182" s="152">
        <f t="shared" si="65"/>
        <v>9.4592485226892634E-2</v>
      </c>
      <c r="AA182" s="152">
        <f t="shared" si="66"/>
        <v>4.0338945255881366E-2</v>
      </c>
      <c r="AB182" s="152">
        <f t="shared" si="67"/>
        <v>1.3424016055301594E-2</v>
      </c>
      <c r="AC182" s="152">
        <f t="shared" si="68"/>
        <v>1.0257553796409857E-3</v>
      </c>
      <c r="AD182" s="152"/>
      <c r="AE182" s="221">
        <v>105</v>
      </c>
      <c r="AF182" s="221">
        <v>81</v>
      </c>
      <c r="AG182" s="221">
        <v>76</v>
      </c>
      <c r="AH182" s="221">
        <v>67</v>
      </c>
      <c r="AI182" s="221">
        <v>74</v>
      </c>
      <c r="AJ182" s="221">
        <v>9</v>
      </c>
      <c r="AK182" s="221">
        <v>1</v>
      </c>
      <c r="AL182" s="221">
        <v>2</v>
      </c>
      <c r="AM182" s="221">
        <v>415</v>
      </c>
      <c r="AN182" s="147"/>
      <c r="AO182" s="221">
        <v>-13</v>
      </c>
      <c r="AP182" s="221">
        <v>9</v>
      </c>
      <c r="AQ182" s="221">
        <v>10</v>
      </c>
      <c r="AR182" s="221">
        <v>2</v>
      </c>
      <c r="AS182" s="221">
        <v>-7</v>
      </c>
      <c r="AT182" s="221">
        <v>8</v>
      </c>
      <c r="AU182" s="221">
        <v>4</v>
      </c>
      <c r="AV182" s="221">
        <v>0</v>
      </c>
      <c r="AW182" s="221">
        <v>13</v>
      </c>
      <c r="AX182" s="56">
        <f t="shared" si="88"/>
        <v>13</v>
      </c>
      <c r="AY182" s="56">
        <f t="shared" si="88"/>
        <v>-9</v>
      </c>
      <c r="AZ182" s="56">
        <f t="shared" si="88"/>
        <v>-10</v>
      </c>
      <c r="BA182" s="56">
        <f t="shared" si="87"/>
        <v>-2</v>
      </c>
      <c r="BB182" s="56">
        <f t="shared" si="87"/>
        <v>7</v>
      </c>
      <c r="BC182" s="56">
        <f t="shared" si="87"/>
        <v>-8</v>
      </c>
      <c r="BD182" s="56">
        <f t="shared" si="87"/>
        <v>-4</v>
      </c>
      <c r="BE182" s="56">
        <f t="shared" si="87"/>
        <v>0</v>
      </c>
      <c r="BF182" s="56">
        <f t="shared" si="87"/>
        <v>-13</v>
      </c>
      <c r="BH182">
        <f t="shared" si="69"/>
        <v>0.8</v>
      </c>
      <c r="BI182">
        <f t="shared" si="78"/>
        <v>0.19999999999999996</v>
      </c>
      <c r="BJ182" s="154">
        <v>306777.73866666673</v>
      </c>
      <c r="BK182" s="155">
        <f t="shared" si="70"/>
        <v>306777.73866666673</v>
      </c>
      <c r="BL182" s="156">
        <v>188327.24266666663</v>
      </c>
      <c r="BM182" s="155">
        <f t="shared" si="71"/>
        <v>188327.24266666663</v>
      </c>
      <c r="BN182" s="158">
        <v>110652.44977777783</v>
      </c>
      <c r="BO182" s="155">
        <f t="shared" si="72"/>
        <v>110652.44977777783</v>
      </c>
      <c r="BP182" s="158">
        <v>98922.133333333346</v>
      </c>
      <c r="BQ182" s="155">
        <f t="shared" si="73"/>
        <v>98922.133333333346</v>
      </c>
      <c r="BR182" s="158">
        <v>302710.55466666672</v>
      </c>
      <c r="BS182" s="155">
        <f t="shared" si="74"/>
        <v>302710.55466666672</v>
      </c>
      <c r="BT182" s="194">
        <v>332044.32177777775</v>
      </c>
      <c r="BU182" s="194"/>
      <c r="BV182" s="348">
        <f t="shared" si="79"/>
        <v>332044.32177777775</v>
      </c>
      <c r="BW182" s="195">
        <f t="shared" si="75"/>
        <v>491834.06222222227</v>
      </c>
      <c r="BX182" s="157">
        <f t="shared" si="80"/>
        <v>122958.51555555557</v>
      </c>
      <c r="BY182" s="157">
        <f>IF(E182*$CJ$10*'Year 7 Payments'!$L$20*IF(B182="",1,0.8)&lt;=(BW182-(J182*350)),E182*$CJ$10*'Year 7 Payments'!$L$20*IF(B182="",1,0.8),BW182-(IF(B182="",1,0.8)*J182*350))</f>
        <v>192738.69993244449</v>
      </c>
      <c r="BZ182" s="157">
        <f t="shared" si="81"/>
        <v>48184.674983111123</v>
      </c>
      <c r="CA182" s="157">
        <f t="shared" si="82"/>
        <v>299095.36228977778</v>
      </c>
      <c r="CB182" s="157">
        <f t="shared" si="83"/>
        <v>74773.840572444446</v>
      </c>
      <c r="CC182" s="157">
        <f t="shared" si="84"/>
        <v>1196381.4491591111</v>
      </c>
      <c r="CD182" s="201">
        <f t="shared" si="85"/>
        <v>299095.36228977778</v>
      </c>
      <c r="CE182" s="155">
        <f t="shared" si="86"/>
        <v>299095.36228977778</v>
      </c>
    </row>
    <row r="183" spans="1:83" x14ac:dyDescent="0.2">
      <c r="A183" s="147" t="s">
        <v>653</v>
      </c>
      <c r="B183" s="57" t="s">
        <v>528</v>
      </c>
      <c r="C183" s="57" t="s">
        <v>472</v>
      </c>
      <c r="D183" s="148" t="s">
        <v>211</v>
      </c>
      <c r="E183" s="197">
        <v>31234.222222222219</v>
      </c>
      <c r="F183" s="147">
        <f t="shared" si="76"/>
        <v>31572</v>
      </c>
      <c r="G183" s="342">
        <v>245</v>
      </c>
      <c r="H183" s="149">
        <f t="shared" si="61"/>
        <v>158</v>
      </c>
      <c r="I183" s="346">
        <v>26.396444444444441</v>
      </c>
      <c r="J183" s="150">
        <v>44</v>
      </c>
      <c r="K183"/>
      <c r="L183" s="151">
        <v>2734</v>
      </c>
      <c r="M183" s="151">
        <v>6141</v>
      </c>
      <c r="N183" s="151">
        <v>8139</v>
      </c>
      <c r="O183" s="151">
        <v>6032</v>
      </c>
      <c r="P183" s="151">
        <v>4314</v>
      </c>
      <c r="Q183" s="151">
        <v>2621</v>
      </c>
      <c r="R183" s="151">
        <v>1446</v>
      </c>
      <c r="S183" s="151">
        <v>145</v>
      </c>
      <c r="T183" s="151">
        <v>31572</v>
      </c>
      <c r="U183" s="147"/>
      <c r="V183" s="152">
        <f t="shared" si="77"/>
        <v>8.6595717724566076E-2</v>
      </c>
      <c r="W183" s="152">
        <f t="shared" si="62"/>
        <v>0.19450779171417712</v>
      </c>
      <c r="X183" s="152">
        <f t="shared" si="63"/>
        <v>0.25779171417711899</v>
      </c>
      <c r="Y183" s="152">
        <f t="shared" si="64"/>
        <v>0.19105536551374636</v>
      </c>
      <c r="Z183" s="152">
        <f t="shared" si="65"/>
        <v>0.13664006081337896</v>
      </c>
      <c r="AA183" s="152">
        <f t="shared" si="66"/>
        <v>8.3016596984669955E-2</v>
      </c>
      <c r="AB183" s="152">
        <f t="shared" si="67"/>
        <v>4.580007601672368E-2</v>
      </c>
      <c r="AC183" s="152">
        <f t="shared" si="68"/>
        <v>4.5926770556189026E-3</v>
      </c>
      <c r="AD183" s="152"/>
      <c r="AE183" s="221">
        <v>31</v>
      </c>
      <c r="AF183" s="221">
        <v>23</v>
      </c>
      <c r="AG183" s="221">
        <v>46</v>
      </c>
      <c r="AH183" s="221">
        <v>50</v>
      </c>
      <c r="AI183" s="221">
        <v>15</v>
      </c>
      <c r="AJ183" s="221">
        <v>20</v>
      </c>
      <c r="AK183" s="221">
        <v>-2</v>
      </c>
      <c r="AL183" s="221">
        <v>1</v>
      </c>
      <c r="AM183" s="221">
        <v>184</v>
      </c>
      <c r="AN183" s="147"/>
      <c r="AO183" s="221">
        <v>8</v>
      </c>
      <c r="AP183" s="221">
        <v>14</v>
      </c>
      <c r="AQ183" s="221">
        <v>-4</v>
      </c>
      <c r="AR183" s="221">
        <v>-4</v>
      </c>
      <c r="AS183" s="221">
        <v>9</v>
      </c>
      <c r="AT183" s="221">
        <v>3</v>
      </c>
      <c r="AU183" s="221">
        <v>0</v>
      </c>
      <c r="AV183" s="221">
        <v>0</v>
      </c>
      <c r="AW183" s="221">
        <v>26</v>
      </c>
      <c r="AX183" s="56">
        <f t="shared" si="88"/>
        <v>-8</v>
      </c>
      <c r="AY183" s="56">
        <f t="shared" si="88"/>
        <v>-14</v>
      </c>
      <c r="AZ183" s="56">
        <f t="shared" si="88"/>
        <v>4</v>
      </c>
      <c r="BA183" s="56">
        <f t="shared" si="87"/>
        <v>4</v>
      </c>
      <c r="BB183" s="56">
        <f t="shared" si="87"/>
        <v>-9</v>
      </c>
      <c r="BC183" s="56">
        <f t="shared" si="87"/>
        <v>-3</v>
      </c>
      <c r="BD183" s="56">
        <f t="shared" si="87"/>
        <v>0</v>
      </c>
      <c r="BE183" s="56">
        <f t="shared" si="87"/>
        <v>0</v>
      </c>
      <c r="BF183" s="56">
        <f t="shared" si="87"/>
        <v>-26</v>
      </c>
      <c r="BH183">
        <f t="shared" si="69"/>
        <v>0.8</v>
      </c>
      <c r="BI183">
        <f t="shared" si="78"/>
        <v>0.19999999999999996</v>
      </c>
      <c r="BJ183" s="154">
        <v>225285.90400000001</v>
      </c>
      <c r="BK183" s="155">
        <f t="shared" si="70"/>
        <v>225285.90400000001</v>
      </c>
      <c r="BL183" s="156">
        <v>363691.50844444445</v>
      </c>
      <c r="BM183" s="155">
        <f t="shared" si="71"/>
        <v>363691.50844444445</v>
      </c>
      <c r="BN183" s="158">
        <v>460979.02311111114</v>
      </c>
      <c r="BO183" s="155">
        <f t="shared" si="72"/>
        <v>460979.02311111114</v>
      </c>
      <c r="BP183" s="158">
        <v>218061.97333333336</v>
      </c>
      <c r="BQ183" s="155">
        <f t="shared" si="73"/>
        <v>218061.97333333336</v>
      </c>
      <c r="BR183" s="158">
        <v>464405.97688888892</v>
      </c>
      <c r="BS183" s="155">
        <f t="shared" si="74"/>
        <v>464405.97688888892</v>
      </c>
      <c r="BT183" s="194">
        <v>246601.67466666672</v>
      </c>
      <c r="BU183" s="194"/>
      <c r="BV183" s="348">
        <f t="shared" si="79"/>
        <v>246601.67466666672</v>
      </c>
      <c r="BW183" s="195">
        <f t="shared" si="75"/>
        <v>197498.73066666667</v>
      </c>
      <c r="BX183" s="157">
        <f t="shared" si="80"/>
        <v>49374.682666666668</v>
      </c>
      <c r="BY183" s="157">
        <f>IF(E183*$CJ$10*'Year 7 Payments'!$L$20*IF(B183="",1,0.8)&lt;=(BW183-(J183*350)),E183*$CJ$10*'Year 7 Payments'!$L$20*IF(B183="",1,0.8),BW183-(IF(B183="",1,0.8)*J183*350))</f>
        <v>152878.7742151111</v>
      </c>
      <c r="BZ183" s="157">
        <f t="shared" si="81"/>
        <v>38219.693553777775</v>
      </c>
      <c r="CA183" s="157">
        <f t="shared" si="82"/>
        <v>44619.956451555568</v>
      </c>
      <c r="CB183" s="157">
        <f t="shared" si="83"/>
        <v>11154.989112888892</v>
      </c>
      <c r="CC183" s="157">
        <f t="shared" si="84"/>
        <v>178479.82580622227</v>
      </c>
      <c r="CD183" s="201">
        <f t="shared" si="85"/>
        <v>44619.956451555568</v>
      </c>
      <c r="CE183" s="155">
        <f t="shared" si="86"/>
        <v>44619.956451555568</v>
      </c>
    </row>
    <row r="184" spans="1:83" x14ac:dyDescent="0.2">
      <c r="A184" s="147" t="s">
        <v>654</v>
      </c>
      <c r="B184" s="57" t="s">
        <v>448</v>
      </c>
      <c r="C184" s="57" t="s">
        <v>449</v>
      </c>
      <c r="D184" s="148" t="s">
        <v>212</v>
      </c>
      <c r="E184" s="197">
        <v>37444.888888888891</v>
      </c>
      <c r="F184" s="147">
        <f t="shared" si="76"/>
        <v>45237</v>
      </c>
      <c r="G184" s="342">
        <v>416</v>
      </c>
      <c r="H184" s="149">
        <f t="shared" si="61"/>
        <v>326</v>
      </c>
      <c r="I184" s="346">
        <v>131.99822222222221</v>
      </c>
      <c r="J184" s="150">
        <v>207</v>
      </c>
      <c r="K184"/>
      <c r="L184" s="151">
        <v>18860</v>
      </c>
      <c r="M184" s="151">
        <v>8863</v>
      </c>
      <c r="N184" s="151">
        <v>7449</v>
      </c>
      <c r="O184" s="151">
        <v>4799</v>
      </c>
      <c r="P184" s="151">
        <v>2914</v>
      </c>
      <c r="Q184" s="151">
        <v>1443</v>
      </c>
      <c r="R184" s="151">
        <v>844</v>
      </c>
      <c r="S184" s="151">
        <v>65</v>
      </c>
      <c r="T184" s="151">
        <v>45237</v>
      </c>
      <c r="U184" s="147"/>
      <c r="V184" s="152">
        <f t="shared" si="77"/>
        <v>0.41691535689811438</v>
      </c>
      <c r="W184" s="152">
        <f t="shared" si="62"/>
        <v>0.19592369078409266</v>
      </c>
      <c r="X184" s="152">
        <f t="shared" si="63"/>
        <v>0.16466609191590953</v>
      </c>
      <c r="Y184" s="152">
        <f t="shared" si="64"/>
        <v>0.10608572628600482</v>
      </c>
      <c r="Z184" s="152">
        <f t="shared" si="65"/>
        <v>6.4416296394544284E-2</v>
      </c>
      <c r="AA184" s="152">
        <f t="shared" si="66"/>
        <v>3.1898667020359442E-2</v>
      </c>
      <c r="AB184" s="152">
        <f t="shared" si="67"/>
        <v>1.8657293808165883E-2</v>
      </c>
      <c r="AC184" s="152">
        <f t="shared" si="68"/>
        <v>1.4368768928089838E-3</v>
      </c>
      <c r="AD184" s="152"/>
      <c r="AE184" s="221">
        <v>99</v>
      </c>
      <c r="AF184" s="221">
        <v>61</v>
      </c>
      <c r="AG184" s="221">
        <v>55</v>
      </c>
      <c r="AH184" s="221">
        <v>55</v>
      </c>
      <c r="AI184" s="221">
        <v>14</v>
      </c>
      <c r="AJ184" s="221">
        <v>12</v>
      </c>
      <c r="AK184" s="221">
        <v>5</v>
      </c>
      <c r="AL184" s="221">
        <v>0</v>
      </c>
      <c r="AM184" s="221">
        <v>301</v>
      </c>
      <c r="AN184" s="147"/>
      <c r="AO184" s="221">
        <v>-3</v>
      </c>
      <c r="AP184" s="221">
        <v>-2</v>
      </c>
      <c r="AQ184" s="221">
        <v>-18</v>
      </c>
      <c r="AR184" s="221">
        <v>-5</v>
      </c>
      <c r="AS184" s="221">
        <v>6</v>
      </c>
      <c r="AT184" s="221">
        <v>-4</v>
      </c>
      <c r="AU184" s="221">
        <v>2</v>
      </c>
      <c r="AV184" s="221">
        <v>-1</v>
      </c>
      <c r="AW184" s="221">
        <v>-25</v>
      </c>
      <c r="AX184" s="56">
        <f t="shared" si="88"/>
        <v>3</v>
      </c>
      <c r="AY184" s="56">
        <f t="shared" si="88"/>
        <v>2</v>
      </c>
      <c r="AZ184" s="56">
        <f t="shared" si="88"/>
        <v>18</v>
      </c>
      <c r="BA184" s="56">
        <f t="shared" si="87"/>
        <v>5</v>
      </c>
      <c r="BB184" s="56">
        <f t="shared" si="87"/>
        <v>-6</v>
      </c>
      <c r="BC184" s="56">
        <f t="shared" si="87"/>
        <v>4</v>
      </c>
      <c r="BD184" s="56">
        <f t="shared" si="87"/>
        <v>-2</v>
      </c>
      <c r="BE184" s="56">
        <f t="shared" si="87"/>
        <v>1</v>
      </c>
      <c r="BF184" s="56">
        <f t="shared" si="87"/>
        <v>25</v>
      </c>
      <c r="BH184">
        <f t="shared" si="69"/>
        <v>0.8</v>
      </c>
      <c r="BI184">
        <f t="shared" si="78"/>
        <v>0.19999999999999996</v>
      </c>
      <c r="BJ184" s="154">
        <v>162344.016</v>
      </c>
      <c r="BK184" s="155">
        <f t="shared" si="70"/>
        <v>162344.016</v>
      </c>
      <c r="BL184" s="156">
        <v>180620.44355555554</v>
      </c>
      <c r="BM184" s="155">
        <f t="shared" si="71"/>
        <v>180620.44355555554</v>
      </c>
      <c r="BN184" s="158">
        <v>127770.18577777781</v>
      </c>
      <c r="BO184" s="155">
        <f t="shared" si="72"/>
        <v>127770.18577777781</v>
      </c>
      <c r="BP184" s="158">
        <v>113990.61333333334</v>
      </c>
      <c r="BQ184" s="155">
        <f t="shared" si="73"/>
        <v>113990.61333333334</v>
      </c>
      <c r="BR184" s="158">
        <v>105332.89777777778</v>
      </c>
      <c r="BS184" s="155">
        <f t="shared" si="74"/>
        <v>105332.89777777778</v>
      </c>
      <c r="BT184" s="194">
        <v>524258.69688888884</v>
      </c>
      <c r="BU184" s="194"/>
      <c r="BV184" s="348">
        <f t="shared" si="79"/>
        <v>524258.69688888884</v>
      </c>
      <c r="BW184" s="195">
        <f t="shared" si="75"/>
        <v>402756.81422222225</v>
      </c>
      <c r="BX184" s="157">
        <f t="shared" si="80"/>
        <v>100689.20355555556</v>
      </c>
      <c r="BY184" s="157">
        <f>IF(E184*$CJ$10*'Year 7 Payments'!$L$20*IF(B184="",1,0.8)&lt;=(BW184-(J184*350)),E184*$CJ$10*'Year 7 Payments'!$L$20*IF(B184="",1,0.8),BW184-(IF(B184="",1,0.8)*J184*350))</f>
        <v>183277.45359644445</v>
      </c>
      <c r="BZ184" s="157">
        <f t="shared" si="81"/>
        <v>45819.363399111113</v>
      </c>
      <c r="CA184" s="157">
        <f t="shared" si="82"/>
        <v>219479.3606257778</v>
      </c>
      <c r="CB184" s="157">
        <f t="shared" si="83"/>
        <v>54869.84015644445</v>
      </c>
      <c r="CC184" s="157">
        <f t="shared" si="84"/>
        <v>877917.4425031112</v>
      </c>
      <c r="CD184" s="201">
        <f t="shared" si="85"/>
        <v>219479.3606257778</v>
      </c>
      <c r="CE184" s="155">
        <f t="shared" si="86"/>
        <v>219479.3606257778</v>
      </c>
    </row>
    <row r="185" spans="1:83" x14ac:dyDescent="0.2">
      <c r="A185" s="147" t="s">
        <v>655</v>
      </c>
      <c r="B185" s="57"/>
      <c r="C185" s="57" t="s">
        <v>464</v>
      </c>
      <c r="D185" s="148" t="s">
        <v>213</v>
      </c>
      <c r="E185" s="197">
        <v>55368.111111111109</v>
      </c>
      <c r="F185" s="147">
        <f t="shared" si="76"/>
        <v>72669</v>
      </c>
      <c r="G185" s="342">
        <v>1385</v>
      </c>
      <c r="H185" s="149">
        <f t="shared" si="61"/>
        <v>-423</v>
      </c>
      <c r="I185" s="346">
        <v>0</v>
      </c>
      <c r="J185" s="150">
        <v>15</v>
      </c>
      <c r="K185"/>
      <c r="L185" s="151">
        <v>38443</v>
      </c>
      <c r="M185" s="151">
        <v>17360</v>
      </c>
      <c r="N185" s="151">
        <v>8715</v>
      </c>
      <c r="O185" s="151">
        <v>4918</v>
      </c>
      <c r="P185" s="151">
        <v>2019</v>
      </c>
      <c r="Q185" s="151">
        <v>711</v>
      </c>
      <c r="R185" s="151">
        <v>448</v>
      </c>
      <c r="S185" s="151">
        <v>55</v>
      </c>
      <c r="T185" s="151">
        <v>72669</v>
      </c>
      <c r="U185" s="147"/>
      <c r="V185" s="152">
        <f t="shared" si="77"/>
        <v>0.52901512336759826</v>
      </c>
      <c r="W185" s="152">
        <f t="shared" si="62"/>
        <v>0.2388914117436596</v>
      </c>
      <c r="X185" s="152">
        <f t="shared" si="63"/>
        <v>0.11992734178260331</v>
      </c>
      <c r="Y185" s="152">
        <f t="shared" si="64"/>
        <v>6.767672597668882E-2</v>
      </c>
      <c r="Z185" s="152">
        <f t="shared" si="65"/>
        <v>2.7783511538620319E-2</v>
      </c>
      <c r="AA185" s="152">
        <f t="shared" si="66"/>
        <v>9.7840895017132484E-3</v>
      </c>
      <c r="AB185" s="152">
        <f t="shared" si="67"/>
        <v>6.164939657900893E-3</v>
      </c>
      <c r="AC185" s="152">
        <f t="shared" si="68"/>
        <v>7.5685643121551141E-4</v>
      </c>
      <c r="AD185" s="152"/>
      <c r="AE185" s="221">
        <v>-292</v>
      </c>
      <c r="AF185" s="221">
        <v>21</v>
      </c>
      <c r="AG185" s="221">
        <v>67</v>
      </c>
      <c r="AH185" s="221">
        <v>62</v>
      </c>
      <c r="AI185" s="221">
        <v>34</v>
      </c>
      <c r="AJ185" s="221">
        <v>9</v>
      </c>
      <c r="AK185" s="221">
        <v>8</v>
      </c>
      <c r="AL185" s="221">
        <v>1</v>
      </c>
      <c r="AM185" s="221">
        <v>-90</v>
      </c>
      <c r="AN185" s="147"/>
      <c r="AO185" s="221">
        <v>201</v>
      </c>
      <c r="AP185" s="221">
        <v>40</v>
      </c>
      <c r="AQ185" s="221">
        <v>32</v>
      </c>
      <c r="AR185" s="221">
        <v>37</v>
      </c>
      <c r="AS185" s="221">
        <v>9</v>
      </c>
      <c r="AT185" s="221">
        <v>10</v>
      </c>
      <c r="AU185" s="221">
        <v>6</v>
      </c>
      <c r="AV185" s="221">
        <v>-2</v>
      </c>
      <c r="AW185" s="221">
        <v>333</v>
      </c>
      <c r="AX185" s="56">
        <f t="shared" si="88"/>
        <v>-201</v>
      </c>
      <c r="AY185" s="56">
        <f t="shared" si="88"/>
        <v>-40</v>
      </c>
      <c r="AZ185" s="56">
        <f t="shared" si="88"/>
        <v>-32</v>
      </c>
      <c r="BA185" s="56">
        <f t="shared" si="87"/>
        <v>-37</v>
      </c>
      <c r="BB185" s="56">
        <f t="shared" si="87"/>
        <v>-9</v>
      </c>
      <c r="BC185" s="56">
        <f t="shared" si="87"/>
        <v>-10</v>
      </c>
      <c r="BD185" s="56">
        <f t="shared" si="87"/>
        <v>-6</v>
      </c>
      <c r="BE185" s="56">
        <f t="shared" si="87"/>
        <v>2</v>
      </c>
      <c r="BF185" s="56">
        <f t="shared" si="87"/>
        <v>-333</v>
      </c>
      <c r="BH185">
        <f t="shared" si="69"/>
        <v>1</v>
      </c>
      <c r="BI185">
        <f t="shared" si="78"/>
        <v>0</v>
      </c>
      <c r="BJ185" s="154">
        <v>383312.26</v>
      </c>
      <c r="BK185" s="155">
        <f t="shared" si="70"/>
        <v>383312.26</v>
      </c>
      <c r="BL185" s="156">
        <v>370615.5033333333</v>
      </c>
      <c r="BM185" s="155">
        <f t="shared" si="71"/>
        <v>370615.5033333333</v>
      </c>
      <c r="BN185" s="158">
        <v>512858.57888888888</v>
      </c>
      <c r="BO185" s="155">
        <f t="shared" si="72"/>
        <v>512858.57888888888</v>
      </c>
      <c r="BP185" s="158">
        <v>569265.86666666658</v>
      </c>
      <c r="BQ185" s="155">
        <f t="shared" si="73"/>
        <v>569265.86666666658</v>
      </c>
      <c r="BR185" s="158">
        <v>290594.99555555551</v>
      </c>
      <c r="BS185" s="155">
        <f t="shared" si="74"/>
        <v>290594.99555555551</v>
      </c>
      <c r="BT185" s="194">
        <v>205187.39111111106</v>
      </c>
      <c r="BU185" s="194"/>
      <c r="BV185" s="348">
        <f t="shared" si="79"/>
        <v>205187.39111111106</v>
      </c>
      <c r="BW185" s="195">
        <f t="shared" si="75"/>
        <v>5250</v>
      </c>
      <c r="BX185" s="157" t="str">
        <f t="shared" si="80"/>
        <v>0</v>
      </c>
      <c r="BY185" s="157">
        <f>IF(E185*$CJ$10*'Year 7 Payments'!$L$20*IF(B185="",1,0.8)&lt;=(BW185-(J185*350)),E185*$CJ$10*'Year 7 Payments'!$L$20*IF(B185="",1,0.8),BW185-(IF(B185="",1,0.8)*J185*350))</f>
        <v>0</v>
      </c>
      <c r="BZ185" s="157" t="str">
        <f t="shared" si="81"/>
        <v>0</v>
      </c>
      <c r="CA185" s="157">
        <f t="shared" si="82"/>
        <v>5250</v>
      </c>
      <c r="CB185" s="157">
        <f t="shared" si="83"/>
        <v>0</v>
      </c>
      <c r="CC185" s="157">
        <f t="shared" si="84"/>
        <v>21000</v>
      </c>
      <c r="CD185" s="201">
        <f t="shared" si="85"/>
        <v>0</v>
      </c>
      <c r="CE185" s="155">
        <f t="shared" si="86"/>
        <v>5250</v>
      </c>
    </row>
    <row r="186" spans="1:83" x14ac:dyDescent="0.2">
      <c r="A186" s="147" t="s">
        <v>656</v>
      </c>
      <c r="B186" s="57" t="s">
        <v>500</v>
      </c>
      <c r="C186" s="57" t="s">
        <v>459</v>
      </c>
      <c r="D186" s="148" t="s">
        <v>214</v>
      </c>
      <c r="E186" s="197">
        <v>56953.111111111109</v>
      </c>
      <c r="F186" s="147">
        <f t="shared" si="76"/>
        <v>56942</v>
      </c>
      <c r="G186" s="342">
        <v>343</v>
      </c>
      <c r="H186" s="149">
        <f t="shared" si="61"/>
        <v>422</v>
      </c>
      <c r="I186" s="346">
        <v>248.85422222222218</v>
      </c>
      <c r="J186" s="150">
        <v>17</v>
      </c>
      <c r="K186"/>
      <c r="L186" s="151">
        <v>3339</v>
      </c>
      <c r="M186" s="151">
        <v>8805</v>
      </c>
      <c r="N186" s="151">
        <v>19701</v>
      </c>
      <c r="O186" s="151">
        <v>9927</v>
      </c>
      <c r="P186" s="151">
        <v>7088</v>
      </c>
      <c r="Q186" s="151">
        <v>4495</v>
      </c>
      <c r="R186" s="151">
        <v>3246</v>
      </c>
      <c r="S186" s="151">
        <v>341</v>
      </c>
      <c r="T186" s="151">
        <v>56942</v>
      </c>
      <c r="U186" s="147"/>
      <c r="V186" s="152">
        <f t="shared" si="77"/>
        <v>5.8638614730778686E-2</v>
      </c>
      <c r="W186" s="152">
        <f t="shared" si="62"/>
        <v>0.15463102806364371</v>
      </c>
      <c r="X186" s="152">
        <f t="shared" si="63"/>
        <v>0.34598363246812547</v>
      </c>
      <c r="Y186" s="152">
        <f t="shared" si="64"/>
        <v>0.17433528853921534</v>
      </c>
      <c r="Z186" s="152">
        <f t="shared" si="65"/>
        <v>0.1244775385479962</v>
      </c>
      <c r="AA186" s="152">
        <f t="shared" si="66"/>
        <v>7.8939974008640376E-2</v>
      </c>
      <c r="AB186" s="152">
        <f t="shared" si="67"/>
        <v>5.7005373889220612E-2</v>
      </c>
      <c r="AC186" s="152">
        <f t="shared" si="68"/>
        <v>5.9885497523796145E-3</v>
      </c>
      <c r="AD186" s="152"/>
      <c r="AE186" s="221">
        <v>30</v>
      </c>
      <c r="AF186" s="221">
        <v>52</v>
      </c>
      <c r="AG186" s="221">
        <v>89</v>
      </c>
      <c r="AH186" s="221">
        <v>101</v>
      </c>
      <c r="AI186" s="221">
        <v>84</v>
      </c>
      <c r="AJ186" s="221">
        <v>65</v>
      </c>
      <c r="AK186" s="221">
        <v>39</v>
      </c>
      <c r="AL186" s="221">
        <v>6</v>
      </c>
      <c r="AM186" s="221">
        <v>466</v>
      </c>
      <c r="AN186" s="147"/>
      <c r="AO186" s="221">
        <v>28</v>
      </c>
      <c r="AP186" s="221">
        <v>-2</v>
      </c>
      <c r="AQ186" s="221">
        <v>7</v>
      </c>
      <c r="AR186" s="221">
        <v>1</v>
      </c>
      <c r="AS186" s="221">
        <v>8</v>
      </c>
      <c r="AT186" s="221">
        <v>0</v>
      </c>
      <c r="AU186" s="221">
        <v>2</v>
      </c>
      <c r="AV186" s="221">
        <v>0</v>
      </c>
      <c r="AW186" s="221">
        <v>44</v>
      </c>
      <c r="AX186" s="56">
        <f t="shared" si="88"/>
        <v>-28</v>
      </c>
      <c r="AY186" s="56">
        <f t="shared" si="88"/>
        <v>2</v>
      </c>
      <c r="AZ186" s="56">
        <f t="shared" si="88"/>
        <v>-7</v>
      </c>
      <c r="BA186" s="56">
        <f t="shared" si="87"/>
        <v>-1</v>
      </c>
      <c r="BB186" s="56">
        <f t="shared" si="87"/>
        <v>-8</v>
      </c>
      <c r="BC186" s="56">
        <f t="shared" si="87"/>
        <v>0</v>
      </c>
      <c r="BD186" s="56">
        <f t="shared" si="87"/>
        <v>-2</v>
      </c>
      <c r="BE186" s="56">
        <f t="shared" si="87"/>
        <v>0</v>
      </c>
      <c r="BF186" s="56">
        <f t="shared" si="87"/>
        <v>-44</v>
      </c>
      <c r="BH186">
        <f t="shared" si="69"/>
        <v>0.8</v>
      </c>
      <c r="BI186">
        <f t="shared" si="78"/>
        <v>0.19999999999999996</v>
      </c>
      <c r="BJ186" s="154">
        <v>552404.61866666656</v>
      </c>
      <c r="BK186" s="155">
        <f t="shared" si="70"/>
        <v>552404.61866666656</v>
      </c>
      <c r="BL186" s="156">
        <v>489205.35199999996</v>
      </c>
      <c r="BM186" s="155">
        <f t="shared" si="71"/>
        <v>489205.35199999996</v>
      </c>
      <c r="BN186" s="158">
        <v>492311.01511111122</v>
      </c>
      <c r="BO186" s="155">
        <f t="shared" si="72"/>
        <v>492311.01511111122</v>
      </c>
      <c r="BP186" s="158">
        <v>448533.97333333339</v>
      </c>
      <c r="BQ186" s="155">
        <f t="shared" si="73"/>
        <v>448533.97333333339</v>
      </c>
      <c r="BR186" s="158">
        <v>410707.92355555552</v>
      </c>
      <c r="BS186" s="155">
        <f t="shared" si="74"/>
        <v>410707.92355555552</v>
      </c>
      <c r="BT186" s="194">
        <v>324793.98933333333</v>
      </c>
      <c r="BU186" s="194"/>
      <c r="BV186" s="348">
        <f t="shared" si="79"/>
        <v>324793.98933333333</v>
      </c>
      <c r="BW186" s="195">
        <f t="shared" si="75"/>
        <v>588032.21333333338</v>
      </c>
      <c r="BX186" s="157">
        <f t="shared" si="80"/>
        <v>147008.05333333334</v>
      </c>
      <c r="BY186" s="157">
        <f>IF(E186*$CJ$10*'Year 7 Payments'!$L$20*IF(B186="",1,0.8)&lt;=(BW186-(J186*350)),E186*$CJ$10*'Year 7 Payments'!$L$20*IF(B186="",1,0.8),BW186-(IF(B186="",1,0.8)*J186*350))</f>
        <v>278762.24201955553</v>
      </c>
      <c r="BZ186" s="157">
        <f t="shared" si="81"/>
        <v>69690.560504888883</v>
      </c>
      <c r="CA186" s="157">
        <f t="shared" si="82"/>
        <v>309269.97131377785</v>
      </c>
      <c r="CB186" s="157">
        <f t="shared" si="83"/>
        <v>77317.492828444461</v>
      </c>
      <c r="CC186" s="157">
        <f t="shared" si="84"/>
        <v>1237079.8852551114</v>
      </c>
      <c r="CD186" s="201">
        <f t="shared" si="85"/>
        <v>309269.97131377785</v>
      </c>
      <c r="CE186" s="155">
        <f t="shared" si="86"/>
        <v>309269.97131377785</v>
      </c>
    </row>
    <row r="187" spans="1:83" x14ac:dyDescent="0.2">
      <c r="A187" s="147" t="s">
        <v>657</v>
      </c>
      <c r="B187" s="57" t="s">
        <v>484</v>
      </c>
      <c r="C187" s="57" t="s">
        <v>449</v>
      </c>
      <c r="D187" s="148" t="s">
        <v>215</v>
      </c>
      <c r="E187" s="197">
        <v>42224.111111111117</v>
      </c>
      <c r="F187" s="147">
        <f t="shared" si="76"/>
        <v>49934</v>
      </c>
      <c r="G187" s="342">
        <v>383</v>
      </c>
      <c r="H187" s="149">
        <f t="shared" si="61"/>
        <v>559</v>
      </c>
      <c r="I187" s="346">
        <v>360.99244444444446</v>
      </c>
      <c r="J187" s="150">
        <v>46</v>
      </c>
      <c r="K187"/>
      <c r="L187" s="151">
        <v>13252</v>
      </c>
      <c r="M187" s="151">
        <v>12313</v>
      </c>
      <c r="N187" s="151">
        <v>12669</v>
      </c>
      <c r="O187" s="151">
        <v>6577</v>
      </c>
      <c r="P187" s="151">
        <v>3190</v>
      </c>
      <c r="Q187" s="151">
        <v>1461</v>
      </c>
      <c r="R187" s="151">
        <v>415</v>
      </c>
      <c r="S187" s="151">
        <v>57</v>
      </c>
      <c r="T187" s="151">
        <v>49934</v>
      </c>
      <c r="U187" s="147"/>
      <c r="V187" s="152">
        <f t="shared" si="77"/>
        <v>0.26539031521608525</v>
      </c>
      <c r="W187" s="152">
        <f t="shared" si="62"/>
        <v>0.24658549285056275</v>
      </c>
      <c r="X187" s="152">
        <f t="shared" si="63"/>
        <v>0.25371490367284816</v>
      </c>
      <c r="Y187" s="152">
        <f t="shared" si="64"/>
        <v>0.13171386229823367</v>
      </c>
      <c r="Z187" s="152">
        <f t="shared" si="65"/>
        <v>6.3884327312051903E-2</v>
      </c>
      <c r="AA187" s="152">
        <f t="shared" si="66"/>
        <v>2.9258621380221894E-2</v>
      </c>
      <c r="AB187" s="152">
        <f t="shared" si="67"/>
        <v>8.3109704810349662E-3</v>
      </c>
      <c r="AC187" s="152">
        <f t="shared" si="68"/>
        <v>1.141506788961429E-3</v>
      </c>
      <c r="AD187" s="152"/>
      <c r="AE187" s="221">
        <v>94</v>
      </c>
      <c r="AF187" s="221">
        <v>91</v>
      </c>
      <c r="AG187" s="221">
        <v>103</v>
      </c>
      <c r="AH187" s="221">
        <v>209</v>
      </c>
      <c r="AI187" s="221">
        <v>61</v>
      </c>
      <c r="AJ187" s="221">
        <v>8</v>
      </c>
      <c r="AK187" s="221">
        <v>4</v>
      </c>
      <c r="AL187" s="221">
        <v>0</v>
      </c>
      <c r="AM187" s="221">
        <v>570</v>
      </c>
      <c r="AN187" s="147"/>
      <c r="AO187" s="221">
        <v>36</v>
      </c>
      <c r="AP187" s="221">
        <v>-4</v>
      </c>
      <c r="AQ187" s="221">
        <v>-15</v>
      </c>
      <c r="AR187" s="221">
        <v>4</v>
      </c>
      <c r="AS187" s="221">
        <v>-3</v>
      </c>
      <c r="AT187" s="221">
        <v>-3</v>
      </c>
      <c r="AU187" s="221">
        <v>-4</v>
      </c>
      <c r="AV187" s="221">
        <v>0</v>
      </c>
      <c r="AW187" s="221">
        <v>11</v>
      </c>
      <c r="AX187" s="56">
        <f t="shared" si="88"/>
        <v>-36</v>
      </c>
      <c r="AY187" s="56">
        <f t="shared" si="88"/>
        <v>4</v>
      </c>
      <c r="AZ187" s="56">
        <f t="shared" si="88"/>
        <v>15</v>
      </c>
      <c r="BA187" s="56">
        <f t="shared" si="87"/>
        <v>-4</v>
      </c>
      <c r="BB187" s="56">
        <f t="shared" si="87"/>
        <v>3</v>
      </c>
      <c r="BC187" s="56">
        <f t="shared" si="87"/>
        <v>3</v>
      </c>
      <c r="BD187" s="56">
        <f t="shared" si="87"/>
        <v>4</v>
      </c>
      <c r="BE187" s="56">
        <f t="shared" si="87"/>
        <v>0</v>
      </c>
      <c r="BF187" s="56">
        <f t="shared" si="87"/>
        <v>-11</v>
      </c>
      <c r="BH187">
        <f t="shared" si="69"/>
        <v>0.8</v>
      </c>
      <c r="BI187">
        <f t="shared" si="78"/>
        <v>0.19999999999999996</v>
      </c>
      <c r="BJ187" s="154">
        <v>521829.18933333328</v>
      </c>
      <c r="BK187" s="155">
        <f t="shared" si="70"/>
        <v>521829.18933333328</v>
      </c>
      <c r="BL187" s="156">
        <v>619299.74222222215</v>
      </c>
      <c r="BM187" s="155">
        <f t="shared" si="71"/>
        <v>619299.74222222215</v>
      </c>
      <c r="BN187" s="158">
        <v>390101.16533333343</v>
      </c>
      <c r="BO187" s="155">
        <f t="shared" si="72"/>
        <v>390101.16533333343</v>
      </c>
      <c r="BP187" s="158">
        <v>500718.18666666665</v>
      </c>
      <c r="BQ187" s="155">
        <f t="shared" si="73"/>
        <v>500718.18666666665</v>
      </c>
      <c r="BR187" s="158">
        <v>323224.65422222228</v>
      </c>
      <c r="BS187" s="155">
        <f t="shared" si="74"/>
        <v>323224.65422222228</v>
      </c>
      <c r="BT187" s="194">
        <v>671775.27822222223</v>
      </c>
      <c r="BU187" s="194"/>
      <c r="BV187" s="348">
        <f t="shared" si="79"/>
        <v>671775.27822222223</v>
      </c>
      <c r="BW187" s="195">
        <f t="shared" si="75"/>
        <v>661277.47911111126</v>
      </c>
      <c r="BX187" s="157">
        <f t="shared" si="80"/>
        <v>165319.36977777781</v>
      </c>
      <c r="BY187" s="157">
        <f>IF(E187*$CJ$10*'Year 7 Payments'!$L$20*IF(B187="",1,0.8)&lt;=(BW187-(J187*350)),E187*$CJ$10*'Year 7 Payments'!$L$20*IF(B187="",1,0.8),BW187-(IF(B187="",1,0.8)*J187*350))</f>
        <v>206669.79645155559</v>
      </c>
      <c r="BZ187" s="157">
        <f t="shared" si="81"/>
        <v>51667.449112888899</v>
      </c>
      <c r="CA187" s="157">
        <f t="shared" si="82"/>
        <v>454607.68265955569</v>
      </c>
      <c r="CB187" s="157">
        <f t="shared" si="83"/>
        <v>113651.92066488892</v>
      </c>
      <c r="CC187" s="157">
        <f t="shared" si="84"/>
        <v>1818430.7306382228</v>
      </c>
      <c r="CD187" s="201">
        <f t="shared" si="85"/>
        <v>454607.68265955569</v>
      </c>
      <c r="CE187" s="155">
        <f t="shared" si="86"/>
        <v>454607.68265955569</v>
      </c>
    </row>
    <row r="188" spans="1:83" x14ac:dyDescent="0.2">
      <c r="A188" s="147" t="s">
        <v>658</v>
      </c>
      <c r="B188" s="57"/>
      <c r="C188" s="57" t="s">
        <v>464</v>
      </c>
      <c r="D188" s="148" t="s">
        <v>216</v>
      </c>
      <c r="E188" s="197">
        <v>59358.111111111117</v>
      </c>
      <c r="F188" s="147">
        <f t="shared" si="76"/>
        <v>74853</v>
      </c>
      <c r="G188" s="342">
        <v>875</v>
      </c>
      <c r="H188" s="149">
        <f t="shared" si="61"/>
        <v>260</v>
      </c>
      <c r="I188" s="346">
        <v>18.011999999999944</v>
      </c>
      <c r="J188" s="150">
        <v>71</v>
      </c>
      <c r="K188"/>
      <c r="L188" s="151">
        <v>35282</v>
      </c>
      <c r="M188" s="151">
        <v>15359</v>
      </c>
      <c r="N188" s="151">
        <v>11110</v>
      </c>
      <c r="O188" s="151">
        <v>7415</v>
      </c>
      <c r="P188" s="151">
        <v>3681</v>
      </c>
      <c r="Q188" s="151">
        <v>1474</v>
      </c>
      <c r="R188" s="151">
        <v>502</v>
      </c>
      <c r="S188" s="151">
        <v>30</v>
      </c>
      <c r="T188" s="151">
        <v>74853</v>
      </c>
      <c r="U188" s="147"/>
      <c r="V188" s="152">
        <f t="shared" si="77"/>
        <v>0.47135051367346664</v>
      </c>
      <c r="W188" s="152">
        <f t="shared" si="62"/>
        <v>0.20518883678676875</v>
      </c>
      <c r="X188" s="152">
        <f t="shared" si="63"/>
        <v>0.14842424485324571</v>
      </c>
      <c r="Y188" s="152">
        <f t="shared" si="64"/>
        <v>9.9060825885402048E-2</v>
      </c>
      <c r="Z188" s="152">
        <f t="shared" si="65"/>
        <v>4.9176385716003364E-2</v>
      </c>
      <c r="AA188" s="152">
        <f t="shared" si="66"/>
        <v>1.9691929515183091E-2</v>
      </c>
      <c r="AB188" s="152">
        <f t="shared" si="67"/>
        <v>6.7064780302726681E-3</v>
      </c>
      <c r="AC188" s="152">
        <f t="shared" si="68"/>
        <v>4.0078553965772917E-4</v>
      </c>
      <c r="AD188" s="152"/>
      <c r="AE188" s="221">
        <v>57</v>
      </c>
      <c r="AF188" s="221">
        <v>126</v>
      </c>
      <c r="AG188" s="221">
        <v>44</v>
      </c>
      <c r="AH188" s="221">
        <v>48</v>
      </c>
      <c r="AI188" s="221">
        <v>47</v>
      </c>
      <c r="AJ188" s="221">
        <v>13</v>
      </c>
      <c r="AK188" s="221">
        <v>9</v>
      </c>
      <c r="AL188" s="221">
        <v>1</v>
      </c>
      <c r="AM188" s="221">
        <v>345</v>
      </c>
      <c r="AN188" s="147"/>
      <c r="AO188" s="221">
        <v>70</v>
      </c>
      <c r="AP188" s="221">
        <v>-2</v>
      </c>
      <c r="AQ188" s="221">
        <v>14</v>
      </c>
      <c r="AR188" s="221">
        <v>4</v>
      </c>
      <c r="AS188" s="221">
        <v>-2</v>
      </c>
      <c r="AT188" s="221">
        <v>1</v>
      </c>
      <c r="AU188" s="221">
        <v>-1</v>
      </c>
      <c r="AV188" s="221">
        <v>1</v>
      </c>
      <c r="AW188" s="221">
        <v>85</v>
      </c>
      <c r="AX188" s="56">
        <f t="shared" si="88"/>
        <v>-70</v>
      </c>
      <c r="AY188" s="56">
        <f t="shared" si="88"/>
        <v>2</v>
      </c>
      <c r="AZ188" s="56">
        <f t="shared" si="88"/>
        <v>-14</v>
      </c>
      <c r="BA188" s="56">
        <f t="shared" si="87"/>
        <v>-4</v>
      </c>
      <c r="BB188" s="56">
        <f t="shared" si="87"/>
        <v>2</v>
      </c>
      <c r="BC188" s="56">
        <f t="shared" si="87"/>
        <v>-1</v>
      </c>
      <c r="BD188" s="56">
        <f t="shared" si="87"/>
        <v>1</v>
      </c>
      <c r="BE188" s="56">
        <f t="shared" si="87"/>
        <v>-1</v>
      </c>
      <c r="BF188" s="56">
        <f t="shared" si="87"/>
        <v>-85</v>
      </c>
      <c r="BH188">
        <f t="shared" si="69"/>
        <v>1</v>
      </c>
      <c r="BI188">
        <f t="shared" si="78"/>
        <v>0</v>
      </c>
      <c r="BJ188" s="154">
        <v>518918.76666666672</v>
      </c>
      <c r="BK188" s="155">
        <f t="shared" si="70"/>
        <v>518918.76666666672</v>
      </c>
      <c r="BL188" s="156">
        <v>679518.35111111111</v>
      </c>
      <c r="BM188" s="155">
        <f t="shared" si="71"/>
        <v>679518.35111111111</v>
      </c>
      <c r="BN188" s="158">
        <v>570141.38888888888</v>
      </c>
      <c r="BO188" s="155">
        <f t="shared" si="72"/>
        <v>570141.38888888888</v>
      </c>
      <c r="BP188" s="158">
        <v>503291.33333333331</v>
      </c>
      <c r="BQ188" s="155">
        <f t="shared" si="73"/>
        <v>503291.33333333331</v>
      </c>
      <c r="BR188" s="158">
        <v>365050.72888888884</v>
      </c>
      <c r="BS188" s="155">
        <f t="shared" si="74"/>
        <v>365050.72888888884</v>
      </c>
      <c r="BT188" s="194">
        <v>518080.01777777774</v>
      </c>
      <c r="BU188" s="194"/>
      <c r="BV188" s="348">
        <f t="shared" si="79"/>
        <v>518080.01777777774</v>
      </c>
      <c r="BW188" s="195">
        <f t="shared" si="75"/>
        <v>415567.60444444447</v>
      </c>
      <c r="BX188" s="157" t="str">
        <f t="shared" si="80"/>
        <v>0</v>
      </c>
      <c r="BY188" s="157">
        <f>IF(E188*$CJ$10*'Year 7 Payments'!$L$20*IF(B188="",1,0.8)&lt;=(BW188-(J188*350)),E188*$CJ$10*'Year 7 Payments'!$L$20*IF(B188="",1,0.8),BW188-(IF(B188="",1,0.8)*J188*350))</f>
        <v>363167.16972444445</v>
      </c>
      <c r="BZ188" s="157" t="str">
        <f t="shared" si="81"/>
        <v>0</v>
      </c>
      <c r="CA188" s="157">
        <f t="shared" si="82"/>
        <v>52400.434720000019</v>
      </c>
      <c r="CB188" s="157">
        <f t="shared" si="83"/>
        <v>0</v>
      </c>
      <c r="CC188" s="157">
        <f t="shared" si="84"/>
        <v>209601.73888000008</v>
      </c>
      <c r="CD188" s="201">
        <f t="shared" si="85"/>
        <v>0</v>
      </c>
      <c r="CE188" s="155">
        <f t="shared" si="86"/>
        <v>52400.434720000019</v>
      </c>
    </row>
    <row r="189" spans="1:83" x14ac:dyDescent="0.2">
      <c r="A189" s="147" t="s">
        <v>659</v>
      </c>
      <c r="B189" s="57" t="s">
        <v>490</v>
      </c>
      <c r="C189" s="57" t="s">
        <v>459</v>
      </c>
      <c r="D189" s="148" t="s">
        <v>217</v>
      </c>
      <c r="E189" s="197">
        <v>47683.666666666672</v>
      </c>
      <c r="F189" s="147">
        <f t="shared" si="76"/>
        <v>53973</v>
      </c>
      <c r="G189" s="342">
        <v>504</v>
      </c>
      <c r="H189" s="149">
        <f t="shared" si="61"/>
        <v>378</v>
      </c>
      <c r="I189" s="346">
        <v>159.15422222222222</v>
      </c>
      <c r="J189" s="150">
        <v>69</v>
      </c>
      <c r="K189"/>
      <c r="L189" s="151">
        <v>11647</v>
      </c>
      <c r="M189" s="151">
        <v>14224</v>
      </c>
      <c r="N189" s="151">
        <v>11304</v>
      </c>
      <c r="O189" s="151">
        <v>8778</v>
      </c>
      <c r="P189" s="151">
        <v>4717</v>
      </c>
      <c r="Q189" s="151">
        <v>2197</v>
      </c>
      <c r="R189" s="151">
        <v>1023</v>
      </c>
      <c r="S189" s="151">
        <v>83</v>
      </c>
      <c r="T189" s="151">
        <v>53973</v>
      </c>
      <c r="U189" s="147"/>
      <c r="V189" s="152">
        <f t="shared" si="77"/>
        <v>0.21579308172604822</v>
      </c>
      <c r="W189" s="152">
        <f t="shared" si="62"/>
        <v>0.26353917699590534</v>
      </c>
      <c r="X189" s="152">
        <f t="shared" si="63"/>
        <v>0.2094380523595131</v>
      </c>
      <c r="Y189" s="152">
        <f t="shared" si="64"/>
        <v>0.16263687399255183</v>
      </c>
      <c r="Z189" s="152">
        <f t="shared" si="65"/>
        <v>8.7395549626665181E-2</v>
      </c>
      <c r="AA189" s="152">
        <f t="shared" si="66"/>
        <v>4.0705537954162263E-2</v>
      </c>
      <c r="AB189" s="152">
        <f t="shared" si="67"/>
        <v>1.8953921405147019E-2</v>
      </c>
      <c r="AC189" s="152">
        <f t="shared" si="68"/>
        <v>1.5378059400070405E-3</v>
      </c>
      <c r="AD189" s="152"/>
      <c r="AE189" s="221">
        <v>103</v>
      </c>
      <c r="AF189" s="221">
        <v>104</v>
      </c>
      <c r="AG189" s="221">
        <v>50</v>
      </c>
      <c r="AH189" s="221">
        <v>56</v>
      </c>
      <c r="AI189" s="221">
        <v>35</v>
      </c>
      <c r="AJ189" s="221">
        <v>21</v>
      </c>
      <c r="AK189" s="221">
        <v>13</v>
      </c>
      <c r="AL189" s="221">
        <v>0</v>
      </c>
      <c r="AM189" s="221">
        <v>382</v>
      </c>
      <c r="AN189" s="147"/>
      <c r="AO189" s="221">
        <v>7</v>
      </c>
      <c r="AP189" s="221">
        <v>13</v>
      </c>
      <c r="AQ189" s="221">
        <v>2</v>
      </c>
      <c r="AR189" s="221">
        <v>-13</v>
      </c>
      <c r="AS189" s="221">
        <v>4</v>
      </c>
      <c r="AT189" s="221">
        <v>-8</v>
      </c>
      <c r="AU189" s="221">
        <v>0</v>
      </c>
      <c r="AV189" s="221">
        <v>-1</v>
      </c>
      <c r="AW189" s="221">
        <v>4</v>
      </c>
      <c r="AX189" s="56">
        <f t="shared" si="88"/>
        <v>-7</v>
      </c>
      <c r="AY189" s="56">
        <f t="shared" si="88"/>
        <v>-13</v>
      </c>
      <c r="AZ189" s="56">
        <f t="shared" si="88"/>
        <v>-2</v>
      </c>
      <c r="BA189" s="56">
        <f t="shared" si="87"/>
        <v>13</v>
      </c>
      <c r="BB189" s="56">
        <f t="shared" si="87"/>
        <v>-4</v>
      </c>
      <c r="BC189" s="56">
        <f t="shared" si="87"/>
        <v>8</v>
      </c>
      <c r="BD189" s="56">
        <f t="shared" si="87"/>
        <v>0</v>
      </c>
      <c r="BE189" s="56">
        <f t="shared" si="87"/>
        <v>1</v>
      </c>
      <c r="BF189" s="56">
        <f t="shared" si="87"/>
        <v>-4</v>
      </c>
      <c r="BH189">
        <f t="shared" si="69"/>
        <v>0.8</v>
      </c>
      <c r="BI189">
        <f t="shared" si="78"/>
        <v>0.19999999999999996</v>
      </c>
      <c r="BJ189" s="154">
        <v>349762.4426666667</v>
      </c>
      <c r="BK189" s="155">
        <f t="shared" si="70"/>
        <v>349762.4426666667</v>
      </c>
      <c r="BL189" s="156">
        <v>261916.02577777777</v>
      </c>
      <c r="BM189" s="155">
        <f t="shared" si="71"/>
        <v>261916.02577777777</v>
      </c>
      <c r="BN189" s="158">
        <v>93857.19200000001</v>
      </c>
      <c r="BO189" s="155">
        <f t="shared" si="72"/>
        <v>93857.19200000001</v>
      </c>
      <c r="BP189" s="158">
        <v>561705.91999999981</v>
      </c>
      <c r="BQ189" s="155">
        <f t="shared" si="73"/>
        <v>561705.91999999981</v>
      </c>
      <c r="BR189" s="158">
        <v>406972.44977777783</v>
      </c>
      <c r="BS189" s="155">
        <f t="shared" si="74"/>
        <v>406972.44977777783</v>
      </c>
      <c r="BT189" s="194">
        <v>411015.77066666668</v>
      </c>
      <c r="BU189" s="194"/>
      <c r="BV189" s="348">
        <f t="shared" si="79"/>
        <v>411015.77066666668</v>
      </c>
      <c r="BW189" s="195">
        <f t="shared" si="75"/>
        <v>447460.83911111107</v>
      </c>
      <c r="BX189" s="157">
        <f t="shared" si="80"/>
        <v>111865.20977777777</v>
      </c>
      <c r="BY189" s="157">
        <f>IF(E189*$CJ$10*'Year 7 Payments'!$L$20*IF(B189="",1,0.8)&lt;=(BW189-(J189*350)),E189*$CJ$10*'Year 7 Payments'!$L$20*IF(B189="",1,0.8),BW189-(IF(B189="",1,0.8)*J189*350))</f>
        <v>233392.09339733334</v>
      </c>
      <c r="BZ189" s="157">
        <f t="shared" si="81"/>
        <v>58348.023349333336</v>
      </c>
      <c r="CA189" s="157">
        <f t="shared" si="82"/>
        <v>214068.74571377772</v>
      </c>
      <c r="CB189" s="157">
        <f t="shared" si="83"/>
        <v>53517.186428444431</v>
      </c>
      <c r="CC189" s="157">
        <f t="shared" si="84"/>
        <v>856274.98285511089</v>
      </c>
      <c r="CD189" s="201">
        <f t="shared" si="85"/>
        <v>214068.74571377772</v>
      </c>
      <c r="CE189" s="155">
        <f t="shared" si="86"/>
        <v>214068.74571377772</v>
      </c>
    </row>
    <row r="190" spans="1:83" x14ac:dyDescent="0.2">
      <c r="A190" s="147" t="s">
        <v>660</v>
      </c>
      <c r="B190" s="57"/>
      <c r="C190" s="57" t="s">
        <v>472</v>
      </c>
      <c r="D190" s="148" t="s">
        <v>218</v>
      </c>
      <c r="E190" s="197">
        <v>90680.777777777781</v>
      </c>
      <c r="F190" s="147">
        <f t="shared" si="76"/>
        <v>95015</v>
      </c>
      <c r="G190" s="342">
        <v>211</v>
      </c>
      <c r="H190" s="149">
        <f t="shared" si="61"/>
        <v>735</v>
      </c>
      <c r="I190" s="346">
        <v>307.94355555555563</v>
      </c>
      <c r="J190" s="150">
        <v>126</v>
      </c>
      <c r="K190"/>
      <c r="L190" s="151">
        <v>13126</v>
      </c>
      <c r="M190" s="151">
        <v>20613</v>
      </c>
      <c r="N190" s="151">
        <v>22281</v>
      </c>
      <c r="O190" s="151">
        <v>16890</v>
      </c>
      <c r="P190" s="151">
        <v>12320</v>
      </c>
      <c r="Q190" s="151">
        <v>6245</v>
      </c>
      <c r="R190" s="151">
        <v>3263</v>
      </c>
      <c r="S190" s="151">
        <v>277</v>
      </c>
      <c r="T190" s="151">
        <v>95015</v>
      </c>
      <c r="U190" s="147"/>
      <c r="V190" s="152">
        <f t="shared" si="77"/>
        <v>0.13814660843024787</v>
      </c>
      <c r="W190" s="152">
        <f t="shared" si="62"/>
        <v>0.2169446929432195</v>
      </c>
      <c r="X190" s="152">
        <f t="shared" si="63"/>
        <v>0.23449981581855497</v>
      </c>
      <c r="Y190" s="152">
        <f t="shared" si="64"/>
        <v>0.17776140609377467</v>
      </c>
      <c r="Z190" s="152">
        <f t="shared" si="65"/>
        <v>0.12966373730463612</v>
      </c>
      <c r="AA190" s="152">
        <f t="shared" si="66"/>
        <v>6.5726464242488028E-2</v>
      </c>
      <c r="AB190" s="152">
        <f t="shared" si="67"/>
        <v>3.4341946008524971E-2</v>
      </c>
      <c r="AC190" s="152">
        <f t="shared" si="68"/>
        <v>2.9153291585539125E-3</v>
      </c>
      <c r="AD190" s="152"/>
      <c r="AE190" s="221">
        <v>179</v>
      </c>
      <c r="AF190" s="221">
        <v>131</v>
      </c>
      <c r="AG190" s="221">
        <v>193</v>
      </c>
      <c r="AH190" s="221">
        <v>93</v>
      </c>
      <c r="AI190" s="221">
        <v>80</v>
      </c>
      <c r="AJ190" s="221">
        <v>25</v>
      </c>
      <c r="AK190" s="221">
        <v>23</v>
      </c>
      <c r="AL190" s="221">
        <v>-1</v>
      </c>
      <c r="AM190" s="221">
        <v>723</v>
      </c>
      <c r="AN190" s="147"/>
      <c r="AO190" s="221">
        <v>-4</v>
      </c>
      <c r="AP190" s="221">
        <v>-9</v>
      </c>
      <c r="AQ190" s="221">
        <v>2</v>
      </c>
      <c r="AR190" s="221">
        <v>8</v>
      </c>
      <c r="AS190" s="221">
        <v>2</v>
      </c>
      <c r="AT190" s="221">
        <v>-5</v>
      </c>
      <c r="AU190" s="221">
        <v>-6</v>
      </c>
      <c r="AV190" s="221">
        <v>0</v>
      </c>
      <c r="AW190" s="221">
        <v>-12</v>
      </c>
      <c r="AX190" s="56">
        <f t="shared" si="88"/>
        <v>4</v>
      </c>
      <c r="AY190" s="56">
        <f t="shared" si="88"/>
        <v>9</v>
      </c>
      <c r="AZ190" s="56">
        <f t="shared" si="88"/>
        <v>-2</v>
      </c>
      <c r="BA190" s="56">
        <f t="shared" si="87"/>
        <v>-8</v>
      </c>
      <c r="BB190" s="56">
        <f t="shared" si="87"/>
        <v>-2</v>
      </c>
      <c r="BC190" s="56">
        <f t="shared" si="87"/>
        <v>5</v>
      </c>
      <c r="BD190" s="56">
        <f t="shared" si="87"/>
        <v>6</v>
      </c>
      <c r="BE190" s="56">
        <f t="shared" si="87"/>
        <v>0</v>
      </c>
      <c r="BF190" s="56">
        <f t="shared" si="87"/>
        <v>12</v>
      </c>
      <c r="BH190">
        <f t="shared" si="69"/>
        <v>1</v>
      </c>
      <c r="BI190">
        <f t="shared" si="78"/>
        <v>0</v>
      </c>
      <c r="BJ190" s="154">
        <v>1145139.3799999999</v>
      </c>
      <c r="BK190" s="155">
        <f t="shared" si="70"/>
        <v>1145139.3799999999</v>
      </c>
      <c r="BL190" s="156">
        <v>929025.79111111118</v>
      </c>
      <c r="BM190" s="155">
        <f t="shared" si="71"/>
        <v>929025.79111111118</v>
      </c>
      <c r="BN190" s="158">
        <v>934742.18666666676</v>
      </c>
      <c r="BO190" s="155">
        <f t="shared" si="72"/>
        <v>934742.18666666676</v>
      </c>
      <c r="BP190" s="158">
        <v>1064056</v>
      </c>
      <c r="BQ190" s="155">
        <f t="shared" si="73"/>
        <v>1064056</v>
      </c>
      <c r="BR190" s="158">
        <v>1364432.1422222222</v>
      </c>
      <c r="BS190" s="155">
        <f t="shared" si="74"/>
        <v>1364432.1422222222</v>
      </c>
      <c r="BT190" s="194">
        <v>1145922.8666666667</v>
      </c>
      <c r="BU190" s="194"/>
      <c r="BV190" s="348">
        <f t="shared" si="79"/>
        <v>1145922.8666666667</v>
      </c>
      <c r="BW190" s="195">
        <f t="shared" si="75"/>
        <v>1069924.9066666665</v>
      </c>
      <c r="BX190" s="157" t="str">
        <f t="shared" si="80"/>
        <v>0</v>
      </c>
      <c r="BY190" s="157">
        <f>IF(E190*$CJ$10*'Year 7 Payments'!$L$20*IF(B190="",1,0.8)&lt;=(BW190-(J190*350)),E190*$CJ$10*'Year 7 Payments'!$L$20*IF(B190="",1,0.8),BW190-(IF(B190="",1,0.8)*J190*350))</f>
        <v>554806.76183111104</v>
      </c>
      <c r="BZ190" s="157" t="str">
        <f t="shared" si="81"/>
        <v>0</v>
      </c>
      <c r="CA190" s="157">
        <f t="shared" si="82"/>
        <v>515118.14483555546</v>
      </c>
      <c r="CB190" s="157">
        <f t="shared" si="83"/>
        <v>0</v>
      </c>
      <c r="CC190" s="157">
        <f t="shared" si="84"/>
        <v>2060472.5793422218</v>
      </c>
      <c r="CD190" s="201">
        <f t="shared" si="85"/>
        <v>0</v>
      </c>
      <c r="CE190" s="155">
        <f t="shared" si="86"/>
        <v>515118.14483555546</v>
      </c>
    </row>
    <row r="191" spans="1:83" x14ac:dyDescent="0.2">
      <c r="A191" s="147" t="s">
        <v>661</v>
      </c>
      <c r="B191" s="57"/>
      <c r="C191" s="57" t="s">
        <v>543</v>
      </c>
      <c r="D191" s="148" t="s">
        <v>219</v>
      </c>
      <c r="E191" s="197">
        <v>74538.222222222219</v>
      </c>
      <c r="F191" s="147">
        <f t="shared" si="76"/>
        <v>96428</v>
      </c>
      <c r="G191" s="342">
        <v>1076</v>
      </c>
      <c r="H191" s="149">
        <f t="shared" si="61"/>
        <v>550</v>
      </c>
      <c r="I191" s="346">
        <v>214.62488888888885</v>
      </c>
      <c r="J191" s="150">
        <v>276</v>
      </c>
      <c r="K191"/>
      <c r="L191" s="151">
        <v>49844</v>
      </c>
      <c r="M191" s="151">
        <v>15307</v>
      </c>
      <c r="N191" s="151">
        <v>18727</v>
      </c>
      <c r="O191" s="151">
        <v>7550</v>
      </c>
      <c r="P191" s="151">
        <v>3481</v>
      </c>
      <c r="Q191" s="151">
        <v>1137</v>
      </c>
      <c r="R191" s="151">
        <v>343</v>
      </c>
      <c r="S191" s="151">
        <v>39</v>
      </c>
      <c r="T191" s="151">
        <v>96428</v>
      </c>
      <c r="U191" s="147"/>
      <c r="V191" s="152">
        <f t="shared" si="77"/>
        <v>0.51690380387439328</v>
      </c>
      <c r="W191" s="152">
        <f t="shared" si="62"/>
        <v>0.15874019994192559</v>
      </c>
      <c r="X191" s="152">
        <f t="shared" si="63"/>
        <v>0.19420707678267723</v>
      </c>
      <c r="Y191" s="152">
        <f t="shared" si="64"/>
        <v>7.8296760277097935E-2</v>
      </c>
      <c r="Z191" s="152">
        <f t="shared" si="65"/>
        <v>3.6099473182063302E-2</v>
      </c>
      <c r="AA191" s="152">
        <f t="shared" si="66"/>
        <v>1.1791180984776207E-2</v>
      </c>
      <c r="AB191" s="152">
        <f t="shared" si="67"/>
        <v>3.557058115899946E-3</v>
      </c>
      <c r="AC191" s="152">
        <f t="shared" si="68"/>
        <v>4.0444684116646616E-4</v>
      </c>
      <c r="AD191" s="152"/>
      <c r="AE191" s="221">
        <v>35</v>
      </c>
      <c r="AF191" s="221">
        <v>125</v>
      </c>
      <c r="AG191" s="221">
        <v>120</v>
      </c>
      <c r="AH191" s="221">
        <v>77</v>
      </c>
      <c r="AI191" s="221">
        <v>115</v>
      </c>
      <c r="AJ191" s="221">
        <v>31</v>
      </c>
      <c r="AK191" s="221">
        <v>2</v>
      </c>
      <c r="AL191" s="221">
        <v>-1</v>
      </c>
      <c r="AM191" s="221">
        <v>504</v>
      </c>
      <c r="AN191" s="147"/>
      <c r="AO191" s="221">
        <v>-76</v>
      </c>
      <c r="AP191" s="221">
        <v>12</v>
      </c>
      <c r="AQ191" s="221">
        <v>6</v>
      </c>
      <c r="AR191" s="221">
        <v>9</v>
      </c>
      <c r="AS191" s="221">
        <v>1</v>
      </c>
      <c r="AT191" s="221">
        <v>-1</v>
      </c>
      <c r="AU191" s="221">
        <v>2</v>
      </c>
      <c r="AV191" s="221">
        <v>1</v>
      </c>
      <c r="AW191" s="221">
        <v>-46</v>
      </c>
      <c r="AX191" s="56">
        <f t="shared" si="88"/>
        <v>76</v>
      </c>
      <c r="AY191" s="56">
        <f t="shared" si="88"/>
        <v>-12</v>
      </c>
      <c r="AZ191" s="56">
        <f t="shared" si="88"/>
        <v>-6</v>
      </c>
      <c r="BA191" s="56">
        <f t="shared" si="87"/>
        <v>-9</v>
      </c>
      <c r="BB191" s="56">
        <f t="shared" si="87"/>
        <v>-1</v>
      </c>
      <c r="BC191" s="56">
        <f t="shared" si="87"/>
        <v>1</v>
      </c>
      <c r="BD191" s="56">
        <f t="shared" si="87"/>
        <v>-2</v>
      </c>
      <c r="BE191" s="56">
        <f t="shared" si="87"/>
        <v>-1</v>
      </c>
      <c r="BF191" s="56">
        <f t="shared" si="87"/>
        <v>46</v>
      </c>
      <c r="BH191">
        <f t="shared" si="69"/>
        <v>1</v>
      </c>
      <c r="BI191">
        <f t="shared" si="78"/>
        <v>0</v>
      </c>
      <c r="BJ191" s="154">
        <v>516839.89333333349</v>
      </c>
      <c r="BK191" s="155">
        <f t="shared" si="70"/>
        <v>516839.89333333349</v>
      </c>
      <c r="BL191" s="156">
        <v>335528.90333333332</v>
      </c>
      <c r="BM191" s="155">
        <f t="shared" si="71"/>
        <v>335528.90333333332</v>
      </c>
      <c r="BN191" s="158">
        <v>446915.04222222226</v>
      </c>
      <c r="BO191" s="155">
        <f t="shared" si="72"/>
        <v>446915.04222222226</v>
      </c>
      <c r="BP191" s="158">
        <v>641057.7333333334</v>
      </c>
      <c r="BQ191" s="155">
        <f t="shared" si="73"/>
        <v>641057.7333333334</v>
      </c>
      <c r="BR191" s="158">
        <v>562752.38444444444</v>
      </c>
      <c r="BS191" s="155">
        <f t="shared" si="74"/>
        <v>562752.38444444444</v>
      </c>
      <c r="BT191" s="194">
        <v>829057.80222222209</v>
      </c>
      <c r="BU191" s="194"/>
      <c r="BV191" s="348">
        <f t="shared" si="79"/>
        <v>829057.80222222209</v>
      </c>
      <c r="BW191" s="195">
        <f t="shared" si="75"/>
        <v>880924.37777777773</v>
      </c>
      <c r="BX191" s="157" t="str">
        <f t="shared" si="80"/>
        <v>0</v>
      </c>
      <c r="BY191" s="157">
        <f>IF(E191*$CJ$10*'Year 7 Payments'!$L$20*IF(B191="",1,0.8)&lt;=(BW191-(J191*350)),E191*$CJ$10*'Year 7 Payments'!$L$20*IF(B191="",1,0.8),BW191-(IF(B191="",1,0.8)*J191*350))</f>
        <v>456042.73272888886</v>
      </c>
      <c r="BZ191" s="157" t="str">
        <f t="shared" si="81"/>
        <v>0</v>
      </c>
      <c r="CA191" s="157">
        <f t="shared" si="82"/>
        <v>424881.64504888887</v>
      </c>
      <c r="CB191" s="157">
        <f t="shared" si="83"/>
        <v>0</v>
      </c>
      <c r="CC191" s="157">
        <f t="shared" si="84"/>
        <v>1699526.5801955555</v>
      </c>
      <c r="CD191" s="201">
        <f t="shared" si="85"/>
        <v>0</v>
      </c>
      <c r="CE191" s="155">
        <f t="shared" si="86"/>
        <v>424881.64504888887</v>
      </c>
    </row>
    <row r="192" spans="1:83" x14ac:dyDescent="0.2">
      <c r="A192" s="147" t="s">
        <v>662</v>
      </c>
      <c r="B192" s="57" t="s">
        <v>663</v>
      </c>
      <c r="C192" s="57" t="s">
        <v>476</v>
      </c>
      <c r="D192" s="171" t="s">
        <v>220</v>
      </c>
      <c r="E192" s="197">
        <v>24345.666666666668</v>
      </c>
      <c r="F192" s="147">
        <f t="shared" si="76"/>
        <v>27658</v>
      </c>
      <c r="G192" s="342">
        <v>238</v>
      </c>
      <c r="H192" s="149">
        <f t="shared" si="61"/>
        <v>258</v>
      </c>
      <c r="I192" s="346">
        <v>149.95066666666662</v>
      </c>
      <c r="J192" s="150">
        <v>41</v>
      </c>
      <c r="L192" s="151">
        <v>6555</v>
      </c>
      <c r="M192" s="151">
        <v>7113</v>
      </c>
      <c r="N192" s="151">
        <v>5979</v>
      </c>
      <c r="O192" s="151">
        <v>3787</v>
      </c>
      <c r="P192" s="151">
        <v>2230</v>
      </c>
      <c r="Q192" s="151">
        <v>1225</v>
      </c>
      <c r="R192" s="151">
        <v>694</v>
      </c>
      <c r="S192" s="151">
        <v>75</v>
      </c>
      <c r="T192" s="151">
        <v>27658</v>
      </c>
      <c r="U192" s="147"/>
      <c r="V192" s="152">
        <f t="shared" si="77"/>
        <v>0.23700195241882999</v>
      </c>
      <c r="W192" s="152">
        <f t="shared" si="62"/>
        <v>0.25717694699544436</v>
      </c>
      <c r="X192" s="152">
        <f t="shared" si="63"/>
        <v>0.21617615156555064</v>
      </c>
      <c r="Y192" s="152">
        <f t="shared" si="64"/>
        <v>0.13692240942945982</v>
      </c>
      <c r="Z192" s="152">
        <f t="shared" si="65"/>
        <v>8.0627666497939107E-2</v>
      </c>
      <c r="AA192" s="152">
        <f t="shared" si="66"/>
        <v>4.4290982717477764E-2</v>
      </c>
      <c r="AB192" s="152">
        <f t="shared" si="67"/>
        <v>2.5092197555860871E-2</v>
      </c>
      <c r="AC192" s="152">
        <f t="shared" si="68"/>
        <v>2.7116928194374141E-3</v>
      </c>
      <c r="AD192" s="152"/>
      <c r="AE192" s="221">
        <v>29</v>
      </c>
      <c r="AF192" s="221">
        <v>82</v>
      </c>
      <c r="AG192" s="221">
        <v>54</v>
      </c>
      <c r="AH192" s="221">
        <v>16</v>
      </c>
      <c r="AI192" s="221">
        <v>31</v>
      </c>
      <c r="AJ192" s="221">
        <v>19</v>
      </c>
      <c r="AK192" s="221">
        <v>14</v>
      </c>
      <c r="AL192" s="221">
        <v>2</v>
      </c>
      <c r="AM192" s="221">
        <v>247</v>
      </c>
      <c r="AN192" s="147"/>
      <c r="AO192" s="221">
        <v>-6</v>
      </c>
      <c r="AP192" s="221">
        <v>-16</v>
      </c>
      <c r="AQ192" s="221">
        <v>9</v>
      </c>
      <c r="AR192" s="221">
        <v>3</v>
      </c>
      <c r="AS192" s="221">
        <v>0</v>
      </c>
      <c r="AT192" s="221">
        <v>2</v>
      </c>
      <c r="AU192" s="221">
        <v>-3</v>
      </c>
      <c r="AV192" s="221">
        <v>0</v>
      </c>
      <c r="AW192" s="221">
        <v>-11</v>
      </c>
      <c r="AX192" s="140">
        <f t="shared" si="88"/>
        <v>6</v>
      </c>
      <c r="AY192" s="140">
        <f t="shared" si="88"/>
        <v>16</v>
      </c>
      <c r="AZ192" s="140">
        <f t="shared" si="88"/>
        <v>-9</v>
      </c>
      <c r="BA192" s="140">
        <f t="shared" si="87"/>
        <v>-3</v>
      </c>
      <c r="BB192" s="140">
        <f t="shared" si="87"/>
        <v>0</v>
      </c>
      <c r="BC192" s="140">
        <f t="shared" si="87"/>
        <v>-2</v>
      </c>
      <c r="BD192" s="140">
        <f t="shared" si="87"/>
        <v>3</v>
      </c>
      <c r="BE192" s="140">
        <f t="shared" si="87"/>
        <v>0</v>
      </c>
      <c r="BF192" s="140">
        <f t="shared" si="87"/>
        <v>11</v>
      </c>
      <c r="BG192" s="57"/>
      <c r="BH192">
        <f t="shared" si="69"/>
        <v>0.8</v>
      </c>
      <c r="BI192">
        <f t="shared" si="78"/>
        <v>0.19999999999999996</v>
      </c>
      <c r="BJ192" s="154">
        <v>91086.63466666668</v>
      </c>
      <c r="BK192" s="155">
        <f t="shared" si="70"/>
        <v>91086.63466666668</v>
      </c>
      <c r="BL192" s="156">
        <v>117430.37066666665</v>
      </c>
      <c r="BM192" s="155">
        <f t="shared" si="71"/>
        <v>117430.37066666665</v>
      </c>
      <c r="BN192" s="158">
        <v>178509.68800000002</v>
      </c>
      <c r="BO192" s="155">
        <f t="shared" si="72"/>
        <v>178509.68800000002</v>
      </c>
      <c r="BP192" s="158">
        <v>127465.06666666665</v>
      </c>
      <c r="BQ192" s="155">
        <f t="shared" si="73"/>
        <v>127465.06666666665</v>
      </c>
      <c r="BR192" s="158">
        <v>189168.08711111115</v>
      </c>
      <c r="BS192" s="155">
        <f t="shared" si="74"/>
        <v>189168.08711111115</v>
      </c>
      <c r="BT192" s="194">
        <v>264487.75111111108</v>
      </c>
      <c r="BU192" s="194"/>
      <c r="BV192" s="348">
        <f t="shared" si="79"/>
        <v>264487.75111111108</v>
      </c>
      <c r="BW192" s="195">
        <f t="shared" si="75"/>
        <v>314128.93866666663</v>
      </c>
      <c r="BX192" s="157">
        <f t="shared" si="80"/>
        <v>78532.234666666656</v>
      </c>
      <c r="BY192" s="157">
        <f>IF(E192*$CJ$10*'Year 7 Payments'!$L$20*IF(B192="",1,0.8)&lt;=(BW192-(J192*350)),E192*$CJ$10*'Year 7 Payments'!$L$20*IF(B192="",1,0.8),BW192-(IF(B192="",1,0.8)*J192*350))</f>
        <v>119162.10530133334</v>
      </c>
      <c r="BZ192" s="157">
        <f t="shared" si="81"/>
        <v>29790.526325333336</v>
      </c>
      <c r="CA192" s="157">
        <f t="shared" si="82"/>
        <v>194966.83336533327</v>
      </c>
      <c r="CB192" s="157">
        <f t="shared" si="83"/>
        <v>48741.708341333317</v>
      </c>
      <c r="CC192" s="157">
        <f t="shared" si="84"/>
        <v>779867.33346133307</v>
      </c>
      <c r="CD192" s="201">
        <f t="shared" si="85"/>
        <v>194966.83336533327</v>
      </c>
      <c r="CE192" s="155">
        <f t="shared" si="86"/>
        <v>194966.83336533327</v>
      </c>
    </row>
    <row r="193" spans="1:83" x14ac:dyDescent="0.2">
      <c r="A193" s="147" t="s">
        <v>664</v>
      </c>
      <c r="B193" s="57" t="s">
        <v>478</v>
      </c>
      <c r="C193" s="57" t="s">
        <v>449</v>
      </c>
      <c r="D193" s="148" t="s">
        <v>221</v>
      </c>
      <c r="E193" s="197">
        <v>36934.555555555555</v>
      </c>
      <c r="F193" s="147">
        <f t="shared" si="76"/>
        <v>42756</v>
      </c>
      <c r="G193" s="342">
        <v>404</v>
      </c>
      <c r="H193" s="149">
        <f t="shared" si="61"/>
        <v>523</v>
      </c>
      <c r="I193" s="346">
        <v>403.26177777777787</v>
      </c>
      <c r="J193" s="150">
        <v>133</v>
      </c>
      <c r="K193"/>
      <c r="L193" s="151">
        <v>9990</v>
      </c>
      <c r="M193" s="151">
        <v>13327</v>
      </c>
      <c r="N193" s="151">
        <v>7259</v>
      </c>
      <c r="O193" s="151">
        <v>5902</v>
      </c>
      <c r="P193" s="151">
        <v>3860</v>
      </c>
      <c r="Q193" s="151">
        <v>1495</v>
      </c>
      <c r="R193" s="151">
        <v>872</v>
      </c>
      <c r="S193" s="151">
        <v>51</v>
      </c>
      <c r="T193" s="151">
        <v>42756</v>
      </c>
      <c r="U193" s="147"/>
      <c r="V193" s="152">
        <f t="shared" si="77"/>
        <v>0.23365141734493405</v>
      </c>
      <c r="W193" s="152">
        <f t="shared" si="62"/>
        <v>0.31169894283843202</v>
      </c>
      <c r="X193" s="152">
        <f t="shared" si="63"/>
        <v>0.16977734119187951</v>
      </c>
      <c r="Y193" s="152">
        <f t="shared" si="64"/>
        <v>0.13803910562260269</v>
      </c>
      <c r="Z193" s="152">
        <f t="shared" si="65"/>
        <v>9.0279726821966513E-2</v>
      </c>
      <c r="AA193" s="152">
        <f t="shared" si="66"/>
        <v>3.4965852745813451E-2</v>
      </c>
      <c r="AB193" s="152">
        <f t="shared" si="67"/>
        <v>2.0394798390869117E-2</v>
      </c>
      <c r="AC193" s="152">
        <f t="shared" si="68"/>
        <v>1.1928150435026664E-3</v>
      </c>
      <c r="AD193" s="152"/>
      <c r="AE193" s="221">
        <v>59</v>
      </c>
      <c r="AF193" s="221">
        <v>141</v>
      </c>
      <c r="AG193" s="221">
        <v>71</v>
      </c>
      <c r="AH193" s="221">
        <v>127</v>
      </c>
      <c r="AI193" s="221">
        <v>125</v>
      </c>
      <c r="AJ193" s="221">
        <v>62</v>
      </c>
      <c r="AK193" s="221">
        <v>10</v>
      </c>
      <c r="AL193" s="221">
        <v>1</v>
      </c>
      <c r="AM193" s="221">
        <v>596</v>
      </c>
      <c r="AN193" s="147"/>
      <c r="AO193" s="221">
        <v>58</v>
      </c>
      <c r="AP193" s="221">
        <v>10</v>
      </c>
      <c r="AQ193" s="221">
        <v>9</v>
      </c>
      <c r="AR193" s="221">
        <v>5</v>
      </c>
      <c r="AS193" s="221">
        <v>-10</v>
      </c>
      <c r="AT193" s="221">
        <v>-1</v>
      </c>
      <c r="AU193" s="221">
        <v>2</v>
      </c>
      <c r="AV193" s="221">
        <v>0</v>
      </c>
      <c r="AW193" s="221">
        <v>73</v>
      </c>
      <c r="AX193" s="56">
        <f t="shared" si="88"/>
        <v>-58</v>
      </c>
      <c r="AY193" s="56">
        <f t="shared" si="88"/>
        <v>-10</v>
      </c>
      <c r="AZ193" s="56">
        <f t="shared" si="88"/>
        <v>-9</v>
      </c>
      <c r="BA193" s="56">
        <f t="shared" si="87"/>
        <v>-5</v>
      </c>
      <c r="BB193" s="56">
        <f t="shared" si="87"/>
        <v>10</v>
      </c>
      <c r="BC193" s="56">
        <f t="shared" si="87"/>
        <v>1</v>
      </c>
      <c r="BD193" s="56">
        <f t="shared" si="87"/>
        <v>-2</v>
      </c>
      <c r="BE193" s="56">
        <f t="shared" si="87"/>
        <v>0</v>
      </c>
      <c r="BF193" s="56">
        <f t="shared" si="87"/>
        <v>-73</v>
      </c>
      <c r="BH193">
        <f t="shared" si="69"/>
        <v>0.8</v>
      </c>
      <c r="BI193">
        <f t="shared" si="78"/>
        <v>0.19999999999999996</v>
      </c>
      <c r="BJ193" s="154">
        <v>226821.07200000004</v>
      </c>
      <c r="BK193" s="155">
        <f t="shared" si="70"/>
        <v>226821.07200000004</v>
      </c>
      <c r="BL193" s="156">
        <v>236497.86222222226</v>
      </c>
      <c r="BM193" s="155">
        <f t="shared" si="71"/>
        <v>236497.86222222226</v>
      </c>
      <c r="BN193" s="158">
        <v>459736.33066666685</v>
      </c>
      <c r="BO193" s="155">
        <f t="shared" si="72"/>
        <v>459736.33066666685</v>
      </c>
      <c r="BP193" s="158">
        <v>472429.01333333331</v>
      </c>
      <c r="BQ193" s="155">
        <f t="shared" si="73"/>
        <v>472429.01333333331</v>
      </c>
      <c r="BR193" s="158">
        <v>727581.9751111113</v>
      </c>
      <c r="BS193" s="155">
        <f t="shared" si="74"/>
        <v>727581.9751111113</v>
      </c>
      <c r="BT193" s="194">
        <v>650014.25066666678</v>
      </c>
      <c r="BU193" s="194"/>
      <c r="BV193" s="348">
        <f t="shared" si="79"/>
        <v>650014.25066666678</v>
      </c>
      <c r="BW193" s="195">
        <f t="shared" si="75"/>
        <v>711470.04800000007</v>
      </c>
      <c r="BX193" s="157">
        <f t="shared" si="80"/>
        <v>177867.51200000002</v>
      </c>
      <c r="BY193" s="157">
        <f>IF(E193*$CJ$10*'Year 7 Payments'!$L$20*IF(B193="",1,0.8)&lt;=(BW193-(J193*350)),E193*$CJ$10*'Year 7 Payments'!$L$20*IF(B193="",1,0.8),BW193-(IF(B193="",1,0.8)*J193*350))</f>
        <v>180779.58014577779</v>
      </c>
      <c r="BZ193" s="157">
        <f t="shared" si="81"/>
        <v>45194.895036444446</v>
      </c>
      <c r="CA193" s="157">
        <f t="shared" si="82"/>
        <v>530690.46785422228</v>
      </c>
      <c r="CB193" s="157">
        <f t="shared" si="83"/>
        <v>132672.61696355557</v>
      </c>
      <c r="CC193" s="157">
        <f t="shared" si="84"/>
        <v>2122761.8714168891</v>
      </c>
      <c r="CD193" s="201">
        <f t="shared" si="85"/>
        <v>530690.46785422228</v>
      </c>
      <c r="CE193" s="155">
        <f t="shared" si="86"/>
        <v>530690.46785422228</v>
      </c>
    </row>
    <row r="194" spans="1:83" x14ac:dyDescent="0.2">
      <c r="A194" s="147" t="s">
        <v>665</v>
      </c>
      <c r="B194" s="57" t="s">
        <v>533</v>
      </c>
      <c r="C194" s="57" t="s">
        <v>449</v>
      </c>
      <c r="D194" s="148" t="s">
        <v>222</v>
      </c>
      <c r="E194" s="197">
        <v>80130.999999999985</v>
      </c>
      <c r="F194" s="147">
        <f t="shared" si="76"/>
        <v>95796</v>
      </c>
      <c r="G194" s="342">
        <v>553</v>
      </c>
      <c r="H194" s="149">
        <f t="shared" si="61"/>
        <v>954</v>
      </c>
      <c r="I194" s="346">
        <v>546.92044444444446</v>
      </c>
      <c r="J194" s="150">
        <v>71</v>
      </c>
      <c r="K194"/>
      <c r="L194" s="151">
        <v>30749</v>
      </c>
      <c r="M194" s="151">
        <v>21404</v>
      </c>
      <c r="N194" s="151">
        <v>23430</v>
      </c>
      <c r="O194" s="151">
        <v>10837</v>
      </c>
      <c r="P194" s="151">
        <v>5557</v>
      </c>
      <c r="Q194" s="151">
        <v>2472</v>
      </c>
      <c r="R194" s="151">
        <v>1263</v>
      </c>
      <c r="S194" s="151">
        <v>84</v>
      </c>
      <c r="T194" s="151">
        <v>95796</v>
      </c>
      <c r="U194" s="147"/>
      <c r="V194" s="152">
        <f t="shared" si="77"/>
        <v>0.32098417470458057</v>
      </c>
      <c r="W194" s="152">
        <f t="shared" si="62"/>
        <v>0.22343312873188859</v>
      </c>
      <c r="X194" s="152">
        <f t="shared" si="63"/>
        <v>0.24458223725416511</v>
      </c>
      <c r="Y194" s="152">
        <f t="shared" si="64"/>
        <v>0.11312580901081465</v>
      </c>
      <c r="Z194" s="152">
        <f t="shared" si="65"/>
        <v>5.8008685122552091E-2</v>
      </c>
      <c r="AA194" s="152">
        <f t="shared" si="66"/>
        <v>2.580483527495929E-2</v>
      </c>
      <c r="AB194" s="152">
        <f t="shared" si="67"/>
        <v>1.3184266566453714E-2</v>
      </c>
      <c r="AC194" s="152">
        <f t="shared" si="68"/>
        <v>8.7686333458599527E-4</v>
      </c>
      <c r="AD194" s="152"/>
      <c r="AE194" s="221">
        <v>193</v>
      </c>
      <c r="AF194" s="221">
        <v>112</v>
      </c>
      <c r="AG194" s="221">
        <v>357</v>
      </c>
      <c r="AH194" s="221">
        <v>227</v>
      </c>
      <c r="AI194" s="221">
        <v>55</v>
      </c>
      <c r="AJ194" s="221">
        <v>41</v>
      </c>
      <c r="AK194" s="221">
        <v>8</v>
      </c>
      <c r="AL194" s="221">
        <v>-1</v>
      </c>
      <c r="AM194" s="221">
        <v>992</v>
      </c>
      <c r="AN194" s="147"/>
      <c r="AO194" s="221">
        <v>40</v>
      </c>
      <c r="AP194" s="221">
        <v>-6</v>
      </c>
      <c r="AQ194" s="221">
        <v>-9</v>
      </c>
      <c r="AR194" s="221">
        <v>2</v>
      </c>
      <c r="AS194" s="221">
        <v>8</v>
      </c>
      <c r="AT194" s="221">
        <v>0</v>
      </c>
      <c r="AU194" s="221">
        <v>4</v>
      </c>
      <c r="AV194" s="221">
        <v>-1</v>
      </c>
      <c r="AW194" s="221">
        <v>38</v>
      </c>
      <c r="AX194" s="56">
        <f t="shared" si="88"/>
        <v>-40</v>
      </c>
      <c r="AY194" s="56">
        <f t="shared" si="88"/>
        <v>6</v>
      </c>
      <c r="AZ194" s="56">
        <f t="shared" si="88"/>
        <v>9</v>
      </c>
      <c r="BA194" s="56">
        <f t="shared" si="87"/>
        <v>-2</v>
      </c>
      <c r="BB194" s="56">
        <f t="shared" si="87"/>
        <v>-8</v>
      </c>
      <c r="BC194" s="56">
        <f t="shared" si="87"/>
        <v>0</v>
      </c>
      <c r="BD194" s="56">
        <f t="shared" si="87"/>
        <v>-4</v>
      </c>
      <c r="BE194" s="56">
        <f t="shared" si="87"/>
        <v>1</v>
      </c>
      <c r="BF194" s="56">
        <f t="shared" si="87"/>
        <v>-38</v>
      </c>
      <c r="BH194">
        <f t="shared" si="69"/>
        <v>0.8</v>
      </c>
      <c r="BI194">
        <f t="shared" si="78"/>
        <v>0.19999999999999996</v>
      </c>
      <c r="BJ194" s="154">
        <v>878116.09600000014</v>
      </c>
      <c r="BK194" s="155">
        <f t="shared" si="70"/>
        <v>878116.09600000014</v>
      </c>
      <c r="BL194" s="156">
        <v>492089.22311111121</v>
      </c>
      <c r="BM194" s="155">
        <f t="shared" si="71"/>
        <v>492089.22311111121</v>
      </c>
      <c r="BN194" s="158">
        <v>621615.24266666675</v>
      </c>
      <c r="BO194" s="155">
        <f t="shared" si="72"/>
        <v>621615.24266666675</v>
      </c>
      <c r="BP194" s="158">
        <v>801820.05333333334</v>
      </c>
      <c r="BQ194" s="155">
        <f t="shared" si="73"/>
        <v>801820.05333333334</v>
      </c>
      <c r="BR194" s="158">
        <v>1042194.1351111112</v>
      </c>
      <c r="BS194" s="155">
        <f t="shared" si="74"/>
        <v>1042194.1351111112</v>
      </c>
      <c r="BT194" s="194">
        <v>1059311.9537777777</v>
      </c>
      <c r="BU194" s="194"/>
      <c r="BV194" s="348">
        <f t="shared" si="79"/>
        <v>1059311.9537777777</v>
      </c>
      <c r="BW194" s="195">
        <f t="shared" si="75"/>
        <v>1081326.6595555553</v>
      </c>
      <c r="BX194" s="157">
        <f t="shared" si="80"/>
        <v>270331.66488888883</v>
      </c>
      <c r="BY194" s="157">
        <f>IF(E194*$CJ$10*'Year 7 Payments'!$L$20*IF(B194="",1,0.8)&lt;=(BW194-(J194*350)),E194*$CJ$10*'Year 7 Payments'!$L$20*IF(B194="",1,0.8),BW194-(IF(B194="",1,0.8)*J194*350))</f>
        <v>392208.55155199993</v>
      </c>
      <c r="BZ194" s="157">
        <f t="shared" si="81"/>
        <v>98052.137887999983</v>
      </c>
      <c r="CA194" s="157">
        <f t="shared" si="82"/>
        <v>689118.10800355533</v>
      </c>
      <c r="CB194" s="157">
        <f t="shared" si="83"/>
        <v>172279.52700088883</v>
      </c>
      <c r="CC194" s="157">
        <f t="shared" si="84"/>
        <v>2756472.4320142213</v>
      </c>
      <c r="CD194" s="201">
        <f t="shared" si="85"/>
        <v>689118.10800355533</v>
      </c>
      <c r="CE194" s="155">
        <f t="shared" si="86"/>
        <v>689118.10800355533</v>
      </c>
    </row>
    <row r="195" spans="1:83" x14ac:dyDescent="0.2">
      <c r="A195" s="147" t="s">
        <v>666</v>
      </c>
      <c r="B195" s="57"/>
      <c r="C195" s="57" t="s">
        <v>543</v>
      </c>
      <c r="D195" s="148" t="s">
        <v>223</v>
      </c>
      <c r="E195" s="197">
        <v>125306.11111111112</v>
      </c>
      <c r="F195" s="147">
        <f t="shared" si="76"/>
        <v>150741</v>
      </c>
      <c r="G195" s="342">
        <v>1975</v>
      </c>
      <c r="H195" s="149">
        <f t="shared" si="61"/>
        <v>1288</v>
      </c>
      <c r="I195" s="346">
        <v>746.55333333333328</v>
      </c>
      <c r="J195" s="150">
        <v>227</v>
      </c>
      <c r="K195"/>
      <c r="L195" s="151">
        <v>70599</v>
      </c>
      <c r="M195" s="151">
        <v>23797</v>
      </c>
      <c r="N195" s="151">
        <v>19294</v>
      </c>
      <c r="O195" s="151">
        <v>15775</v>
      </c>
      <c r="P195" s="151">
        <v>10262</v>
      </c>
      <c r="Q195" s="151">
        <v>6492</v>
      </c>
      <c r="R195" s="151">
        <v>4007</v>
      </c>
      <c r="S195" s="151">
        <v>515</v>
      </c>
      <c r="T195" s="151">
        <v>150741</v>
      </c>
      <c r="U195" s="147"/>
      <c r="V195" s="152">
        <f t="shared" si="77"/>
        <v>0.46834636893744902</v>
      </c>
      <c r="W195" s="152">
        <f t="shared" si="62"/>
        <v>0.15786680465168734</v>
      </c>
      <c r="X195" s="152">
        <f t="shared" si="63"/>
        <v>0.12799437445684983</v>
      </c>
      <c r="Y195" s="152">
        <f t="shared" si="64"/>
        <v>0.10464969716268301</v>
      </c>
      <c r="Z195" s="152">
        <f t="shared" si="65"/>
        <v>6.8077032791344097E-2</v>
      </c>
      <c r="AA195" s="152">
        <f t="shared" si="66"/>
        <v>4.306724779588831E-2</v>
      </c>
      <c r="AB195" s="152">
        <f t="shared" si="67"/>
        <v>2.6582018163605125E-2</v>
      </c>
      <c r="AC195" s="152">
        <f t="shared" si="68"/>
        <v>3.4164560404932967E-3</v>
      </c>
      <c r="AD195" s="152"/>
      <c r="AE195" s="221">
        <v>171</v>
      </c>
      <c r="AF195" s="221">
        <v>238</v>
      </c>
      <c r="AG195" s="221">
        <v>239</v>
      </c>
      <c r="AH195" s="221">
        <v>322</v>
      </c>
      <c r="AI195" s="221">
        <v>152</v>
      </c>
      <c r="AJ195" s="221">
        <v>59</v>
      </c>
      <c r="AK195" s="221">
        <v>67</v>
      </c>
      <c r="AL195" s="221">
        <v>0</v>
      </c>
      <c r="AM195" s="221">
        <v>1248</v>
      </c>
      <c r="AN195" s="147"/>
      <c r="AO195" s="221">
        <v>1</v>
      </c>
      <c r="AP195" s="221">
        <v>-46</v>
      </c>
      <c r="AQ195" s="221">
        <v>12</v>
      </c>
      <c r="AR195" s="221">
        <v>-8</v>
      </c>
      <c r="AS195" s="221">
        <v>4</v>
      </c>
      <c r="AT195" s="221">
        <v>-9</v>
      </c>
      <c r="AU195" s="221">
        <v>9</v>
      </c>
      <c r="AV195" s="221">
        <v>-3</v>
      </c>
      <c r="AW195" s="221">
        <v>-40</v>
      </c>
      <c r="AX195" s="56">
        <f t="shared" si="88"/>
        <v>-1</v>
      </c>
      <c r="AY195" s="56">
        <f t="shared" si="88"/>
        <v>46</v>
      </c>
      <c r="AZ195" s="56">
        <f t="shared" si="88"/>
        <v>-12</v>
      </c>
      <c r="BA195" s="56">
        <f t="shared" si="87"/>
        <v>8</v>
      </c>
      <c r="BB195" s="56">
        <f t="shared" si="87"/>
        <v>-4</v>
      </c>
      <c r="BC195" s="56">
        <f t="shared" si="87"/>
        <v>9</v>
      </c>
      <c r="BD195" s="56">
        <f t="shared" si="87"/>
        <v>-9</v>
      </c>
      <c r="BE195" s="56">
        <f t="shared" si="87"/>
        <v>3</v>
      </c>
      <c r="BF195" s="56">
        <f t="shared" si="87"/>
        <v>40</v>
      </c>
      <c r="BH195">
        <f t="shared" si="69"/>
        <v>1</v>
      </c>
      <c r="BI195">
        <f t="shared" si="78"/>
        <v>0</v>
      </c>
      <c r="BJ195" s="154">
        <v>961718.78666666674</v>
      </c>
      <c r="BK195" s="155">
        <f t="shared" si="70"/>
        <v>961718.78666666674</v>
      </c>
      <c r="BL195" s="172">
        <v>780558.42444444436</v>
      </c>
      <c r="BM195" s="155">
        <f t="shared" si="71"/>
        <v>780558.42444444436</v>
      </c>
      <c r="BN195" s="158">
        <v>1040080.3311111112</v>
      </c>
      <c r="BO195" s="155">
        <f t="shared" si="72"/>
        <v>1040080.3311111112</v>
      </c>
      <c r="BP195" s="158">
        <v>908622.79999999993</v>
      </c>
      <c r="BQ195" s="155">
        <f t="shared" si="73"/>
        <v>908622.79999999993</v>
      </c>
      <c r="BR195" s="158">
        <v>1148040.7288888891</v>
      </c>
      <c r="BS195" s="155">
        <f t="shared" si="74"/>
        <v>1148040.7288888891</v>
      </c>
      <c r="BT195" s="194">
        <v>1769450.9155555554</v>
      </c>
      <c r="BU195" s="194"/>
      <c r="BV195" s="348">
        <f t="shared" si="79"/>
        <v>1769450.9155555554</v>
      </c>
      <c r="BW195" s="195">
        <f t="shared" si="75"/>
        <v>1988000.9777777777</v>
      </c>
      <c r="BX195" s="157" t="str">
        <f t="shared" si="80"/>
        <v>0</v>
      </c>
      <c r="BY195" s="157">
        <f>IF(E195*$CJ$10*'Year 7 Payments'!$L$20*IF(B195="",1,0.8)&lt;=(BW195-(J195*350)),E195*$CJ$10*'Year 7 Payments'!$L$20*IF(B195="",1,0.8),BW195-(IF(B195="",1,0.8)*J195*350))</f>
        <v>766652.8612444445</v>
      </c>
      <c r="BZ195" s="157" t="str">
        <f t="shared" si="81"/>
        <v>0</v>
      </c>
      <c r="CA195" s="157">
        <f t="shared" si="82"/>
        <v>1221348.1165333332</v>
      </c>
      <c r="CB195" s="157">
        <f t="shared" si="83"/>
        <v>0</v>
      </c>
      <c r="CC195" s="157">
        <f t="shared" si="84"/>
        <v>4885392.4661333328</v>
      </c>
      <c r="CD195" s="201">
        <f t="shared" si="85"/>
        <v>0</v>
      </c>
      <c r="CE195" s="155">
        <f t="shared" si="86"/>
        <v>1221348.1165333332</v>
      </c>
    </row>
    <row r="196" spans="1:83" x14ac:dyDescent="0.2">
      <c r="A196" s="147" t="s">
        <v>667</v>
      </c>
      <c r="B196" s="57" t="s">
        <v>490</v>
      </c>
      <c r="C196" s="57" t="s">
        <v>459</v>
      </c>
      <c r="D196" s="148" t="s">
        <v>224</v>
      </c>
      <c r="E196" s="197">
        <v>51193.444444444445</v>
      </c>
      <c r="F196" s="147">
        <f t="shared" si="76"/>
        <v>65345</v>
      </c>
      <c r="G196" s="342">
        <v>295</v>
      </c>
      <c r="H196" s="149">
        <f t="shared" si="61"/>
        <v>336</v>
      </c>
      <c r="I196" s="346">
        <v>65.337333333333362</v>
      </c>
      <c r="J196" s="150">
        <v>25</v>
      </c>
      <c r="K196"/>
      <c r="L196" s="151">
        <v>27214</v>
      </c>
      <c r="M196" s="151">
        <v>22622</v>
      </c>
      <c r="N196" s="151">
        <v>8219</v>
      </c>
      <c r="O196" s="151">
        <v>3520</v>
      </c>
      <c r="P196" s="151">
        <v>2198</v>
      </c>
      <c r="Q196" s="151">
        <v>890</v>
      </c>
      <c r="R196" s="151">
        <v>612</v>
      </c>
      <c r="S196" s="151">
        <v>70</v>
      </c>
      <c r="T196" s="151">
        <v>65345</v>
      </c>
      <c r="U196" s="147"/>
      <c r="V196" s="152">
        <f t="shared" si="77"/>
        <v>0.41646644731808097</v>
      </c>
      <c r="W196" s="152">
        <f t="shared" si="62"/>
        <v>0.34619328181192133</v>
      </c>
      <c r="X196" s="152">
        <f t="shared" si="63"/>
        <v>0.12577855995102916</v>
      </c>
      <c r="Y196" s="152">
        <f t="shared" si="64"/>
        <v>5.3867931746881932E-2</v>
      </c>
      <c r="Z196" s="152">
        <f t="shared" si="65"/>
        <v>3.3636850562399574E-2</v>
      </c>
      <c r="AA196" s="152">
        <f t="shared" si="66"/>
        <v>1.3620016833728672E-2</v>
      </c>
      <c r="AB196" s="152">
        <f t="shared" si="67"/>
        <v>9.3656744969010629E-3</v>
      </c>
      <c r="AC196" s="152">
        <f t="shared" si="68"/>
        <v>1.0712372790573112E-3</v>
      </c>
      <c r="AD196" s="152"/>
      <c r="AE196" s="221">
        <v>172</v>
      </c>
      <c r="AF196" s="221">
        <v>55</v>
      </c>
      <c r="AG196" s="221">
        <v>44</v>
      </c>
      <c r="AH196" s="221">
        <v>27</v>
      </c>
      <c r="AI196" s="221">
        <v>22</v>
      </c>
      <c r="AJ196" s="221">
        <v>0</v>
      </c>
      <c r="AK196" s="221">
        <v>0</v>
      </c>
      <c r="AL196" s="221">
        <v>5</v>
      </c>
      <c r="AM196" s="221">
        <v>325</v>
      </c>
      <c r="AN196" s="147"/>
      <c r="AO196" s="221">
        <v>14</v>
      </c>
      <c r="AP196" s="221">
        <v>-33</v>
      </c>
      <c r="AQ196" s="221">
        <v>10</v>
      </c>
      <c r="AR196" s="221">
        <v>-3</v>
      </c>
      <c r="AS196" s="221">
        <v>2</v>
      </c>
      <c r="AT196" s="221">
        <v>0</v>
      </c>
      <c r="AU196" s="221">
        <v>-1</v>
      </c>
      <c r="AV196" s="221">
        <v>0</v>
      </c>
      <c r="AW196" s="221">
        <v>-11</v>
      </c>
      <c r="AX196" s="56">
        <f t="shared" si="88"/>
        <v>-14</v>
      </c>
      <c r="AY196" s="56">
        <f t="shared" si="88"/>
        <v>33</v>
      </c>
      <c r="AZ196" s="56">
        <f t="shared" si="88"/>
        <v>-10</v>
      </c>
      <c r="BA196" s="56">
        <f t="shared" si="87"/>
        <v>3</v>
      </c>
      <c r="BB196" s="56">
        <f t="shared" si="87"/>
        <v>-2</v>
      </c>
      <c r="BC196" s="56">
        <f t="shared" si="87"/>
        <v>0</v>
      </c>
      <c r="BD196" s="56">
        <f t="shared" si="87"/>
        <v>1</v>
      </c>
      <c r="BE196" s="56">
        <f t="shared" si="87"/>
        <v>0</v>
      </c>
      <c r="BF196" s="56">
        <f t="shared" si="87"/>
        <v>11</v>
      </c>
      <c r="BH196">
        <f t="shared" si="69"/>
        <v>0.8</v>
      </c>
      <c r="BI196">
        <f t="shared" si="78"/>
        <v>0.19999999999999996</v>
      </c>
      <c r="BJ196" s="154">
        <v>674706.33600000013</v>
      </c>
      <c r="BK196" s="155">
        <f t="shared" si="70"/>
        <v>674706.33600000013</v>
      </c>
      <c r="BL196" s="156">
        <v>514304.70666666678</v>
      </c>
      <c r="BM196" s="155">
        <f t="shared" si="71"/>
        <v>514304.70666666678</v>
      </c>
      <c r="BN196" s="158">
        <v>424355.84977777791</v>
      </c>
      <c r="BO196" s="155">
        <f t="shared" si="72"/>
        <v>424355.84977777791</v>
      </c>
      <c r="BP196" s="158">
        <v>425065.38666666672</v>
      </c>
      <c r="BQ196" s="155">
        <f t="shared" si="73"/>
        <v>425065.38666666672</v>
      </c>
      <c r="BR196" s="158">
        <v>317113.30666666664</v>
      </c>
      <c r="BS196" s="155">
        <f t="shared" si="74"/>
        <v>317113.30666666664</v>
      </c>
      <c r="BT196" s="194">
        <v>400277.82044444443</v>
      </c>
      <c r="BU196" s="194"/>
      <c r="BV196" s="348">
        <f t="shared" si="79"/>
        <v>400277.82044444443</v>
      </c>
      <c r="BW196" s="195">
        <f t="shared" si="75"/>
        <v>337520.92088888888</v>
      </c>
      <c r="BX196" s="157">
        <f t="shared" si="80"/>
        <v>84380.230222222221</v>
      </c>
      <c r="BY196" s="157">
        <f>IF(E196*$CJ$10*'Year 7 Payments'!$L$20*IF(B196="",1,0.8)&lt;=(BW196-(J196*350)),E196*$CJ$10*'Year 7 Payments'!$L$20*IF(B196="",1,0.8),BW196-(IF(B196="",1,0.8)*J196*350))</f>
        <v>250571.02363022222</v>
      </c>
      <c r="BZ196" s="157">
        <f t="shared" si="81"/>
        <v>62642.755907555555</v>
      </c>
      <c r="CA196" s="157">
        <f t="shared" si="82"/>
        <v>86949.897258666664</v>
      </c>
      <c r="CB196" s="157">
        <f t="shared" si="83"/>
        <v>21737.474314666666</v>
      </c>
      <c r="CC196" s="157">
        <f t="shared" si="84"/>
        <v>347799.58903466666</v>
      </c>
      <c r="CD196" s="201">
        <f t="shared" si="85"/>
        <v>86949.897258666664</v>
      </c>
      <c r="CE196" s="155">
        <f t="shared" si="86"/>
        <v>86949.897258666664</v>
      </c>
    </row>
    <row r="197" spans="1:83" x14ac:dyDescent="0.2">
      <c r="A197" s="147" t="s">
        <v>668</v>
      </c>
      <c r="B197" s="57"/>
      <c r="C197" s="57" t="s">
        <v>449</v>
      </c>
      <c r="D197" s="148" t="s">
        <v>225</v>
      </c>
      <c r="E197" s="197">
        <v>99649.111111111109</v>
      </c>
      <c r="F197" s="147">
        <f t="shared" si="76"/>
        <v>135201</v>
      </c>
      <c r="G197" s="342">
        <v>1456</v>
      </c>
      <c r="H197" s="149">
        <f t="shared" si="61"/>
        <v>783</v>
      </c>
      <c r="I197" s="346">
        <v>257.29244444444447</v>
      </c>
      <c r="J197" s="150">
        <v>269</v>
      </c>
      <c r="K197"/>
      <c r="L197" s="151">
        <v>85825</v>
      </c>
      <c r="M197" s="151">
        <v>22468</v>
      </c>
      <c r="N197" s="151">
        <v>15940</v>
      </c>
      <c r="O197" s="151">
        <v>6717</v>
      </c>
      <c r="P197" s="151">
        <v>2401</v>
      </c>
      <c r="Q197" s="151">
        <v>1033</v>
      </c>
      <c r="R197" s="151">
        <v>704</v>
      </c>
      <c r="S197" s="151">
        <v>113</v>
      </c>
      <c r="T197" s="151">
        <v>135201</v>
      </c>
      <c r="U197" s="147"/>
      <c r="V197" s="152">
        <f t="shared" si="77"/>
        <v>0.63479560062425577</v>
      </c>
      <c r="W197" s="152">
        <f t="shared" si="62"/>
        <v>0.16618220279435802</v>
      </c>
      <c r="X197" s="152">
        <f t="shared" si="63"/>
        <v>0.11789853625343008</v>
      </c>
      <c r="Y197" s="152">
        <f t="shared" si="64"/>
        <v>4.9681585195375771E-2</v>
      </c>
      <c r="Z197" s="152">
        <f t="shared" si="65"/>
        <v>1.7758744387985297E-2</v>
      </c>
      <c r="AA197" s="152">
        <f t="shared" si="66"/>
        <v>7.6404760319820119E-3</v>
      </c>
      <c r="AB197" s="152">
        <f t="shared" si="67"/>
        <v>5.2070620779432102E-3</v>
      </c>
      <c r="AC197" s="152">
        <f t="shared" si="68"/>
        <v>8.3579263466986194E-4</v>
      </c>
      <c r="AD197" s="152"/>
      <c r="AE197" s="221">
        <v>242</v>
      </c>
      <c r="AF197" s="221">
        <v>238</v>
      </c>
      <c r="AG197" s="221">
        <v>155</v>
      </c>
      <c r="AH197" s="221">
        <v>117</v>
      </c>
      <c r="AI197" s="221">
        <v>38</v>
      </c>
      <c r="AJ197" s="221">
        <v>27</v>
      </c>
      <c r="AK197" s="221">
        <v>9</v>
      </c>
      <c r="AL197" s="221">
        <v>3</v>
      </c>
      <c r="AM197" s="221">
        <v>829</v>
      </c>
      <c r="AN197" s="147"/>
      <c r="AO197" s="221">
        <v>-34</v>
      </c>
      <c r="AP197" s="221">
        <v>31</v>
      </c>
      <c r="AQ197" s="221">
        <v>25</v>
      </c>
      <c r="AR197" s="221">
        <v>12</v>
      </c>
      <c r="AS197" s="221">
        <v>7</v>
      </c>
      <c r="AT197" s="221">
        <v>-1</v>
      </c>
      <c r="AU197" s="221">
        <v>9</v>
      </c>
      <c r="AV197" s="221">
        <v>-3</v>
      </c>
      <c r="AW197" s="221">
        <v>46</v>
      </c>
      <c r="AX197" s="56">
        <f t="shared" si="88"/>
        <v>34</v>
      </c>
      <c r="AY197" s="56">
        <f t="shared" si="88"/>
        <v>-31</v>
      </c>
      <c r="AZ197" s="56">
        <f t="shared" si="88"/>
        <v>-25</v>
      </c>
      <c r="BA197" s="56">
        <f t="shared" si="87"/>
        <v>-12</v>
      </c>
      <c r="BB197" s="56">
        <f t="shared" si="87"/>
        <v>-7</v>
      </c>
      <c r="BC197" s="56">
        <f t="shared" si="87"/>
        <v>1</v>
      </c>
      <c r="BD197" s="56">
        <f t="shared" si="87"/>
        <v>-9</v>
      </c>
      <c r="BE197" s="56">
        <f t="shared" si="87"/>
        <v>3</v>
      </c>
      <c r="BF197" s="56">
        <f t="shared" si="87"/>
        <v>-46</v>
      </c>
      <c r="BH197">
        <f t="shared" si="69"/>
        <v>1</v>
      </c>
      <c r="BI197">
        <f t="shared" si="78"/>
        <v>0</v>
      </c>
      <c r="BJ197" s="154">
        <v>1215980.9866666666</v>
      </c>
      <c r="BK197" s="155">
        <f t="shared" si="70"/>
        <v>1215980.9866666666</v>
      </c>
      <c r="BL197" s="156">
        <v>621803.34111111099</v>
      </c>
      <c r="BM197" s="155">
        <f t="shared" si="71"/>
        <v>621803.34111111099</v>
      </c>
      <c r="BN197" s="158">
        <v>1349430.0211111109</v>
      </c>
      <c r="BO197" s="155">
        <f t="shared" si="72"/>
        <v>1349430.0211111109</v>
      </c>
      <c r="BP197" s="158">
        <v>996658.79999999981</v>
      </c>
      <c r="BQ197" s="155">
        <f t="shared" si="73"/>
        <v>996658.79999999981</v>
      </c>
      <c r="BR197" s="158">
        <v>546268.07111111109</v>
      </c>
      <c r="BS197" s="155">
        <f t="shared" si="74"/>
        <v>546268.07111111109</v>
      </c>
      <c r="BT197" s="194">
        <v>699094.23111111112</v>
      </c>
      <c r="BU197" s="194"/>
      <c r="BV197" s="348">
        <f t="shared" si="79"/>
        <v>699094.23111111112</v>
      </c>
      <c r="BW197" s="195">
        <f t="shared" si="75"/>
        <v>1097371.408888889</v>
      </c>
      <c r="BX197" s="157" t="str">
        <f t="shared" si="80"/>
        <v>0</v>
      </c>
      <c r="BY197" s="157">
        <f>IF(E197*$CJ$10*'Year 7 Payments'!$L$20*IF(B197="",1,0.8)&lt;=(BW197-(J197*350)),E197*$CJ$10*'Year 7 Payments'!$L$20*IF(B197="",1,0.8),BW197-(IF(B197="",1,0.8)*J197*350))</f>
        <v>609677.17756444449</v>
      </c>
      <c r="BZ197" s="157" t="str">
        <f t="shared" si="81"/>
        <v>0</v>
      </c>
      <c r="CA197" s="157">
        <f t="shared" si="82"/>
        <v>487694.23132444452</v>
      </c>
      <c r="CB197" s="157">
        <f t="shared" si="83"/>
        <v>0</v>
      </c>
      <c r="CC197" s="157">
        <f t="shared" si="84"/>
        <v>1950776.9252977781</v>
      </c>
      <c r="CD197" s="201">
        <f t="shared" si="85"/>
        <v>0</v>
      </c>
      <c r="CE197" s="155">
        <f t="shared" si="86"/>
        <v>487694.23132444452</v>
      </c>
    </row>
    <row r="198" spans="1:83" x14ac:dyDescent="0.2">
      <c r="A198" s="147" t="s">
        <v>669</v>
      </c>
      <c r="B198" s="57" t="s">
        <v>663</v>
      </c>
      <c r="C198" s="57" t="s">
        <v>476</v>
      </c>
      <c r="D198" s="148" t="s">
        <v>226</v>
      </c>
      <c r="E198" s="197">
        <v>44911.222222222219</v>
      </c>
      <c r="F198" s="147">
        <f t="shared" si="76"/>
        <v>55936</v>
      </c>
      <c r="G198" s="342">
        <v>516</v>
      </c>
      <c r="H198" s="149">
        <f t="shared" ref="H198:H261" si="89">AM198+BF198</f>
        <v>562</v>
      </c>
      <c r="I198" s="346">
        <v>310.79955555555563</v>
      </c>
      <c r="J198" s="150">
        <v>126</v>
      </c>
      <c r="K198"/>
      <c r="L198" s="151">
        <v>20340</v>
      </c>
      <c r="M198" s="151">
        <v>12861</v>
      </c>
      <c r="N198" s="151">
        <v>12717</v>
      </c>
      <c r="O198" s="151">
        <v>6864</v>
      </c>
      <c r="P198" s="151">
        <v>2361</v>
      </c>
      <c r="Q198" s="151">
        <v>621</v>
      </c>
      <c r="R198" s="151">
        <v>157</v>
      </c>
      <c r="S198" s="151">
        <v>15</v>
      </c>
      <c r="T198" s="151">
        <v>55936</v>
      </c>
      <c r="U198" s="147"/>
      <c r="V198" s="152">
        <f t="shared" si="77"/>
        <v>0.36362986270022885</v>
      </c>
      <c r="W198" s="152">
        <f t="shared" ref="W198:W261" si="90">M198/T198</f>
        <v>0.22992348398169338</v>
      </c>
      <c r="X198" s="152">
        <f t="shared" ref="X198:X261" si="91">N198/T198</f>
        <v>0.22734911327231122</v>
      </c>
      <c r="Y198" s="152">
        <f t="shared" ref="Y198:Y261" si="92">O198/T198</f>
        <v>0.12271167048054919</v>
      </c>
      <c r="Z198" s="152">
        <f t="shared" ref="Z198:Z261" si="93">P198/T198</f>
        <v>4.2208953089244848E-2</v>
      </c>
      <c r="AA198" s="152">
        <f t="shared" ref="AA198:AA261" si="94">Q198/T198</f>
        <v>1.1101973684210526E-2</v>
      </c>
      <c r="AB198" s="152">
        <f t="shared" ref="AB198:AB261" si="95">R198/T198</f>
        <v>2.8067791762013731E-3</v>
      </c>
      <c r="AC198" s="152">
        <f t="shared" ref="AC198:AC261" si="96">S198/T198</f>
        <v>2.6816361556064074E-4</v>
      </c>
      <c r="AD198" s="152"/>
      <c r="AE198" s="221">
        <v>76</v>
      </c>
      <c r="AF198" s="221">
        <v>114</v>
      </c>
      <c r="AG198" s="221">
        <v>201</v>
      </c>
      <c r="AH198" s="221">
        <v>19</v>
      </c>
      <c r="AI198" s="221">
        <v>78</v>
      </c>
      <c r="AJ198" s="221">
        <v>8</v>
      </c>
      <c r="AK198" s="221">
        <v>3</v>
      </c>
      <c r="AL198" s="221">
        <v>0</v>
      </c>
      <c r="AM198" s="221">
        <v>499</v>
      </c>
      <c r="AN198" s="147"/>
      <c r="AO198" s="221">
        <v>-45</v>
      </c>
      <c r="AP198" s="221">
        <v>-10</v>
      </c>
      <c r="AQ198" s="221">
        <v>-18</v>
      </c>
      <c r="AR198" s="221">
        <v>4</v>
      </c>
      <c r="AS198" s="221">
        <v>5</v>
      </c>
      <c r="AT198" s="221">
        <v>-2</v>
      </c>
      <c r="AU198" s="221">
        <v>3</v>
      </c>
      <c r="AV198" s="221">
        <v>0</v>
      </c>
      <c r="AW198" s="221">
        <v>-63</v>
      </c>
      <c r="AX198" s="56">
        <f t="shared" si="88"/>
        <v>45</v>
      </c>
      <c r="AY198" s="56">
        <f t="shared" si="88"/>
        <v>10</v>
      </c>
      <c r="AZ198" s="56">
        <f t="shared" si="88"/>
        <v>18</v>
      </c>
      <c r="BA198" s="56">
        <f t="shared" si="87"/>
        <v>-4</v>
      </c>
      <c r="BB198" s="56">
        <f t="shared" si="87"/>
        <v>-5</v>
      </c>
      <c r="BC198" s="56">
        <f t="shared" si="87"/>
        <v>2</v>
      </c>
      <c r="BD198" s="56">
        <f t="shared" si="87"/>
        <v>-3</v>
      </c>
      <c r="BE198" s="56">
        <f t="shared" si="87"/>
        <v>0</v>
      </c>
      <c r="BF198" s="56">
        <f t="shared" si="87"/>
        <v>63</v>
      </c>
      <c r="BH198">
        <f t="shared" ref="BH198:BH261" si="97">IF(B198="",1,0.8)</f>
        <v>0.8</v>
      </c>
      <c r="BI198">
        <f t="shared" si="78"/>
        <v>0.19999999999999996</v>
      </c>
      <c r="BJ198" s="154">
        <v>167589.17333333337</v>
      </c>
      <c r="BK198" s="155">
        <f t="shared" ref="BK198:BK261" si="98">BJ198</f>
        <v>167589.17333333337</v>
      </c>
      <c r="BL198" s="156">
        <v>423426.09777777776</v>
      </c>
      <c r="BM198" s="155">
        <f t="shared" ref="BM198:BM261" si="99">BL198</f>
        <v>423426.09777777776</v>
      </c>
      <c r="BN198" s="158">
        <v>300690.1688888889</v>
      </c>
      <c r="BO198" s="155">
        <f t="shared" ref="BO198:BO261" si="100">BN198</f>
        <v>300690.1688888889</v>
      </c>
      <c r="BP198" s="158">
        <v>388526.82666666666</v>
      </c>
      <c r="BQ198" s="155">
        <f t="shared" ref="BQ198:BQ261" si="101">BP198</f>
        <v>388526.82666666666</v>
      </c>
      <c r="BR198" s="158">
        <v>190722.98666666669</v>
      </c>
      <c r="BS198" s="155">
        <f t="shared" ref="BS198:BS261" si="102">BR198</f>
        <v>190722.98666666669</v>
      </c>
      <c r="BT198" s="194">
        <v>562396.28977777774</v>
      </c>
      <c r="BU198" s="194"/>
      <c r="BV198" s="348">
        <f t="shared" si="79"/>
        <v>562396.28977777774</v>
      </c>
      <c r="BW198" s="195">
        <f t="shared" ref="BW198:BW261" si="103">IF(B198="",1,0.8)*(IF(SUMPRODUCT($CG$10:$CN$10,AE198:AL198)+SUMPRODUCT($CG$10:$CN$10,AX198:BE198)&gt;0,SUMPRODUCT($CG$10:$CN$10,AE198:AL198)+SUMPRODUCT($CG$10:$CN$10,AX198:BE198),0)+J198*350)</f>
        <v>635411.3635555557</v>
      </c>
      <c r="BX198" s="157">
        <f t="shared" si="80"/>
        <v>158852.84088888892</v>
      </c>
      <c r="BY198" s="157">
        <f>IF(E198*$CJ$10*'Year 7 Payments'!$L$20*IF(B198="",1,0.8)&lt;=(BW198-(J198*350)),E198*$CJ$10*'Year 7 Payments'!$L$20*IF(B198="",1,0.8),BW198-(IF(B198="",1,0.8)*J198*350))</f>
        <v>219822.10899911111</v>
      </c>
      <c r="BZ198" s="157">
        <f t="shared" si="81"/>
        <v>54955.527249777777</v>
      </c>
      <c r="CA198" s="157">
        <f t="shared" si="82"/>
        <v>415589.25455644459</v>
      </c>
      <c r="CB198" s="157">
        <f t="shared" si="83"/>
        <v>103897.31363911115</v>
      </c>
      <c r="CC198" s="157">
        <f t="shared" si="84"/>
        <v>1662357.0182257784</v>
      </c>
      <c r="CD198" s="201">
        <f t="shared" si="85"/>
        <v>415589.25455644459</v>
      </c>
      <c r="CE198" s="155">
        <f t="shared" si="86"/>
        <v>415589.25455644459</v>
      </c>
    </row>
    <row r="199" spans="1:83" x14ac:dyDescent="0.2">
      <c r="A199" s="147" t="s">
        <v>670</v>
      </c>
      <c r="B199" s="57" t="s">
        <v>478</v>
      </c>
      <c r="C199" s="57" t="s">
        <v>449</v>
      </c>
      <c r="D199" s="148" t="s">
        <v>227</v>
      </c>
      <c r="E199" s="197">
        <v>20431.888888888887</v>
      </c>
      <c r="F199" s="147">
        <f t="shared" ref="F199:F262" si="104">T199</f>
        <v>23068</v>
      </c>
      <c r="G199" s="342">
        <v>131</v>
      </c>
      <c r="H199" s="149">
        <f t="shared" si="89"/>
        <v>128</v>
      </c>
      <c r="I199" s="346">
        <v>32.494666666666674</v>
      </c>
      <c r="J199" s="150">
        <v>5</v>
      </c>
      <c r="K199"/>
      <c r="L199" s="151">
        <v>3921</v>
      </c>
      <c r="M199" s="151">
        <v>6102</v>
      </c>
      <c r="N199" s="151">
        <v>7055</v>
      </c>
      <c r="O199" s="151">
        <v>3050</v>
      </c>
      <c r="P199" s="151">
        <v>1855</v>
      </c>
      <c r="Q199" s="151">
        <v>549</v>
      </c>
      <c r="R199" s="151">
        <v>456</v>
      </c>
      <c r="S199" s="151">
        <v>80</v>
      </c>
      <c r="T199" s="151">
        <v>23068</v>
      </c>
      <c r="U199" s="147"/>
      <c r="V199" s="152">
        <f t="shared" ref="V199:V262" si="105">L199/T199</f>
        <v>0.16997572394659269</v>
      </c>
      <c r="W199" s="152">
        <f t="shared" si="90"/>
        <v>0.26452228194902028</v>
      </c>
      <c r="X199" s="152">
        <f t="shared" si="91"/>
        <v>0.30583492283683023</v>
      </c>
      <c r="Y199" s="152">
        <f t="shared" si="92"/>
        <v>0.13221779087913993</v>
      </c>
      <c r="Z199" s="152">
        <f t="shared" si="93"/>
        <v>8.0414426911739209E-2</v>
      </c>
      <c r="AA199" s="152">
        <f t="shared" si="94"/>
        <v>2.3799202358245189E-2</v>
      </c>
      <c r="AB199" s="152">
        <f t="shared" si="95"/>
        <v>1.9767643488815677E-2</v>
      </c>
      <c r="AC199" s="152">
        <f t="shared" si="96"/>
        <v>3.4680076296167853E-3</v>
      </c>
      <c r="AD199" s="152"/>
      <c r="AE199" s="221">
        <v>5</v>
      </c>
      <c r="AF199" s="221">
        <v>58</v>
      </c>
      <c r="AG199" s="221">
        <v>9</v>
      </c>
      <c r="AH199" s="221">
        <v>34</v>
      </c>
      <c r="AI199" s="221">
        <v>9</v>
      </c>
      <c r="AJ199" s="221">
        <v>-2</v>
      </c>
      <c r="AK199" s="221">
        <v>4</v>
      </c>
      <c r="AL199" s="221">
        <v>1</v>
      </c>
      <c r="AM199" s="221">
        <v>118</v>
      </c>
      <c r="AN199" s="147"/>
      <c r="AO199" s="221">
        <v>-1</v>
      </c>
      <c r="AP199" s="221">
        <v>-9</v>
      </c>
      <c r="AQ199" s="221">
        <v>-4</v>
      </c>
      <c r="AR199" s="221">
        <v>5</v>
      </c>
      <c r="AS199" s="221">
        <v>-1</v>
      </c>
      <c r="AT199" s="221">
        <v>-2</v>
      </c>
      <c r="AU199" s="221">
        <v>2</v>
      </c>
      <c r="AV199" s="221">
        <v>0</v>
      </c>
      <c r="AW199" s="221">
        <v>-10</v>
      </c>
      <c r="AX199" s="56">
        <f t="shared" si="88"/>
        <v>1</v>
      </c>
      <c r="AY199" s="56">
        <f t="shared" si="88"/>
        <v>9</v>
      </c>
      <c r="AZ199" s="56">
        <f t="shared" si="88"/>
        <v>4</v>
      </c>
      <c r="BA199" s="56">
        <f t="shared" si="87"/>
        <v>-5</v>
      </c>
      <c r="BB199" s="56">
        <f t="shared" si="87"/>
        <v>1</v>
      </c>
      <c r="BC199" s="56">
        <f t="shared" si="87"/>
        <v>2</v>
      </c>
      <c r="BD199" s="56">
        <f t="shared" si="87"/>
        <v>-2</v>
      </c>
      <c r="BE199" s="56">
        <f t="shared" si="87"/>
        <v>0</v>
      </c>
      <c r="BF199" s="56">
        <f t="shared" si="87"/>
        <v>10</v>
      </c>
      <c r="BH199">
        <f t="shared" si="97"/>
        <v>0.8</v>
      </c>
      <c r="BI199">
        <f t="shared" ref="BI199:BI262" si="106">1-BH199</f>
        <v>0.19999999999999996</v>
      </c>
      <c r="BJ199" s="154">
        <v>73176.34133333333</v>
      </c>
      <c r="BK199" s="155">
        <f t="shared" si="98"/>
        <v>73176.34133333333</v>
      </c>
      <c r="BL199" s="156">
        <v>5600</v>
      </c>
      <c r="BM199" s="155">
        <f t="shared" si="99"/>
        <v>5600</v>
      </c>
      <c r="BN199" s="158">
        <v>98351.662222222236</v>
      </c>
      <c r="BO199" s="155">
        <f t="shared" si="100"/>
        <v>98351.662222222236</v>
      </c>
      <c r="BP199" s="158">
        <v>61350.506666666668</v>
      </c>
      <c r="BQ199" s="155">
        <f t="shared" si="101"/>
        <v>61350.506666666668</v>
      </c>
      <c r="BR199" s="158">
        <v>74695.704888888882</v>
      </c>
      <c r="BS199" s="155">
        <f t="shared" si="102"/>
        <v>74695.704888888882</v>
      </c>
      <c r="BT199" s="194">
        <v>128672.59377777777</v>
      </c>
      <c r="BU199" s="194"/>
      <c r="BV199" s="348">
        <f t="shared" ref="BV199:BV262" si="107">BT199+BU199</f>
        <v>128672.59377777777</v>
      </c>
      <c r="BW199" s="195">
        <f t="shared" si="103"/>
        <v>141167.79377777778</v>
      </c>
      <c r="BX199" s="157">
        <f t="shared" ref="BX199:BX262" si="108">IF($B199="","0",(25%*BW199))</f>
        <v>35291.948444444446</v>
      </c>
      <c r="BY199" s="157">
        <f>IF(E199*$CJ$10*'Year 7 Payments'!$L$20*IF(B199="",1,0.8)&lt;=(BW199-(J199*350)),E199*$CJ$10*'Year 7 Payments'!$L$20*IF(B199="",1,0.8),BW199-(IF(B199="",1,0.8)*J199*350))</f>
        <v>100005.75990044445</v>
      </c>
      <c r="BZ199" s="157">
        <f t="shared" ref="BZ199:BZ262" si="109">IF($B199="","0",(25%*BY199))</f>
        <v>25001.439975111112</v>
      </c>
      <c r="CA199" s="157">
        <f t="shared" ref="CA199:CA262" si="110">BW199-BY199</f>
        <v>41162.033877333335</v>
      </c>
      <c r="CB199" s="157">
        <f t="shared" ref="CB199:CB262" si="111">BX199-BZ199</f>
        <v>10290.508469333334</v>
      </c>
      <c r="CC199" s="157">
        <f t="shared" ref="CC199:CC262" si="112">CA199*4</f>
        <v>164648.13550933334</v>
      </c>
      <c r="CD199" s="201">
        <f t="shared" ref="CD199:CD262" si="113">CB199*4</f>
        <v>41162.033877333335</v>
      </c>
      <c r="CE199" s="155">
        <f t="shared" ref="CE199:CE262" si="114">CA199</f>
        <v>41162.033877333335</v>
      </c>
    </row>
    <row r="200" spans="1:83" x14ac:dyDescent="0.2">
      <c r="A200" s="147" t="s">
        <v>671</v>
      </c>
      <c r="B200" s="57"/>
      <c r="C200" s="57" t="s">
        <v>446</v>
      </c>
      <c r="D200" s="148" t="s">
        <v>228</v>
      </c>
      <c r="E200" s="197">
        <v>74097.555555555547</v>
      </c>
      <c r="F200" s="147">
        <f t="shared" si="104"/>
        <v>95662</v>
      </c>
      <c r="G200" s="342">
        <v>1189</v>
      </c>
      <c r="H200" s="149">
        <f t="shared" si="89"/>
        <v>458</v>
      </c>
      <c r="I200" s="346">
        <v>105.72088888888896</v>
      </c>
      <c r="J200" s="150">
        <v>15</v>
      </c>
      <c r="K200"/>
      <c r="L200" s="151">
        <v>50354</v>
      </c>
      <c r="M200" s="151">
        <v>16959</v>
      </c>
      <c r="N200" s="151">
        <v>15928</v>
      </c>
      <c r="O200" s="151">
        <v>6710</v>
      </c>
      <c r="P200" s="151">
        <v>3259</v>
      </c>
      <c r="Q200" s="151">
        <v>1513</v>
      </c>
      <c r="R200" s="151">
        <v>863</v>
      </c>
      <c r="S200" s="151">
        <v>76</v>
      </c>
      <c r="T200" s="151">
        <v>95662</v>
      </c>
      <c r="U200" s="147"/>
      <c r="V200" s="152">
        <f t="shared" si="105"/>
        <v>0.52637410884154623</v>
      </c>
      <c r="W200" s="152">
        <f t="shared" si="90"/>
        <v>0.17728042482908574</v>
      </c>
      <c r="X200" s="152">
        <f t="shared" si="91"/>
        <v>0.16650289561163262</v>
      </c>
      <c r="Y200" s="152">
        <f t="shared" si="92"/>
        <v>7.014279442202756E-2</v>
      </c>
      <c r="Z200" s="152">
        <f t="shared" si="93"/>
        <v>3.4067863937613685E-2</v>
      </c>
      <c r="AA200" s="152">
        <f t="shared" si="94"/>
        <v>1.5816102527649433E-2</v>
      </c>
      <c r="AB200" s="152">
        <f t="shared" si="95"/>
        <v>9.0213459890029473E-3</v>
      </c>
      <c r="AC200" s="152">
        <f t="shared" si="96"/>
        <v>7.9446384144174281E-4</v>
      </c>
      <c r="AD200" s="152"/>
      <c r="AE200" s="221">
        <v>91</v>
      </c>
      <c r="AF200" s="221">
        <v>145</v>
      </c>
      <c r="AG200" s="221">
        <v>84</v>
      </c>
      <c r="AH200" s="221">
        <v>72</v>
      </c>
      <c r="AI200" s="221">
        <v>18</v>
      </c>
      <c r="AJ200" s="221">
        <v>13</v>
      </c>
      <c r="AK200" s="221">
        <v>4</v>
      </c>
      <c r="AL200" s="221">
        <v>1</v>
      </c>
      <c r="AM200" s="221">
        <v>428</v>
      </c>
      <c r="AN200" s="147"/>
      <c r="AO200" s="221">
        <v>-14</v>
      </c>
      <c r="AP200" s="221">
        <v>16</v>
      </c>
      <c r="AQ200" s="221">
        <v>-13</v>
      </c>
      <c r="AR200" s="221">
        <v>-4</v>
      </c>
      <c r="AS200" s="221">
        <v>-10</v>
      </c>
      <c r="AT200" s="221">
        <v>-2</v>
      </c>
      <c r="AU200" s="221">
        <v>-3</v>
      </c>
      <c r="AV200" s="221">
        <v>0</v>
      </c>
      <c r="AW200" s="221">
        <v>-30</v>
      </c>
      <c r="AX200" s="56">
        <f t="shared" si="88"/>
        <v>14</v>
      </c>
      <c r="AY200" s="56">
        <f t="shared" si="88"/>
        <v>-16</v>
      </c>
      <c r="AZ200" s="56">
        <f t="shared" si="88"/>
        <v>13</v>
      </c>
      <c r="BA200" s="56">
        <f t="shared" si="87"/>
        <v>4</v>
      </c>
      <c r="BB200" s="56">
        <f t="shared" si="87"/>
        <v>10</v>
      </c>
      <c r="BC200" s="56">
        <f t="shared" si="87"/>
        <v>2</v>
      </c>
      <c r="BD200" s="56">
        <f t="shared" si="87"/>
        <v>3</v>
      </c>
      <c r="BE200" s="56">
        <f t="shared" si="87"/>
        <v>0</v>
      </c>
      <c r="BF200" s="56">
        <f t="shared" si="87"/>
        <v>30</v>
      </c>
      <c r="BH200">
        <f t="shared" si="97"/>
        <v>1</v>
      </c>
      <c r="BI200">
        <f t="shared" si="106"/>
        <v>0</v>
      </c>
      <c r="BJ200" s="154">
        <v>257780.29333333331</v>
      </c>
      <c r="BK200" s="155">
        <f t="shared" si="98"/>
        <v>257780.29333333331</v>
      </c>
      <c r="BL200" s="156">
        <v>36400</v>
      </c>
      <c r="BM200" s="155">
        <f t="shared" si="99"/>
        <v>36400</v>
      </c>
      <c r="BN200" s="158">
        <v>414050.91333333339</v>
      </c>
      <c r="BO200" s="155">
        <f t="shared" si="100"/>
        <v>414050.91333333339</v>
      </c>
      <c r="BP200" s="158">
        <v>721542.8</v>
      </c>
      <c r="BQ200" s="155">
        <f t="shared" si="101"/>
        <v>721542.8</v>
      </c>
      <c r="BR200" s="158">
        <v>656338.99111111101</v>
      </c>
      <c r="BS200" s="155">
        <f t="shared" si="102"/>
        <v>656338.99111111101</v>
      </c>
      <c r="BT200" s="194">
        <v>681784.02444444445</v>
      </c>
      <c r="BU200" s="194"/>
      <c r="BV200" s="348">
        <f t="shared" si="107"/>
        <v>681784.02444444445</v>
      </c>
      <c r="BW200" s="195">
        <f t="shared" si="103"/>
        <v>620303.0711111112</v>
      </c>
      <c r="BX200" s="157" t="str">
        <f t="shared" si="108"/>
        <v>0</v>
      </c>
      <c r="BY200" s="157">
        <f>IF(E200*$CJ$10*'Year 7 Payments'!$L$20*IF(B200="",1,0.8)&lt;=(BW200-(J200*350)),E200*$CJ$10*'Year 7 Payments'!$L$20*IF(B200="",1,0.8),BW200-(IF(B200="",1,0.8)*J200*350))</f>
        <v>453346.62830222212</v>
      </c>
      <c r="BZ200" s="157" t="str">
        <f t="shared" si="109"/>
        <v>0</v>
      </c>
      <c r="CA200" s="157">
        <f t="shared" si="110"/>
        <v>166956.44280888909</v>
      </c>
      <c r="CB200" s="157">
        <f t="shared" si="111"/>
        <v>0</v>
      </c>
      <c r="CC200" s="157">
        <f t="shared" si="112"/>
        <v>667825.77123555634</v>
      </c>
      <c r="CD200" s="201">
        <f t="shared" si="113"/>
        <v>0</v>
      </c>
      <c r="CE200" s="155">
        <f t="shared" si="114"/>
        <v>166956.44280888909</v>
      </c>
    </row>
    <row r="201" spans="1:83" x14ac:dyDescent="0.2">
      <c r="A201" s="147" t="s">
        <v>672</v>
      </c>
      <c r="B201" s="57" t="s">
        <v>520</v>
      </c>
      <c r="C201" s="57" t="s">
        <v>443</v>
      </c>
      <c r="D201" s="148" t="s">
        <v>229</v>
      </c>
      <c r="E201" s="197">
        <v>60157.444444444445</v>
      </c>
      <c r="F201" s="147">
        <f t="shared" si="104"/>
        <v>60415</v>
      </c>
      <c r="G201" s="342">
        <v>263</v>
      </c>
      <c r="H201" s="149">
        <f t="shared" si="89"/>
        <v>476</v>
      </c>
      <c r="I201" s="346">
        <v>234.37022222222228</v>
      </c>
      <c r="J201" s="150">
        <v>166</v>
      </c>
      <c r="K201"/>
      <c r="L201" s="151">
        <v>2450</v>
      </c>
      <c r="M201" s="151">
        <v>9504</v>
      </c>
      <c r="N201" s="151">
        <v>19002</v>
      </c>
      <c r="O201" s="151">
        <v>15847</v>
      </c>
      <c r="P201" s="151">
        <v>6966</v>
      </c>
      <c r="Q201" s="151">
        <v>2817</v>
      </c>
      <c r="R201" s="151">
        <v>3247</v>
      </c>
      <c r="S201" s="151">
        <v>582</v>
      </c>
      <c r="T201" s="151">
        <v>60415</v>
      </c>
      <c r="U201" s="147"/>
      <c r="V201" s="152">
        <f t="shared" si="105"/>
        <v>4.055284283704378E-2</v>
      </c>
      <c r="W201" s="152">
        <f t="shared" si="90"/>
        <v>0.15731192584623024</v>
      </c>
      <c r="X201" s="152">
        <f t="shared" si="91"/>
        <v>0.31452453860796159</v>
      </c>
      <c r="Y201" s="152">
        <f t="shared" si="92"/>
        <v>0.26230240834229912</v>
      </c>
      <c r="Z201" s="152">
        <f t="shared" si="93"/>
        <v>0.11530249110320284</v>
      </c>
      <c r="AA201" s="152">
        <f t="shared" si="94"/>
        <v>4.6627493172225441E-2</v>
      </c>
      <c r="AB201" s="152">
        <f t="shared" si="95"/>
        <v>5.3744930894645368E-2</v>
      </c>
      <c r="AC201" s="152">
        <f t="shared" si="96"/>
        <v>9.6333691963916245E-3</v>
      </c>
      <c r="AD201" s="152"/>
      <c r="AE201" s="221">
        <v>3</v>
      </c>
      <c r="AF201" s="221">
        <v>113</v>
      </c>
      <c r="AG201" s="221">
        <v>143</v>
      </c>
      <c r="AH201" s="221">
        <v>87</v>
      </c>
      <c r="AI201" s="221">
        <v>84</v>
      </c>
      <c r="AJ201" s="221">
        <v>17</v>
      </c>
      <c r="AK201" s="221">
        <v>26</v>
      </c>
      <c r="AL201" s="221">
        <v>2</v>
      </c>
      <c r="AM201" s="221">
        <v>475</v>
      </c>
      <c r="AN201" s="147"/>
      <c r="AO201" s="221">
        <v>-1</v>
      </c>
      <c r="AP201" s="221">
        <v>3</v>
      </c>
      <c r="AQ201" s="221">
        <v>4</v>
      </c>
      <c r="AR201" s="221">
        <v>-16</v>
      </c>
      <c r="AS201" s="221">
        <v>0</v>
      </c>
      <c r="AT201" s="221">
        <v>6</v>
      </c>
      <c r="AU201" s="221">
        <v>1</v>
      </c>
      <c r="AV201" s="221">
        <v>2</v>
      </c>
      <c r="AW201" s="221">
        <v>-1</v>
      </c>
      <c r="AX201" s="56">
        <f t="shared" si="88"/>
        <v>1</v>
      </c>
      <c r="AY201" s="56">
        <f t="shared" si="88"/>
        <v>-3</v>
      </c>
      <c r="AZ201" s="56">
        <f t="shared" si="88"/>
        <v>-4</v>
      </c>
      <c r="BA201" s="56">
        <f t="shared" si="87"/>
        <v>16</v>
      </c>
      <c r="BB201" s="56">
        <f t="shared" si="87"/>
        <v>0</v>
      </c>
      <c r="BC201" s="56">
        <f t="shared" si="87"/>
        <v>-6</v>
      </c>
      <c r="BD201" s="56">
        <f t="shared" ref="BD201:BF264" si="115">AU201*$AW$3</f>
        <v>-1</v>
      </c>
      <c r="BE201" s="56">
        <f t="shared" si="115"/>
        <v>-2</v>
      </c>
      <c r="BF201" s="56">
        <f t="shared" si="115"/>
        <v>1</v>
      </c>
      <c r="BH201">
        <f t="shared" si="97"/>
        <v>0.8</v>
      </c>
      <c r="BI201">
        <f t="shared" si="106"/>
        <v>0.19999999999999996</v>
      </c>
      <c r="BJ201" s="154">
        <v>472959.67466666666</v>
      </c>
      <c r="BK201" s="155">
        <f t="shared" si="98"/>
        <v>472959.67466666666</v>
      </c>
      <c r="BL201" s="156">
        <v>823535.66933333338</v>
      </c>
      <c r="BM201" s="155">
        <f t="shared" si="99"/>
        <v>823535.66933333338</v>
      </c>
      <c r="BN201" s="158">
        <v>388121.14222222217</v>
      </c>
      <c r="BO201" s="155">
        <f t="shared" si="100"/>
        <v>388121.14222222217</v>
      </c>
      <c r="BP201" s="158">
        <v>334885.97333333333</v>
      </c>
      <c r="BQ201" s="155">
        <f t="shared" si="101"/>
        <v>334885.97333333333</v>
      </c>
      <c r="BR201" s="158">
        <v>414856.5777777778</v>
      </c>
      <c r="BS201" s="155">
        <f t="shared" si="102"/>
        <v>414856.5777777778</v>
      </c>
      <c r="BT201" s="194">
        <v>509952.19022222218</v>
      </c>
      <c r="BU201" s="194"/>
      <c r="BV201" s="348">
        <f t="shared" si="107"/>
        <v>509952.19022222218</v>
      </c>
      <c r="BW201" s="195">
        <f t="shared" si="103"/>
        <v>627712.80000000005</v>
      </c>
      <c r="BX201" s="157">
        <f t="shared" si="108"/>
        <v>156928.20000000001</v>
      </c>
      <c r="BY201" s="157">
        <f>IF(E201*$CJ$10*'Year 7 Payments'!$L$20*IF(B201="",1,0.8)&lt;=(BW201-(J201*350)),E201*$CJ$10*'Year 7 Payments'!$L$20*IF(B201="",1,0.8),BW201-(IF(B201="",1,0.8)*J201*350))</f>
        <v>294446.14631822228</v>
      </c>
      <c r="BZ201" s="157">
        <f t="shared" si="109"/>
        <v>73611.53657955557</v>
      </c>
      <c r="CA201" s="157">
        <f t="shared" si="110"/>
        <v>333266.65368177777</v>
      </c>
      <c r="CB201" s="157">
        <f t="shared" si="111"/>
        <v>83316.663420444442</v>
      </c>
      <c r="CC201" s="157">
        <f t="shared" si="112"/>
        <v>1333066.6147271111</v>
      </c>
      <c r="CD201" s="201">
        <f t="shared" si="113"/>
        <v>333266.65368177777</v>
      </c>
      <c r="CE201" s="155">
        <f t="shared" si="114"/>
        <v>333266.65368177777</v>
      </c>
    </row>
    <row r="202" spans="1:83" x14ac:dyDescent="0.2">
      <c r="A202" s="147" t="s">
        <v>673</v>
      </c>
      <c r="B202" s="57" t="s">
        <v>503</v>
      </c>
      <c r="C202" s="57" t="s">
        <v>446</v>
      </c>
      <c r="D202" s="148" t="s">
        <v>230</v>
      </c>
      <c r="E202" s="197">
        <v>30668.000000000004</v>
      </c>
      <c r="F202" s="147">
        <f t="shared" si="104"/>
        <v>40058</v>
      </c>
      <c r="G202" s="342">
        <v>900</v>
      </c>
      <c r="H202" s="149">
        <f t="shared" si="89"/>
        <v>242</v>
      </c>
      <c r="I202" s="346">
        <v>69.661333333333332</v>
      </c>
      <c r="J202" s="150">
        <v>51</v>
      </c>
      <c r="K202"/>
      <c r="L202" s="151">
        <v>24750</v>
      </c>
      <c r="M202" s="151">
        <v>4565</v>
      </c>
      <c r="N202" s="151">
        <v>4318</v>
      </c>
      <c r="O202" s="151">
        <v>3165</v>
      </c>
      <c r="P202" s="151">
        <v>1746</v>
      </c>
      <c r="Q202" s="151">
        <v>947</v>
      </c>
      <c r="R202" s="151">
        <v>522</v>
      </c>
      <c r="S202" s="151">
        <v>45</v>
      </c>
      <c r="T202" s="151">
        <v>40058</v>
      </c>
      <c r="U202" s="147"/>
      <c r="V202" s="152">
        <f t="shared" si="105"/>
        <v>0.61785411153826952</v>
      </c>
      <c r="W202" s="152">
        <f t="shared" si="90"/>
        <v>0.11395975835039193</v>
      </c>
      <c r="X202" s="152">
        <f t="shared" si="91"/>
        <v>0.10779369913625243</v>
      </c>
      <c r="Y202" s="152">
        <f t="shared" si="92"/>
        <v>7.9010434869439317E-2</v>
      </c>
      <c r="Z202" s="152">
        <f t="shared" si="93"/>
        <v>4.3586799141245192E-2</v>
      </c>
      <c r="AA202" s="152">
        <f t="shared" si="94"/>
        <v>2.3640720954615807E-2</v>
      </c>
      <c r="AB202" s="152">
        <f t="shared" si="95"/>
        <v>1.3031104897898048E-2</v>
      </c>
      <c r="AC202" s="152">
        <f t="shared" si="96"/>
        <v>1.1233711118877627E-3</v>
      </c>
      <c r="AD202" s="152"/>
      <c r="AE202" s="221">
        <v>23</v>
      </c>
      <c r="AF202" s="221">
        <v>52</v>
      </c>
      <c r="AG202" s="221">
        <v>24</v>
      </c>
      <c r="AH202" s="221">
        <v>-3</v>
      </c>
      <c r="AI202" s="221">
        <v>6</v>
      </c>
      <c r="AJ202" s="221">
        <v>8</v>
      </c>
      <c r="AK202" s="221">
        <v>2</v>
      </c>
      <c r="AL202" s="221">
        <v>-1</v>
      </c>
      <c r="AM202" s="221">
        <v>111</v>
      </c>
      <c r="AN202" s="147"/>
      <c r="AO202" s="221">
        <v>-111</v>
      </c>
      <c r="AP202" s="221">
        <v>3</v>
      </c>
      <c r="AQ202" s="221">
        <v>-9</v>
      </c>
      <c r="AR202" s="221">
        <v>-1</v>
      </c>
      <c r="AS202" s="221">
        <v>-8</v>
      </c>
      <c r="AT202" s="221">
        <v>-5</v>
      </c>
      <c r="AU202" s="221">
        <v>1</v>
      </c>
      <c r="AV202" s="221">
        <v>-1</v>
      </c>
      <c r="AW202" s="221">
        <v>-131</v>
      </c>
      <c r="AX202" s="56">
        <f t="shared" si="88"/>
        <v>111</v>
      </c>
      <c r="AY202" s="56">
        <f t="shared" si="88"/>
        <v>-3</v>
      </c>
      <c r="AZ202" s="56">
        <f t="shared" si="88"/>
        <v>9</v>
      </c>
      <c r="BA202" s="56">
        <f t="shared" si="88"/>
        <v>1</v>
      </c>
      <c r="BB202" s="56">
        <f t="shared" si="88"/>
        <v>8</v>
      </c>
      <c r="BC202" s="56">
        <f t="shared" si="88"/>
        <v>5</v>
      </c>
      <c r="BD202" s="56">
        <f t="shared" si="115"/>
        <v>-1</v>
      </c>
      <c r="BE202" s="56">
        <f t="shared" si="115"/>
        <v>1</v>
      </c>
      <c r="BF202" s="56">
        <f t="shared" si="115"/>
        <v>131</v>
      </c>
      <c r="BH202">
        <f t="shared" si="97"/>
        <v>0.8</v>
      </c>
      <c r="BI202">
        <f t="shared" si="106"/>
        <v>0.19999999999999996</v>
      </c>
      <c r="BJ202" s="154">
        <v>101065.22666666667</v>
      </c>
      <c r="BK202" s="155">
        <f t="shared" si="98"/>
        <v>101065.22666666667</v>
      </c>
      <c r="BL202" s="156">
        <v>92126.549333333329</v>
      </c>
      <c r="BM202" s="155">
        <f t="shared" si="99"/>
        <v>92126.549333333329</v>
      </c>
      <c r="BN202" s="158">
        <v>179420.29600000006</v>
      </c>
      <c r="BO202" s="155">
        <f t="shared" si="100"/>
        <v>179420.29600000006</v>
      </c>
      <c r="BP202" s="158">
        <v>341458.45333333337</v>
      </c>
      <c r="BQ202" s="155">
        <f t="shared" si="101"/>
        <v>341458.45333333337</v>
      </c>
      <c r="BR202" s="158">
        <v>238138.80533333332</v>
      </c>
      <c r="BS202" s="155">
        <f t="shared" si="102"/>
        <v>238138.80533333332</v>
      </c>
      <c r="BT202" s="194">
        <v>136864.5848888889</v>
      </c>
      <c r="BU202" s="194"/>
      <c r="BV202" s="348">
        <f t="shared" si="107"/>
        <v>136864.5848888889</v>
      </c>
      <c r="BW202" s="195">
        <f t="shared" si="103"/>
        <v>249628.29866666664</v>
      </c>
      <c r="BX202" s="157">
        <f t="shared" si="108"/>
        <v>62407.07466666666</v>
      </c>
      <c r="BY202" s="157">
        <f>IF(E202*$CJ$10*'Year 7 Payments'!$L$20*IF(B202="",1,0.8)&lt;=(BW202-(J202*350)),E202*$CJ$10*'Year 7 Payments'!$L$20*IF(B202="",1,0.8),BW202-(IF(B202="",1,0.8)*J202*350))</f>
        <v>150107.34745600002</v>
      </c>
      <c r="BZ202" s="157">
        <f t="shared" si="109"/>
        <v>37526.836864000004</v>
      </c>
      <c r="CA202" s="157">
        <f t="shared" si="110"/>
        <v>99520.951210666623</v>
      </c>
      <c r="CB202" s="157">
        <f t="shared" si="111"/>
        <v>24880.237802666656</v>
      </c>
      <c r="CC202" s="157">
        <f t="shared" si="112"/>
        <v>398083.80484266649</v>
      </c>
      <c r="CD202" s="201">
        <f t="shared" si="113"/>
        <v>99520.951210666623</v>
      </c>
      <c r="CE202" s="155">
        <f t="shared" si="114"/>
        <v>99520.951210666623</v>
      </c>
    </row>
    <row r="203" spans="1:83" x14ac:dyDescent="0.2">
      <c r="A203" s="147" t="s">
        <v>674</v>
      </c>
      <c r="B203" s="57"/>
      <c r="C203" s="57" t="s">
        <v>459</v>
      </c>
      <c r="D203" s="148" t="s">
        <v>231</v>
      </c>
      <c r="E203" s="197">
        <v>66451.111111111109</v>
      </c>
      <c r="F203" s="147">
        <f t="shared" si="104"/>
        <v>82709</v>
      </c>
      <c r="G203" s="342">
        <v>588</v>
      </c>
      <c r="H203" s="149">
        <f t="shared" si="89"/>
        <v>975</v>
      </c>
      <c r="I203" s="346">
        <v>586.97333333333336</v>
      </c>
      <c r="J203" s="150">
        <v>147</v>
      </c>
      <c r="K203"/>
      <c r="L203" s="151">
        <v>34322</v>
      </c>
      <c r="M203" s="151">
        <v>20129</v>
      </c>
      <c r="N203" s="151">
        <v>13442</v>
      </c>
      <c r="O203" s="151">
        <v>7610</v>
      </c>
      <c r="P203" s="151">
        <v>4341</v>
      </c>
      <c r="Q203" s="151">
        <v>1863</v>
      </c>
      <c r="R203" s="151">
        <v>933</v>
      </c>
      <c r="S203" s="151">
        <v>69</v>
      </c>
      <c r="T203" s="151">
        <v>82709</v>
      </c>
      <c r="U203" s="147"/>
      <c r="V203" s="152">
        <f t="shared" si="105"/>
        <v>0.414972977547788</v>
      </c>
      <c r="W203" s="152">
        <f t="shared" si="90"/>
        <v>0.24337133806478134</v>
      </c>
      <c r="X203" s="152">
        <f t="shared" si="91"/>
        <v>0.16252161191647826</v>
      </c>
      <c r="Y203" s="152">
        <f t="shared" si="92"/>
        <v>9.2009333929802081E-2</v>
      </c>
      <c r="Z203" s="152">
        <f t="shared" si="93"/>
        <v>5.2485219262716272E-2</v>
      </c>
      <c r="AA203" s="152">
        <f t="shared" si="94"/>
        <v>2.2524755467966E-2</v>
      </c>
      <c r="AB203" s="152">
        <f t="shared" si="95"/>
        <v>1.1280513607950767E-2</v>
      </c>
      <c r="AC203" s="152">
        <f t="shared" si="96"/>
        <v>8.3425020251725929E-4</v>
      </c>
      <c r="AD203" s="152"/>
      <c r="AE203" s="221">
        <v>126</v>
      </c>
      <c r="AF203" s="221">
        <v>373</v>
      </c>
      <c r="AG203" s="221">
        <v>259</v>
      </c>
      <c r="AH203" s="221">
        <v>133</v>
      </c>
      <c r="AI203" s="221">
        <v>40</v>
      </c>
      <c r="AJ203" s="221">
        <v>27</v>
      </c>
      <c r="AK203" s="221">
        <v>11</v>
      </c>
      <c r="AL203" s="221">
        <v>2</v>
      </c>
      <c r="AM203" s="221">
        <v>971</v>
      </c>
      <c r="AN203" s="147"/>
      <c r="AO203" s="221">
        <v>10</v>
      </c>
      <c r="AP203" s="221">
        <v>-7</v>
      </c>
      <c r="AQ203" s="221">
        <v>-15</v>
      </c>
      <c r="AR203" s="221">
        <v>15</v>
      </c>
      <c r="AS203" s="221">
        <v>-10</v>
      </c>
      <c r="AT203" s="221">
        <v>7</v>
      </c>
      <c r="AU203" s="221">
        <v>-6</v>
      </c>
      <c r="AV203" s="221">
        <v>2</v>
      </c>
      <c r="AW203" s="221">
        <v>-4</v>
      </c>
      <c r="AX203" s="56">
        <f t="shared" si="88"/>
        <v>-10</v>
      </c>
      <c r="AY203" s="56">
        <f t="shared" si="88"/>
        <v>7</v>
      </c>
      <c r="AZ203" s="56">
        <f t="shared" si="88"/>
        <v>15</v>
      </c>
      <c r="BA203" s="56">
        <f t="shared" si="88"/>
        <v>-15</v>
      </c>
      <c r="BB203" s="56">
        <f t="shared" si="88"/>
        <v>10</v>
      </c>
      <c r="BC203" s="56">
        <f t="shared" si="88"/>
        <v>-7</v>
      </c>
      <c r="BD203" s="56">
        <f t="shared" si="115"/>
        <v>6</v>
      </c>
      <c r="BE203" s="56">
        <f t="shared" si="115"/>
        <v>-2</v>
      </c>
      <c r="BF203" s="56">
        <f t="shared" si="115"/>
        <v>4</v>
      </c>
      <c r="BH203">
        <f t="shared" si="97"/>
        <v>1</v>
      </c>
      <c r="BI203">
        <f t="shared" si="106"/>
        <v>0</v>
      </c>
      <c r="BJ203" s="154">
        <v>1112996.8</v>
      </c>
      <c r="BK203" s="155">
        <f t="shared" si="98"/>
        <v>1112996.8</v>
      </c>
      <c r="BL203" s="156">
        <v>1190402.8355555553</v>
      </c>
      <c r="BM203" s="155">
        <f t="shared" si="99"/>
        <v>1190402.8355555553</v>
      </c>
      <c r="BN203" s="158">
        <v>1135406.9455555556</v>
      </c>
      <c r="BO203" s="155">
        <f t="shared" si="100"/>
        <v>1135406.9455555556</v>
      </c>
      <c r="BP203" s="158">
        <v>1304684.6666666665</v>
      </c>
      <c r="BQ203" s="155">
        <f t="shared" si="101"/>
        <v>1304684.6666666665</v>
      </c>
      <c r="BR203" s="158">
        <v>1591778.7844444443</v>
      </c>
      <c r="BS203" s="155">
        <f t="shared" si="102"/>
        <v>1591778.7844444443</v>
      </c>
      <c r="BT203" s="194">
        <v>1566369.9333333333</v>
      </c>
      <c r="BU203" s="194"/>
      <c r="BV203" s="348">
        <f t="shared" si="107"/>
        <v>1566369.9333333333</v>
      </c>
      <c r="BW203" s="195">
        <f t="shared" si="103"/>
        <v>1355824.7777777778</v>
      </c>
      <c r="BX203" s="157" t="str">
        <f t="shared" si="108"/>
        <v>0</v>
      </c>
      <c r="BY203" s="157">
        <f>IF(E203*$CJ$10*'Year 7 Payments'!$L$20*IF(B203="",1,0.8)&lt;=(BW203-(J203*350)),E203*$CJ$10*'Year 7 Payments'!$L$20*IF(B203="",1,0.8),BW203-(IF(B203="",1,0.8)*J203*350))</f>
        <v>406563.84604444448</v>
      </c>
      <c r="BZ203" s="157" t="str">
        <f t="shared" si="109"/>
        <v>0</v>
      </c>
      <c r="CA203" s="157">
        <f t="shared" si="110"/>
        <v>949260.93173333327</v>
      </c>
      <c r="CB203" s="157">
        <f t="shared" si="111"/>
        <v>0</v>
      </c>
      <c r="CC203" s="157">
        <f t="shared" si="112"/>
        <v>3797043.7269333331</v>
      </c>
      <c r="CD203" s="201">
        <f t="shared" si="113"/>
        <v>0</v>
      </c>
      <c r="CE203" s="155">
        <f t="shared" si="114"/>
        <v>949260.93173333327</v>
      </c>
    </row>
    <row r="204" spans="1:83" x14ac:dyDescent="0.2">
      <c r="A204" s="147" t="s">
        <v>675</v>
      </c>
      <c r="B204" s="57"/>
      <c r="C204" s="57" t="s">
        <v>472</v>
      </c>
      <c r="D204" s="148" t="s">
        <v>232</v>
      </c>
      <c r="E204" s="197">
        <v>93880.555555555547</v>
      </c>
      <c r="F204" s="147">
        <f t="shared" si="104"/>
        <v>118519</v>
      </c>
      <c r="G204" s="342">
        <v>678</v>
      </c>
      <c r="H204" s="149">
        <f t="shared" si="89"/>
        <v>1237</v>
      </c>
      <c r="I204" s="346">
        <v>690.2555555555557</v>
      </c>
      <c r="J204" s="150">
        <v>321</v>
      </c>
      <c r="K204"/>
      <c r="L204" s="151">
        <v>47103</v>
      </c>
      <c r="M204" s="151">
        <v>32153</v>
      </c>
      <c r="N204" s="151">
        <v>22488</v>
      </c>
      <c r="O204" s="151">
        <v>9539</v>
      </c>
      <c r="P204" s="151">
        <v>4854</v>
      </c>
      <c r="Q204" s="151">
        <v>1722</v>
      </c>
      <c r="R204" s="151">
        <v>600</v>
      </c>
      <c r="S204" s="151">
        <v>60</v>
      </c>
      <c r="T204" s="151">
        <v>118519</v>
      </c>
      <c r="U204" s="147"/>
      <c r="V204" s="152">
        <f t="shared" si="105"/>
        <v>0.39742994794083647</v>
      </c>
      <c r="W204" s="152">
        <f t="shared" si="90"/>
        <v>0.27128983538504375</v>
      </c>
      <c r="X204" s="152">
        <f t="shared" si="91"/>
        <v>0.18974172917422524</v>
      </c>
      <c r="Y204" s="152">
        <f t="shared" si="92"/>
        <v>8.0484985529746284E-2</v>
      </c>
      <c r="Z204" s="152">
        <f t="shared" si="93"/>
        <v>4.0955458618449361E-2</v>
      </c>
      <c r="AA204" s="152">
        <f t="shared" si="94"/>
        <v>1.4529315974653853E-2</v>
      </c>
      <c r="AB204" s="152">
        <f t="shared" si="95"/>
        <v>5.0624794336773006E-3</v>
      </c>
      <c r="AC204" s="152">
        <f t="shared" si="96"/>
        <v>5.062479433677301E-4</v>
      </c>
      <c r="AD204" s="152"/>
      <c r="AE204" s="221">
        <v>270</v>
      </c>
      <c r="AF204" s="221">
        <v>277</v>
      </c>
      <c r="AG204" s="221">
        <v>271</v>
      </c>
      <c r="AH204" s="221">
        <v>223</v>
      </c>
      <c r="AI204" s="221">
        <v>84</v>
      </c>
      <c r="AJ204" s="221">
        <v>36</v>
      </c>
      <c r="AK204" s="221">
        <v>9</v>
      </c>
      <c r="AL204" s="221">
        <v>1</v>
      </c>
      <c r="AM204" s="221">
        <v>1171</v>
      </c>
      <c r="AN204" s="147"/>
      <c r="AO204" s="221">
        <v>-75</v>
      </c>
      <c r="AP204" s="221">
        <v>-23</v>
      </c>
      <c r="AQ204" s="221">
        <v>6</v>
      </c>
      <c r="AR204" s="221">
        <v>22</v>
      </c>
      <c r="AS204" s="221">
        <v>2</v>
      </c>
      <c r="AT204" s="221">
        <v>0</v>
      </c>
      <c r="AU204" s="221">
        <v>2</v>
      </c>
      <c r="AV204" s="221">
        <v>0</v>
      </c>
      <c r="AW204" s="221">
        <v>-66</v>
      </c>
      <c r="AX204" s="56">
        <f t="shared" si="88"/>
        <v>75</v>
      </c>
      <c r="AY204" s="56">
        <f t="shared" si="88"/>
        <v>23</v>
      </c>
      <c r="AZ204" s="56">
        <f t="shared" si="88"/>
        <v>-6</v>
      </c>
      <c r="BA204" s="56">
        <f t="shared" si="88"/>
        <v>-22</v>
      </c>
      <c r="BB204" s="56">
        <f t="shared" si="88"/>
        <v>-2</v>
      </c>
      <c r="BC204" s="56">
        <f t="shared" si="88"/>
        <v>0</v>
      </c>
      <c r="BD204" s="56">
        <f t="shared" si="115"/>
        <v>-2</v>
      </c>
      <c r="BE204" s="56">
        <f t="shared" si="115"/>
        <v>0</v>
      </c>
      <c r="BF204" s="56">
        <f t="shared" si="115"/>
        <v>66</v>
      </c>
      <c r="BH204">
        <f t="shared" si="97"/>
        <v>1</v>
      </c>
      <c r="BI204">
        <f t="shared" si="106"/>
        <v>0</v>
      </c>
      <c r="BJ204" s="154">
        <v>832348.9</v>
      </c>
      <c r="BK204" s="155">
        <f t="shared" si="98"/>
        <v>832348.9</v>
      </c>
      <c r="BL204" s="156">
        <v>705681.62777777785</v>
      </c>
      <c r="BM204" s="155">
        <f t="shared" si="99"/>
        <v>705681.62777777785</v>
      </c>
      <c r="BN204" s="158">
        <v>867951.92111111106</v>
      </c>
      <c r="BO204" s="155">
        <f t="shared" si="100"/>
        <v>867951.92111111106</v>
      </c>
      <c r="BP204" s="158">
        <v>1188758.6666666667</v>
      </c>
      <c r="BQ204" s="155">
        <f t="shared" si="101"/>
        <v>1188758.6666666667</v>
      </c>
      <c r="BR204" s="158">
        <v>601820.00666666671</v>
      </c>
      <c r="BS204" s="155">
        <f t="shared" si="102"/>
        <v>601820.00666666671</v>
      </c>
      <c r="BT204" s="194">
        <v>1319549.9955555552</v>
      </c>
      <c r="BU204" s="194"/>
      <c r="BV204" s="348">
        <f t="shared" si="107"/>
        <v>1319549.9955555552</v>
      </c>
      <c r="BW204" s="195">
        <f t="shared" si="103"/>
        <v>1742521.0577777775</v>
      </c>
      <c r="BX204" s="157" t="str">
        <f t="shared" si="108"/>
        <v>0</v>
      </c>
      <c r="BY204" s="157">
        <f>IF(E204*$CJ$10*'Year 7 Payments'!$L$20*IF(B204="",1,0.8)&lt;=(BW204-(J204*350)),E204*$CJ$10*'Year 7 Payments'!$L$20*IF(B204="",1,0.8),BW204-(IF(B204="",1,0.8)*J204*350))</f>
        <v>574383.7702222222</v>
      </c>
      <c r="BZ204" s="157" t="str">
        <f t="shared" si="109"/>
        <v>0</v>
      </c>
      <c r="CA204" s="157">
        <f t="shared" si="110"/>
        <v>1168137.2875555553</v>
      </c>
      <c r="CB204" s="157">
        <f t="shared" si="111"/>
        <v>0</v>
      </c>
      <c r="CC204" s="157">
        <f t="shared" si="112"/>
        <v>4672549.1502222214</v>
      </c>
      <c r="CD204" s="201">
        <f t="shared" si="113"/>
        <v>0</v>
      </c>
      <c r="CE204" s="155">
        <f t="shared" si="114"/>
        <v>1168137.2875555553</v>
      </c>
    </row>
    <row r="205" spans="1:83" x14ac:dyDescent="0.2">
      <c r="A205" s="147" t="s">
        <v>676</v>
      </c>
      <c r="B205" s="57"/>
      <c r="C205" s="57" t="s">
        <v>472</v>
      </c>
      <c r="D205" s="148" t="s">
        <v>233</v>
      </c>
      <c r="E205" s="197">
        <v>67284.777777777781</v>
      </c>
      <c r="F205" s="147">
        <f t="shared" si="104"/>
        <v>68056</v>
      </c>
      <c r="G205" s="342">
        <v>462</v>
      </c>
      <c r="H205" s="149">
        <f t="shared" si="89"/>
        <v>76</v>
      </c>
      <c r="I205" s="346">
        <v>0</v>
      </c>
      <c r="J205" s="150">
        <v>18</v>
      </c>
      <c r="K205"/>
      <c r="L205" s="151">
        <v>4908</v>
      </c>
      <c r="M205" s="151">
        <v>12010</v>
      </c>
      <c r="N205" s="151">
        <v>22699</v>
      </c>
      <c r="O205" s="151">
        <v>12286</v>
      </c>
      <c r="P205" s="151">
        <v>8075</v>
      </c>
      <c r="Q205" s="151">
        <v>3937</v>
      </c>
      <c r="R205" s="151">
        <v>3170</v>
      </c>
      <c r="S205" s="151">
        <v>971</v>
      </c>
      <c r="T205" s="151">
        <v>68056</v>
      </c>
      <c r="U205" s="147"/>
      <c r="V205" s="152">
        <f t="shared" si="105"/>
        <v>7.2117080051722113E-2</v>
      </c>
      <c r="W205" s="152">
        <f t="shared" si="90"/>
        <v>0.17647231691548138</v>
      </c>
      <c r="X205" s="152">
        <f t="shared" si="91"/>
        <v>0.33353414834841894</v>
      </c>
      <c r="Y205" s="152">
        <f t="shared" si="92"/>
        <v>0.18052780063477136</v>
      </c>
      <c r="Z205" s="152">
        <f t="shared" si="93"/>
        <v>0.11865228635241566</v>
      </c>
      <c r="AA205" s="152">
        <f t="shared" si="94"/>
        <v>5.7849418126248969E-2</v>
      </c>
      <c r="AB205" s="152">
        <f t="shared" si="95"/>
        <v>4.657928764546844E-2</v>
      </c>
      <c r="AC205" s="152">
        <f t="shared" si="96"/>
        <v>1.426766192547314E-2</v>
      </c>
      <c r="AD205" s="152"/>
      <c r="AE205" s="221">
        <v>48</v>
      </c>
      <c r="AF205" s="221">
        <v>18</v>
      </c>
      <c r="AG205" s="221">
        <v>28</v>
      </c>
      <c r="AH205" s="221">
        <v>89</v>
      </c>
      <c r="AI205" s="221">
        <v>14</v>
      </c>
      <c r="AJ205" s="221">
        <v>4</v>
      </c>
      <c r="AK205" s="221">
        <v>30</v>
      </c>
      <c r="AL205" s="221">
        <v>19</v>
      </c>
      <c r="AM205" s="221">
        <v>250</v>
      </c>
      <c r="AN205" s="147"/>
      <c r="AO205" s="221">
        <v>25</v>
      </c>
      <c r="AP205" s="221">
        <v>21</v>
      </c>
      <c r="AQ205" s="221">
        <v>45</v>
      </c>
      <c r="AR205" s="221">
        <v>38</v>
      </c>
      <c r="AS205" s="221">
        <v>3</v>
      </c>
      <c r="AT205" s="221">
        <v>16</v>
      </c>
      <c r="AU205" s="221">
        <v>17</v>
      </c>
      <c r="AV205" s="221">
        <v>9</v>
      </c>
      <c r="AW205" s="221">
        <v>174</v>
      </c>
      <c r="AX205" s="56">
        <f t="shared" si="88"/>
        <v>-25</v>
      </c>
      <c r="AY205" s="56">
        <f t="shared" si="88"/>
        <v>-21</v>
      </c>
      <c r="AZ205" s="56">
        <f t="shared" si="88"/>
        <v>-45</v>
      </c>
      <c r="BA205" s="56">
        <f t="shared" si="88"/>
        <v>-38</v>
      </c>
      <c r="BB205" s="56">
        <f t="shared" si="88"/>
        <v>-3</v>
      </c>
      <c r="BC205" s="56">
        <f t="shared" si="88"/>
        <v>-16</v>
      </c>
      <c r="BD205" s="56">
        <f t="shared" si="115"/>
        <v>-17</v>
      </c>
      <c r="BE205" s="56">
        <f t="shared" si="115"/>
        <v>-9</v>
      </c>
      <c r="BF205" s="56">
        <f t="shared" si="115"/>
        <v>-174</v>
      </c>
      <c r="BH205">
        <f t="shared" si="97"/>
        <v>1</v>
      </c>
      <c r="BI205">
        <f t="shared" si="106"/>
        <v>0</v>
      </c>
      <c r="BJ205" s="154">
        <v>505965.78666666662</v>
      </c>
      <c r="BK205" s="155">
        <f t="shared" si="98"/>
        <v>505965.78666666662</v>
      </c>
      <c r="BL205" s="156">
        <v>529142.42333333334</v>
      </c>
      <c r="BM205" s="155">
        <f t="shared" si="99"/>
        <v>529142.42333333334</v>
      </c>
      <c r="BN205" s="158">
        <v>420299.99444444448</v>
      </c>
      <c r="BO205" s="155">
        <f t="shared" si="100"/>
        <v>420299.99444444448</v>
      </c>
      <c r="BP205" s="158">
        <v>479845.06666666665</v>
      </c>
      <c r="BQ205" s="155">
        <f t="shared" si="101"/>
        <v>479845.06666666665</v>
      </c>
      <c r="BR205" s="158">
        <v>602456.25555555557</v>
      </c>
      <c r="BS205" s="155">
        <f t="shared" si="102"/>
        <v>602456.25555555557</v>
      </c>
      <c r="BT205" s="194">
        <v>609864.00222222228</v>
      </c>
      <c r="BU205" s="194"/>
      <c r="BV205" s="348">
        <f t="shared" si="107"/>
        <v>609864.00222222228</v>
      </c>
      <c r="BW205" s="195">
        <f t="shared" si="103"/>
        <v>138861.86666666676</v>
      </c>
      <c r="BX205" s="157" t="str">
        <f t="shared" si="108"/>
        <v>0</v>
      </c>
      <c r="BY205" s="157">
        <f>IF(E205*$CJ$10*'Year 7 Payments'!$L$20*IF(B205="",1,0.8)&lt;=(BW205-(J205*350)),E205*$CJ$10*'Year 7 Payments'!$L$20*IF(B205="",1,0.8),BW205-(IF(B205="",1,0.8)*J205*350))</f>
        <v>132561.86666666676</v>
      </c>
      <c r="BZ205" s="157" t="str">
        <f t="shared" si="109"/>
        <v>0</v>
      </c>
      <c r="CA205" s="157">
        <f t="shared" si="110"/>
        <v>6300</v>
      </c>
      <c r="CB205" s="157">
        <f t="shared" si="111"/>
        <v>0</v>
      </c>
      <c r="CC205" s="157">
        <f t="shared" si="112"/>
        <v>25200</v>
      </c>
      <c r="CD205" s="201">
        <f t="shared" si="113"/>
        <v>0</v>
      </c>
      <c r="CE205" s="155">
        <f t="shared" si="114"/>
        <v>6300</v>
      </c>
    </row>
    <row r="206" spans="1:83" x14ac:dyDescent="0.2">
      <c r="A206" s="147" t="s">
        <v>677</v>
      </c>
      <c r="B206" s="57"/>
      <c r="C206" s="57" t="s">
        <v>443</v>
      </c>
      <c r="D206" s="148" t="s">
        <v>234</v>
      </c>
      <c r="E206" s="197">
        <v>73505</v>
      </c>
      <c r="F206" s="147">
        <f t="shared" si="104"/>
        <v>90193</v>
      </c>
      <c r="G206" s="342">
        <v>531</v>
      </c>
      <c r="H206" s="149">
        <f t="shared" si="89"/>
        <v>674</v>
      </c>
      <c r="I206" s="346">
        <v>267.0911111111111</v>
      </c>
      <c r="J206" s="150">
        <v>114</v>
      </c>
      <c r="K206"/>
      <c r="L206" s="151">
        <v>25092</v>
      </c>
      <c r="M206" s="151">
        <v>31379</v>
      </c>
      <c r="N206" s="151">
        <v>21641</v>
      </c>
      <c r="O206" s="151">
        <v>6038</v>
      </c>
      <c r="P206" s="151">
        <v>3685</v>
      </c>
      <c r="Q206" s="151">
        <v>1634</v>
      </c>
      <c r="R206" s="151">
        <v>660</v>
      </c>
      <c r="S206" s="151">
        <v>64</v>
      </c>
      <c r="T206" s="151">
        <v>90193</v>
      </c>
      <c r="U206" s="147"/>
      <c r="V206" s="152">
        <f t="shared" si="105"/>
        <v>0.27820340824675971</v>
      </c>
      <c r="W206" s="152">
        <f t="shared" si="90"/>
        <v>0.34790948299757185</v>
      </c>
      <c r="X206" s="152">
        <f t="shared" si="91"/>
        <v>0.23994101537813356</v>
      </c>
      <c r="Y206" s="152">
        <f t="shared" si="92"/>
        <v>6.6945328351424166E-2</v>
      </c>
      <c r="Z206" s="152">
        <f t="shared" si="93"/>
        <v>4.0856829243954632E-2</v>
      </c>
      <c r="AA206" s="152">
        <f t="shared" si="94"/>
        <v>1.8116705287550033E-2</v>
      </c>
      <c r="AB206" s="152">
        <f t="shared" si="95"/>
        <v>7.3176410586187398E-3</v>
      </c>
      <c r="AC206" s="152">
        <f t="shared" si="96"/>
        <v>7.0958943598727173E-4</v>
      </c>
      <c r="AD206" s="152"/>
      <c r="AE206" s="221">
        <v>124</v>
      </c>
      <c r="AF206" s="221">
        <v>72</v>
      </c>
      <c r="AG206" s="221">
        <v>157</v>
      </c>
      <c r="AH206" s="221">
        <v>31</v>
      </c>
      <c r="AI206" s="221">
        <v>43</v>
      </c>
      <c r="AJ206" s="221">
        <v>13</v>
      </c>
      <c r="AK206" s="221">
        <v>0</v>
      </c>
      <c r="AL206" s="221">
        <v>0</v>
      </c>
      <c r="AM206" s="221">
        <v>440</v>
      </c>
      <c r="AN206" s="147"/>
      <c r="AO206" s="221">
        <v>-107</v>
      </c>
      <c r="AP206" s="221">
        <v>-77</v>
      </c>
      <c r="AQ206" s="221">
        <v>-43</v>
      </c>
      <c r="AR206" s="221">
        <v>1</v>
      </c>
      <c r="AS206" s="221">
        <v>-4</v>
      </c>
      <c r="AT206" s="221">
        <v>1</v>
      </c>
      <c r="AU206" s="221">
        <v>-4</v>
      </c>
      <c r="AV206" s="221">
        <v>-1</v>
      </c>
      <c r="AW206" s="221">
        <v>-234</v>
      </c>
      <c r="AX206" s="56">
        <f t="shared" si="88"/>
        <v>107</v>
      </c>
      <c r="AY206" s="56">
        <f t="shared" si="88"/>
        <v>77</v>
      </c>
      <c r="AZ206" s="56">
        <f t="shared" si="88"/>
        <v>43</v>
      </c>
      <c r="BA206" s="56">
        <f t="shared" si="88"/>
        <v>-1</v>
      </c>
      <c r="BB206" s="56">
        <f t="shared" si="88"/>
        <v>4</v>
      </c>
      <c r="BC206" s="56">
        <f t="shared" si="88"/>
        <v>-1</v>
      </c>
      <c r="BD206" s="56">
        <f t="shared" si="115"/>
        <v>4</v>
      </c>
      <c r="BE206" s="56">
        <f t="shared" si="115"/>
        <v>1</v>
      </c>
      <c r="BF206" s="56">
        <f t="shared" si="115"/>
        <v>234</v>
      </c>
      <c r="BH206">
        <f t="shared" si="97"/>
        <v>1</v>
      </c>
      <c r="BI206">
        <f t="shared" si="106"/>
        <v>0</v>
      </c>
      <c r="BJ206" s="154">
        <v>333899.03999999998</v>
      </c>
      <c r="BK206" s="155">
        <f t="shared" si="98"/>
        <v>333899.03999999998</v>
      </c>
      <c r="BL206" s="156">
        <v>963477.9</v>
      </c>
      <c r="BM206" s="155">
        <f t="shared" si="99"/>
        <v>963477.9</v>
      </c>
      <c r="BN206" s="158">
        <v>474734.46888888889</v>
      </c>
      <c r="BO206" s="155">
        <f t="shared" si="100"/>
        <v>474734.46888888889</v>
      </c>
      <c r="BP206" s="158">
        <v>322435.46666666667</v>
      </c>
      <c r="BQ206" s="155">
        <f t="shared" si="101"/>
        <v>322435.46666666667</v>
      </c>
      <c r="BR206" s="158">
        <v>534367.42444444448</v>
      </c>
      <c r="BS206" s="155">
        <f t="shared" si="102"/>
        <v>534367.42444444448</v>
      </c>
      <c r="BT206" s="194">
        <v>583916.55777777778</v>
      </c>
      <c r="BU206" s="194"/>
      <c r="BV206" s="348">
        <f t="shared" si="107"/>
        <v>583916.55777777778</v>
      </c>
      <c r="BW206" s="195">
        <f t="shared" si="103"/>
        <v>898153.11111111124</v>
      </c>
      <c r="BX206" s="157" t="str">
        <f t="shared" si="108"/>
        <v>0</v>
      </c>
      <c r="BY206" s="157">
        <f>IF(E206*$CJ$10*'Year 7 Payments'!$L$20*IF(B206="",1,0.8)&lt;=(BW206-(J206*350)),E206*$CJ$10*'Year 7 Payments'!$L$20*IF(B206="",1,0.8),BW206-(IF(B206="",1,0.8)*J206*350))</f>
        <v>449721.23119999998</v>
      </c>
      <c r="BZ206" s="157" t="str">
        <f t="shared" si="109"/>
        <v>0</v>
      </c>
      <c r="CA206" s="157">
        <f t="shared" si="110"/>
        <v>448431.87991111126</v>
      </c>
      <c r="CB206" s="157">
        <f t="shared" si="111"/>
        <v>0</v>
      </c>
      <c r="CC206" s="157">
        <f t="shared" si="112"/>
        <v>1793727.519644445</v>
      </c>
      <c r="CD206" s="201">
        <f t="shared" si="113"/>
        <v>0</v>
      </c>
      <c r="CE206" s="155">
        <f t="shared" si="114"/>
        <v>448431.87991111126</v>
      </c>
    </row>
    <row r="207" spans="1:83" x14ac:dyDescent="0.2">
      <c r="A207" s="147" t="s">
        <v>678</v>
      </c>
      <c r="B207" s="57" t="s">
        <v>503</v>
      </c>
      <c r="C207" s="57" t="s">
        <v>446</v>
      </c>
      <c r="D207" s="148" t="s">
        <v>235</v>
      </c>
      <c r="E207" s="197">
        <v>49084.888888888891</v>
      </c>
      <c r="F207" s="147">
        <f t="shared" si="104"/>
        <v>61903</v>
      </c>
      <c r="G207" s="342">
        <v>990</v>
      </c>
      <c r="H207" s="149">
        <f t="shared" si="89"/>
        <v>521</v>
      </c>
      <c r="I207" s="346">
        <v>240.21599999999992</v>
      </c>
      <c r="J207" s="150">
        <v>83</v>
      </c>
      <c r="K207"/>
      <c r="L207" s="151">
        <v>28844</v>
      </c>
      <c r="M207" s="151">
        <v>12195</v>
      </c>
      <c r="N207" s="151">
        <v>9651</v>
      </c>
      <c r="O207" s="151">
        <v>6365</v>
      </c>
      <c r="P207" s="151">
        <v>2565</v>
      </c>
      <c r="Q207" s="151">
        <v>1325</v>
      </c>
      <c r="R207" s="151">
        <v>899</v>
      </c>
      <c r="S207" s="151">
        <v>59</v>
      </c>
      <c r="T207" s="151">
        <v>61903</v>
      </c>
      <c r="U207" s="147"/>
      <c r="V207" s="152">
        <f t="shared" si="105"/>
        <v>0.4659548002520072</v>
      </c>
      <c r="W207" s="152">
        <f t="shared" si="90"/>
        <v>0.19700176081934639</v>
      </c>
      <c r="X207" s="152">
        <f t="shared" si="91"/>
        <v>0.15590520653280132</v>
      </c>
      <c r="Y207" s="152">
        <f t="shared" si="92"/>
        <v>0.10282215724601393</v>
      </c>
      <c r="Z207" s="152">
        <f t="shared" si="93"/>
        <v>4.1435794711080241E-2</v>
      </c>
      <c r="AA207" s="152">
        <f t="shared" si="94"/>
        <v>2.1404455357575562E-2</v>
      </c>
      <c r="AB207" s="152">
        <f t="shared" si="95"/>
        <v>1.4522721031290891E-2</v>
      </c>
      <c r="AC207" s="152">
        <f t="shared" si="96"/>
        <v>9.5310404988449668E-4</v>
      </c>
      <c r="AD207" s="152"/>
      <c r="AE207" s="221">
        <v>363</v>
      </c>
      <c r="AF207" s="221">
        <v>60</v>
      </c>
      <c r="AG207" s="221">
        <v>38</v>
      </c>
      <c r="AH207" s="221">
        <v>71</v>
      </c>
      <c r="AI207" s="221">
        <v>66</v>
      </c>
      <c r="AJ207" s="221">
        <v>35</v>
      </c>
      <c r="AK207" s="221">
        <v>11</v>
      </c>
      <c r="AL207" s="221">
        <v>1</v>
      </c>
      <c r="AM207" s="221">
        <v>645</v>
      </c>
      <c r="AN207" s="147"/>
      <c r="AO207" s="221">
        <v>55</v>
      </c>
      <c r="AP207" s="221">
        <v>27</v>
      </c>
      <c r="AQ207" s="221">
        <v>4</v>
      </c>
      <c r="AR207" s="221">
        <v>21</v>
      </c>
      <c r="AS207" s="221">
        <v>1</v>
      </c>
      <c r="AT207" s="221">
        <v>9</v>
      </c>
      <c r="AU207" s="221">
        <v>6</v>
      </c>
      <c r="AV207" s="221">
        <v>1</v>
      </c>
      <c r="AW207" s="221">
        <v>124</v>
      </c>
      <c r="AX207" s="56">
        <f t="shared" si="88"/>
        <v>-55</v>
      </c>
      <c r="AY207" s="56">
        <f t="shared" si="88"/>
        <v>-27</v>
      </c>
      <c r="AZ207" s="56">
        <f t="shared" si="88"/>
        <v>-4</v>
      </c>
      <c r="BA207" s="56">
        <f t="shared" si="88"/>
        <v>-21</v>
      </c>
      <c r="BB207" s="56">
        <f t="shared" si="88"/>
        <v>-1</v>
      </c>
      <c r="BC207" s="56">
        <f t="shared" si="88"/>
        <v>-9</v>
      </c>
      <c r="BD207" s="56">
        <f t="shared" si="115"/>
        <v>-6</v>
      </c>
      <c r="BE207" s="56">
        <f t="shared" si="115"/>
        <v>-1</v>
      </c>
      <c r="BF207" s="56">
        <f t="shared" si="115"/>
        <v>-124</v>
      </c>
      <c r="BH207">
        <f t="shared" si="97"/>
        <v>0.8</v>
      </c>
      <c r="BI207">
        <f t="shared" si="106"/>
        <v>0.19999999999999996</v>
      </c>
      <c r="BJ207" s="154">
        <v>38251.26933333333</v>
      </c>
      <c r="BK207" s="155">
        <f t="shared" si="98"/>
        <v>38251.26933333333</v>
      </c>
      <c r="BL207" s="156">
        <v>233604.56177777774</v>
      </c>
      <c r="BM207" s="155">
        <f t="shared" si="99"/>
        <v>233604.56177777774</v>
      </c>
      <c r="BN207" s="158">
        <v>126131.85333333335</v>
      </c>
      <c r="BO207" s="155">
        <f t="shared" si="100"/>
        <v>126131.85333333335</v>
      </c>
      <c r="BP207" s="158">
        <v>463341.65333333332</v>
      </c>
      <c r="BQ207" s="155">
        <f t="shared" si="101"/>
        <v>463341.65333333332</v>
      </c>
      <c r="BR207" s="158">
        <v>99670.261333333343</v>
      </c>
      <c r="BS207" s="155">
        <f t="shared" si="102"/>
        <v>99670.261333333343</v>
      </c>
      <c r="BT207" s="194">
        <v>372638.21155555558</v>
      </c>
      <c r="BU207" s="194"/>
      <c r="BV207" s="348">
        <f t="shared" si="107"/>
        <v>372638.21155555558</v>
      </c>
      <c r="BW207" s="195">
        <f t="shared" si="103"/>
        <v>557430.33244444453</v>
      </c>
      <c r="BX207" s="157">
        <f t="shared" si="108"/>
        <v>139357.58311111113</v>
      </c>
      <c r="BY207" s="157">
        <f>IF(E207*$CJ$10*'Year 7 Payments'!$L$20*IF(B207="",1,0.8)&lt;=(BW207-(J207*350)),E207*$CJ$10*'Year 7 Payments'!$L$20*IF(B207="",1,0.8),BW207-(IF(B207="",1,0.8)*J207*350))</f>
        <v>240250.50447644445</v>
      </c>
      <c r="BZ207" s="157">
        <f t="shared" si="109"/>
        <v>60062.626119111112</v>
      </c>
      <c r="CA207" s="157">
        <f t="shared" si="110"/>
        <v>317179.82796800009</v>
      </c>
      <c r="CB207" s="157">
        <f t="shared" si="111"/>
        <v>79294.956992000021</v>
      </c>
      <c r="CC207" s="157">
        <f t="shared" si="112"/>
        <v>1268719.3118720003</v>
      </c>
      <c r="CD207" s="201">
        <f t="shared" si="113"/>
        <v>317179.82796800009</v>
      </c>
      <c r="CE207" s="155">
        <f t="shared" si="114"/>
        <v>317179.82796800009</v>
      </c>
    </row>
    <row r="208" spans="1:83" x14ac:dyDescent="0.2">
      <c r="A208" s="147" t="s">
        <v>679</v>
      </c>
      <c r="B208" s="57" t="s">
        <v>528</v>
      </c>
      <c r="C208" s="57" t="s">
        <v>472</v>
      </c>
      <c r="D208" s="148" t="s">
        <v>236</v>
      </c>
      <c r="E208" s="197">
        <v>22508.000000000004</v>
      </c>
      <c r="F208" s="147">
        <f t="shared" si="104"/>
        <v>22335</v>
      </c>
      <c r="G208" s="342">
        <v>149</v>
      </c>
      <c r="H208" s="149">
        <f t="shared" si="89"/>
        <v>101</v>
      </c>
      <c r="I208" s="346">
        <v>17.079111111111104</v>
      </c>
      <c r="J208" s="150">
        <v>53</v>
      </c>
      <c r="K208"/>
      <c r="L208" s="151">
        <v>1441</v>
      </c>
      <c r="M208" s="151">
        <v>2868</v>
      </c>
      <c r="N208" s="151">
        <v>6942</v>
      </c>
      <c r="O208" s="151">
        <v>4924</v>
      </c>
      <c r="P208" s="151">
        <v>3175</v>
      </c>
      <c r="Q208" s="151">
        <v>1836</v>
      </c>
      <c r="R208" s="151">
        <v>1050</v>
      </c>
      <c r="S208" s="151">
        <v>99</v>
      </c>
      <c r="T208" s="151">
        <v>22335</v>
      </c>
      <c r="U208" s="147"/>
      <c r="V208" s="152">
        <f t="shared" si="105"/>
        <v>6.4517573315424223E-2</v>
      </c>
      <c r="W208" s="152">
        <f t="shared" si="90"/>
        <v>0.12840832773673608</v>
      </c>
      <c r="X208" s="152">
        <f t="shared" si="91"/>
        <v>0.31081262592343856</v>
      </c>
      <c r="Y208" s="152">
        <f t="shared" si="92"/>
        <v>0.22046115961495411</v>
      </c>
      <c r="Z208" s="152">
        <f t="shared" si="93"/>
        <v>0.14215357062905754</v>
      </c>
      <c r="AA208" s="152">
        <f t="shared" si="94"/>
        <v>8.2202820685023506E-2</v>
      </c>
      <c r="AB208" s="152">
        <f t="shared" si="95"/>
        <v>4.7011417058428477E-2</v>
      </c>
      <c r="AC208" s="152">
        <f t="shared" si="96"/>
        <v>4.4325050369375422E-3</v>
      </c>
      <c r="AD208" s="152"/>
      <c r="AE208" s="221">
        <v>28</v>
      </c>
      <c r="AF208" s="221">
        <v>20</v>
      </c>
      <c r="AG208" s="221">
        <v>20</v>
      </c>
      <c r="AH208" s="221">
        <v>2</v>
      </c>
      <c r="AI208" s="221">
        <v>40</v>
      </c>
      <c r="AJ208" s="221">
        <v>17</v>
      </c>
      <c r="AK208" s="221">
        <v>11</v>
      </c>
      <c r="AL208" s="221">
        <v>3</v>
      </c>
      <c r="AM208" s="221">
        <v>141</v>
      </c>
      <c r="AN208" s="147"/>
      <c r="AO208" s="221">
        <v>5</v>
      </c>
      <c r="AP208" s="221">
        <v>9</v>
      </c>
      <c r="AQ208" s="221">
        <v>11</v>
      </c>
      <c r="AR208" s="221">
        <v>-7</v>
      </c>
      <c r="AS208" s="221">
        <v>12</v>
      </c>
      <c r="AT208" s="221">
        <v>2</v>
      </c>
      <c r="AU208" s="221">
        <v>6</v>
      </c>
      <c r="AV208" s="221">
        <v>2</v>
      </c>
      <c r="AW208" s="221">
        <v>40</v>
      </c>
      <c r="AX208" s="56">
        <f t="shared" si="88"/>
        <v>-5</v>
      </c>
      <c r="AY208" s="56">
        <f t="shared" si="88"/>
        <v>-9</v>
      </c>
      <c r="AZ208" s="56">
        <f t="shared" si="88"/>
        <v>-11</v>
      </c>
      <c r="BA208" s="56">
        <f t="shared" si="88"/>
        <v>7</v>
      </c>
      <c r="BB208" s="56">
        <f t="shared" si="88"/>
        <v>-12</v>
      </c>
      <c r="BC208" s="56">
        <f t="shared" si="88"/>
        <v>-2</v>
      </c>
      <c r="BD208" s="56">
        <f t="shared" si="115"/>
        <v>-6</v>
      </c>
      <c r="BE208" s="56">
        <f t="shared" si="115"/>
        <v>-2</v>
      </c>
      <c r="BF208" s="56">
        <f t="shared" si="115"/>
        <v>-40</v>
      </c>
      <c r="BH208">
        <f t="shared" si="97"/>
        <v>0.8</v>
      </c>
      <c r="BI208">
        <f t="shared" si="106"/>
        <v>0.19999999999999996</v>
      </c>
      <c r="BJ208" s="154">
        <v>97739.029333333339</v>
      </c>
      <c r="BK208" s="155">
        <f t="shared" si="98"/>
        <v>97739.029333333339</v>
      </c>
      <c r="BL208" s="156">
        <v>62965.557333333338</v>
      </c>
      <c r="BM208" s="155">
        <f t="shared" si="99"/>
        <v>62965.557333333338</v>
      </c>
      <c r="BN208" s="158">
        <v>102926.34666666668</v>
      </c>
      <c r="BO208" s="155">
        <f t="shared" si="100"/>
        <v>102926.34666666668</v>
      </c>
      <c r="BP208" s="158">
        <v>81918.933333333349</v>
      </c>
      <c r="BQ208" s="155">
        <f t="shared" si="101"/>
        <v>81918.933333333349</v>
      </c>
      <c r="BR208" s="158">
        <v>79977.65333333335</v>
      </c>
      <c r="BS208" s="155">
        <f t="shared" si="102"/>
        <v>79977.65333333335</v>
      </c>
      <c r="BT208" s="194">
        <v>155627.31022222221</v>
      </c>
      <c r="BU208" s="194"/>
      <c r="BV208" s="348">
        <f t="shared" si="107"/>
        <v>155627.31022222221</v>
      </c>
      <c r="BW208" s="195">
        <f t="shared" si="103"/>
        <v>145906.29688888887</v>
      </c>
      <c r="BX208" s="157">
        <f t="shared" si="108"/>
        <v>36476.574222222218</v>
      </c>
      <c r="BY208" s="157">
        <f>IF(E208*$CJ$10*'Year 7 Payments'!$L$20*IF(B208="",1,0.8)&lt;=(BW208-(J208*350)),E208*$CJ$10*'Year 7 Payments'!$L$20*IF(B208="",1,0.8),BW208-(IF(B208="",1,0.8)*J208*350))</f>
        <v>110167.47673600003</v>
      </c>
      <c r="BZ208" s="157">
        <f t="shared" si="109"/>
        <v>27541.869184000006</v>
      </c>
      <c r="CA208" s="157">
        <f t="shared" si="110"/>
        <v>35738.820152888846</v>
      </c>
      <c r="CB208" s="157">
        <f t="shared" si="111"/>
        <v>8934.7050382222114</v>
      </c>
      <c r="CC208" s="157">
        <f t="shared" si="112"/>
        <v>142955.28061155538</v>
      </c>
      <c r="CD208" s="201">
        <f t="shared" si="113"/>
        <v>35738.820152888846</v>
      </c>
      <c r="CE208" s="155">
        <f t="shared" si="114"/>
        <v>35738.820152888846</v>
      </c>
    </row>
    <row r="209" spans="1:83" x14ac:dyDescent="0.2">
      <c r="A209" s="147" t="s">
        <v>680</v>
      </c>
      <c r="B209" s="57"/>
      <c r="C209" s="57" t="s">
        <v>443</v>
      </c>
      <c r="D209" s="148" t="s">
        <v>237</v>
      </c>
      <c r="E209" s="197">
        <v>64320.222222222226</v>
      </c>
      <c r="F209" s="147">
        <f t="shared" si="104"/>
        <v>70088</v>
      </c>
      <c r="G209" s="342">
        <v>515</v>
      </c>
      <c r="H209" s="149">
        <f t="shared" si="89"/>
        <v>1122</v>
      </c>
      <c r="I209" s="346">
        <v>668.1635555555556</v>
      </c>
      <c r="J209" s="150">
        <v>17</v>
      </c>
      <c r="K209"/>
      <c r="L209" s="151">
        <v>6254</v>
      </c>
      <c r="M209" s="151">
        <v>13851</v>
      </c>
      <c r="N209" s="151">
        <v>28594</v>
      </c>
      <c r="O209" s="151">
        <v>10796</v>
      </c>
      <c r="P209" s="151">
        <v>5412</v>
      </c>
      <c r="Q209" s="151">
        <v>3273</v>
      </c>
      <c r="R209" s="151">
        <v>1829</v>
      </c>
      <c r="S209" s="151">
        <v>79</v>
      </c>
      <c r="T209" s="151">
        <v>70088</v>
      </c>
      <c r="U209" s="147"/>
      <c r="V209" s="152">
        <f t="shared" si="105"/>
        <v>8.9230681429060613E-2</v>
      </c>
      <c r="W209" s="152">
        <f t="shared" si="90"/>
        <v>0.19762298824335123</v>
      </c>
      <c r="X209" s="152">
        <f t="shared" si="91"/>
        <v>0.4079728341513526</v>
      </c>
      <c r="Y209" s="152">
        <f t="shared" si="92"/>
        <v>0.15403492751968953</v>
      </c>
      <c r="Z209" s="152">
        <f t="shared" si="93"/>
        <v>7.7217212646958105E-2</v>
      </c>
      <c r="AA209" s="152">
        <f t="shared" si="94"/>
        <v>4.6698436251569456E-2</v>
      </c>
      <c r="AB209" s="152">
        <f t="shared" si="95"/>
        <v>2.6095765323593197E-2</v>
      </c>
      <c r="AC209" s="152">
        <f t="shared" si="96"/>
        <v>1.1271544344252939E-3</v>
      </c>
      <c r="AD209" s="152"/>
      <c r="AE209" s="221">
        <v>394</v>
      </c>
      <c r="AF209" s="221">
        <v>213</v>
      </c>
      <c r="AG209" s="221">
        <v>371</v>
      </c>
      <c r="AH209" s="221">
        <v>195</v>
      </c>
      <c r="AI209" s="221">
        <v>24</v>
      </c>
      <c r="AJ209" s="221">
        <v>12</v>
      </c>
      <c r="AK209" s="221">
        <v>6</v>
      </c>
      <c r="AL209" s="221">
        <v>-1</v>
      </c>
      <c r="AM209" s="221">
        <v>1214</v>
      </c>
      <c r="AN209" s="147"/>
      <c r="AO209" s="221">
        <v>2</v>
      </c>
      <c r="AP209" s="221">
        <v>16</v>
      </c>
      <c r="AQ209" s="221">
        <v>49</v>
      </c>
      <c r="AR209" s="221">
        <v>27</v>
      </c>
      <c r="AS209" s="221">
        <v>-1</v>
      </c>
      <c r="AT209" s="221">
        <v>-4</v>
      </c>
      <c r="AU209" s="221">
        <v>3</v>
      </c>
      <c r="AV209" s="221">
        <v>0</v>
      </c>
      <c r="AW209" s="221">
        <v>92</v>
      </c>
      <c r="AX209" s="56">
        <f t="shared" si="88"/>
        <v>-2</v>
      </c>
      <c r="AY209" s="56">
        <f t="shared" si="88"/>
        <v>-16</v>
      </c>
      <c r="AZ209" s="56">
        <f t="shared" si="88"/>
        <v>-49</v>
      </c>
      <c r="BA209" s="56">
        <f t="shared" si="88"/>
        <v>-27</v>
      </c>
      <c r="BB209" s="56">
        <f t="shared" si="88"/>
        <v>1</v>
      </c>
      <c r="BC209" s="56">
        <f t="shared" si="88"/>
        <v>4</v>
      </c>
      <c r="BD209" s="56">
        <f t="shared" si="115"/>
        <v>-3</v>
      </c>
      <c r="BE209" s="56">
        <f t="shared" si="115"/>
        <v>0</v>
      </c>
      <c r="BF209" s="56">
        <f t="shared" si="115"/>
        <v>-92</v>
      </c>
      <c r="BH209">
        <f t="shared" si="97"/>
        <v>1</v>
      </c>
      <c r="BI209">
        <f t="shared" si="106"/>
        <v>0</v>
      </c>
      <c r="BJ209" s="154">
        <v>639333.5066666666</v>
      </c>
      <c r="BK209" s="155">
        <f t="shared" si="98"/>
        <v>639333.5066666666</v>
      </c>
      <c r="BL209" s="156">
        <v>603549.74222222215</v>
      </c>
      <c r="BM209" s="155">
        <f t="shared" si="99"/>
        <v>603549.74222222215</v>
      </c>
      <c r="BN209" s="158">
        <v>824488.69</v>
      </c>
      <c r="BO209" s="155">
        <f t="shared" si="100"/>
        <v>824488.69</v>
      </c>
      <c r="BP209" s="158">
        <v>858155.59999999986</v>
      </c>
      <c r="BQ209" s="155">
        <f t="shared" si="101"/>
        <v>858155.59999999986</v>
      </c>
      <c r="BR209" s="158">
        <v>693385.34</v>
      </c>
      <c r="BS209" s="155">
        <f t="shared" si="102"/>
        <v>693385.34</v>
      </c>
      <c r="BT209" s="194">
        <v>987126.35777777771</v>
      </c>
      <c r="BU209" s="194"/>
      <c r="BV209" s="348">
        <f t="shared" si="107"/>
        <v>987126.35777777771</v>
      </c>
      <c r="BW209" s="195">
        <f t="shared" si="103"/>
        <v>1421472.8044444444</v>
      </c>
      <c r="BX209" s="157" t="str">
        <f t="shared" si="108"/>
        <v>0</v>
      </c>
      <c r="BY209" s="157">
        <f>IF(E209*$CJ$10*'Year 7 Payments'!$L$20*IF(B209="",1,0.8)&lt;=(BW209-(J209*350)),E209*$CJ$10*'Year 7 Payments'!$L$20*IF(B209="",1,0.8),BW209-(IF(B209="",1,0.8)*J209*350))</f>
        <v>393526.55640888889</v>
      </c>
      <c r="BZ209" s="157" t="str">
        <f t="shared" si="109"/>
        <v>0</v>
      </c>
      <c r="CA209" s="157">
        <f t="shared" si="110"/>
        <v>1027946.2480355555</v>
      </c>
      <c r="CB209" s="157">
        <f t="shared" si="111"/>
        <v>0</v>
      </c>
      <c r="CC209" s="157">
        <f t="shared" si="112"/>
        <v>4111784.9921422219</v>
      </c>
      <c r="CD209" s="201">
        <f t="shared" si="113"/>
        <v>0</v>
      </c>
      <c r="CE209" s="155">
        <f t="shared" si="114"/>
        <v>1027946.2480355555</v>
      </c>
    </row>
    <row r="210" spans="1:83" x14ac:dyDescent="0.2">
      <c r="A210" s="147" t="s">
        <v>681</v>
      </c>
      <c r="B210" s="57"/>
      <c r="C210" s="57" t="s">
        <v>461</v>
      </c>
      <c r="D210" s="148" t="s">
        <v>238</v>
      </c>
      <c r="E210" s="197">
        <v>105574.55555555555</v>
      </c>
      <c r="F210" s="147">
        <f t="shared" si="104"/>
        <v>102849</v>
      </c>
      <c r="G210" s="342">
        <v>274</v>
      </c>
      <c r="H210" s="149">
        <f t="shared" si="89"/>
        <v>517</v>
      </c>
      <c r="I210" s="346">
        <v>11.035111111111178</v>
      </c>
      <c r="J210" s="150">
        <v>33</v>
      </c>
      <c r="K210"/>
      <c r="L210" s="151">
        <v>2082</v>
      </c>
      <c r="M210" s="151">
        <v>12864</v>
      </c>
      <c r="N210" s="151">
        <v>26123</v>
      </c>
      <c r="O210" s="151">
        <v>31688</v>
      </c>
      <c r="P210" s="151">
        <v>19318</v>
      </c>
      <c r="Q210" s="151">
        <v>7405</v>
      </c>
      <c r="R210" s="151">
        <v>3173</v>
      </c>
      <c r="S210" s="151">
        <v>196</v>
      </c>
      <c r="T210" s="151">
        <v>102849</v>
      </c>
      <c r="U210" s="147"/>
      <c r="V210" s="152">
        <f t="shared" si="105"/>
        <v>2.0243269258816324E-2</v>
      </c>
      <c r="W210" s="152">
        <f t="shared" si="90"/>
        <v>0.12507656856167779</v>
      </c>
      <c r="X210" s="152">
        <f t="shared" si="91"/>
        <v>0.25399371894719441</v>
      </c>
      <c r="Y210" s="152">
        <f t="shared" si="92"/>
        <v>0.30810216919950606</v>
      </c>
      <c r="Z210" s="152">
        <f t="shared" si="93"/>
        <v>0.18782875866561657</v>
      </c>
      <c r="AA210" s="152">
        <f t="shared" si="94"/>
        <v>7.1998755457029232E-2</v>
      </c>
      <c r="AB210" s="152">
        <f t="shared" si="95"/>
        <v>3.0851053486178767E-2</v>
      </c>
      <c r="AC210" s="152">
        <f t="shared" si="96"/>
        <v>1.9057064239807874E-3</v>
      </c>
      <c r="AD210" s="152"/>
      <c r="AE210" s="221">
        <v>190</v>
      </c>
      <c r="AF210" s="221">
        <v>195</v>
      </c>
      <c r="AG210" s="221">
        <v>133</v>
      </c>
      <c r="AH210" s="221">
        <v>-105</v>
      </c>
      <c r="AI210" s="221">
        <v>52</v>
      </c>
      <c r="AJ210" s="221">
        <v>43</v>
      </c>
      <c r="AK210" s="221">
        <v>16</v>
      </c>
      <c r="AL210" s="221">
        <v>0</v>
      </c>
      <c r="AM210" s="221">
        <v>524</v>
      </c>
      <c r="AN210" s="147"/>
      <c r="AO210" s="221">
        <v>9</v>
      </c>
      <c r="AP210" s="221">
        <v>-2</v>
      </c>
      <c r="AQ210" s="221">
        <v>-21</v>
      </c>
      <c r="AR210" s="221">
        <v>13</v>
      </c>
      <c r="AS210" s="221">
        <v>-2</v>
      </c>
      <c r="AT210" s="221">
        <v>11</v>
      </c>
      <c r="AU210" s="221">
        <v>-1</v>
      </c>
      <c r="AV210" s="221">
        <v>0</v>
      </c>
      <c r="AW210" s="221">
        <v>7</v>
      </c>
      <c r="AX210" s="56">
        <f t="shared" si="88"/>
        <v>-9</v>
      </c>
      <c r="AY210" s="56">
        <f t="shared" si="88"/>
        <v>2</v>
      </c>
      <c r="AZ210" s="56">
        <f t="shared" si="88"/>
        <v>21</v>
      </c>
      <c r="BA210" s="56">
        <f t="shared" si="88"/>
        <v>-13</v>
      </c>
      <c r="BB210" s="56">
        <f t="shared" si="88"/>
        <v>2</v>
      </c>
      <c r="BC210" s="56">
        <f t="shared" si="88"/>
        <v>-11</v>
      </c>
      <c r="BD210" s="56">
        <f t="shared" si="115"/>
        <v>1</v>
      </c>
      <c r="BE210" s="56">
        <f t="shared" si="115"/>
        <v>0</v>
      </c>
      <c r="BF210" s="56">
        <f t="shared" si="115"/>
        <v>-7</v>
      </c>
      <c r="BH210">
        <f t="shared" si="97"/>
        <v>1</v>
      </c>
      <c r="BI210">
        <f t="shared" si="106"/>
        <v>0</v>
      </c>
      <c r="BJ210" s="154">
        <v>1285543.2866666669</v>
      </c>
      <c r="BK210" s="155">
        <f t="shared" si="98"/>
        <v>1285543.2866666669</v>
      </c>
      <c r="BL210" s="156">
        <v>576172.19999999995</v>
      </c>
      <c r="BM210" s="155">
        <f t="shared" si="99"/>
        <v>576172.19999999995</v>
      </c>
      <c r="BN210" s="158">
        <v>929098.05666666687</v>
      </c>
      <c r="BO210" s="155">
        <f t="shared" si="100"/>
        <v>929098.05666666687</v>
      </c>
      <c r="BP210" s="158">
        <v>519349.60000000003</v>
      </c>
      <c r="BQ210" s="155">
        <f t="shared" si="101"/>
        <v>519349.60000000003</v>
      </c>
      <c r="BR210" s="158">
        <v>652136.48666666669</v>
      </c>
      <c r="BS210" s="155">
        <f t="shared" si="102"/>
        <v>652136.48666666669</v>
      </c>
      <c r="BT210" s="194">
        <v>459904.62000000005</v>
      </c>
      <c r="BU210" s="194"/>
      <c r="BV210" s="348">
        <f t="shared" si="107"/>
        <v>459904.62000000005</v>
      </c>
      <c r="BW210" s="195">
        <f t="shared" si="103"/>
        <v>674359.33333333326</v>
      </c>
      <c r="BX210" s="157" t="str">
        <f t="shared" si="108"/>
        <v>0</v>
      </c>
      <c r="BY210" s="157">
        <f>IF(E210*$CJ$10*'Year 7 Payments'!$L$20*IF(B210="",1,0.8)&lt;=(BW210-(J210*350)),E210*$CJ$10*'Year 7 Payments'!$L$20*IF(B210="",1,0.8),BW210-(IF(B210="",1,0.8)*J210*350))</f>
        <v>645930.46878222213</v>
      </c>
      <c r="BZ210" s="157" t="str">
        <f t="shared" si="109"/>
        <v>0</v>
      </c>
      <c r="CA210" s="157">
        <f t="shared" si="110"/>
        <v>28428.864551111124</v>
      </c>
      <c r="CB210" s="157">
        <f t="shared" si="111"/>
        <v>0</v>
      </c>
      <c r="CC210" s="157">
        <f t="shared" si="112"/>
        <v>113715.4582044445</v>
      </c>
      <c r="CD210" s="201">
        <f t="shared" si="113"/>
        <v>0</v>
      </c>
      <c r="CE210" s="155">
        <f t="shared" si="114"/>
        <v>28428.864551111124</v>
      </c>
    </row>
    <row r="211" spans="1:83" x14ac:dyDescent="0.2">
      <c r="A211" s="147" t="s">
        <v>682</v>
      </c>
      <c r="B211" s="57"/>
      <c r="C211" s="57" t="s">
        <v>543</v>
      </c>
      <c r="D211" s="148" t="s">
        <v>239</v>
      </c>
      <c r="E211" s="197">
        <v>50527.333333333336</v>
      </c>
      <c r="F211" s="147">
        <f t="shared" si="104"/>
        <v>63430</v>
      </c>
      <c r="G211" s="342">
        <v>868</v>
      </c>
      <c r="H211" s="149">
        <f t="shared" si="89"/>
        <v>320</v>
      </c>
      <c r="I211" s="346">
        <v>111.66844444444442</v>
      </c>
      <c r="J211" s="150">
        <v>98</v>
      </c>
      <c r="K211"/>
      <c r="L211" s="151">
        <v>26579</v>
      </c>
      <c r="M211" s="151">
        <v>13121</v>
      </c>
      <c r="N211" s="151">
        <v>13825</v>
      </c>
      <c r="O211" s="151">
        <v>5457</v>
      </c>
      <c r="P211" s="151">
        <v>3149</v>
      </c>
      <c r="Q211" s="151">
        <v>876</v>
      </c>
      <c r="R211" s="151">
        <v>397</v>
      </c>
      <c r="S211" s="151">
        <v>26</v>
      </c>
      <c r="T211" s="151">
        <v>63430</v>
      </c>
      <c r="U211" s="147"/>
      <c r="V211" s="152">
        <f t="shared" si="105"/>
        <v>0.41902885070156076</v>
      </c>
      <c r="W211" s="152">
        <f t="shared" si="90"/>
        <v>0.20685795364969256</v>
      </c>
      <c r="X211" s="152">
        <f t="shared" si="91"/>
        <v>0.21795680277471227</v>
      </c>
      <c r="Y211" s="152">
        <f t="shared" si="92"/>
        <v>8.603184612959168E-2</v>
      </c>
      <c r="Z211" s="152">
        <f t="shared" si="93"/>
        <v>4.964527825949866E-2</v>
      </c>
      <c r="AA211" s="152">
        <f t="shared" si="94"/>
        <v>1.3810499763518839E-2</v>
      </c>
      <c r="AB211" s="152">
        <f t="shared" si="95"/>
        <v>6.2588680435125338E-3</v>
      </c>
      <c r="AC211" s="152">
        <f t="shared" si="96"/>
        <v>4.0990067791265964E-4</v>
      </c>
      <c r="AD211" s="152"/>
      <c r="AE211" s="221">
        <v>-75</v>
      </c>
      <c r="AF211" s="221">
        <v>59</v>
      </c>
      <c r="AG211" s="221">
        <v>75</v>
      </c>
      <c r="AH211" s="221">
        <v>85</v>
      </c>
      <c r="AI211" s="221">
        <v>74</v>
      </c>
      <c r="AJ211" s="221">
        <v>7</v>
      </c>
      <c r="AK211" s="221">
        <v>4</v>
      </c>
      <c r="AL211" s="221">
        <v>1</v>
      </c>
      <c r="AM211" s="221">
        <v>230</v>
      </c>
      <c r="AN211" s="147"/>
      <c r="AO211" s="221">
        <v>-102</v>
      </c>
      <c r="AP211" s="221">
        <v>-1</v>
      </c>
      <c r="AQ211" s="221">
        <v>13</v>
      </c>
      <c r="AR211" s="221">
        <v>-1</v>
      </c>
      <c r="AS211" s="221">
        <v>-1</v>
      </c>
      <c r="AT211" s="221">
        <v>4</v>
      </c>
      <c r="AU211" s="221">
        <v>-2</v>
      </c>
      <c r="AV211" s="221">
        <v>0</v>
      </c>
      <c r="AW211" s="221">
        <v>-90</v>
      </c>
      <c r="AX211" s="56">
        <f t="shared" si="88"/>
        <v>102</v>
      </c>
      <c r="AY211" s="56">
        <f t="shared" si="88"/>
        <v>1</v>
      </c>
      <c r="AZ211" s="56">
        <f t="shared" si="88"/>
        <v>-13</v>
      </c>
      <c r="BA211" s="56">
        <f t="shared" si="88"/>
        <v>1</v>
      </c>
      <c r="BB211" s="56">
        <f t="shared" si="88"/>
        <v>1</v>
      </c>
      <c r="BC211" s="56">
        <f t="shared" si="88"/>
        <v>-4</v>
      </c>
      <c r="BD211" s="56">
        <f t="shared" si="115"/>
        <v>2</v>
      </c>
      <c r="BE211" s="56">
        <f t="shared" si="115"/>
        <v>0</v>
      </c>
      <c r="BF211" s="56">
        <f t="shared" si="115"/>
        <v>90</v>
      </c>
      <c r="BH211">
        <f t="shared" si="97"/>
        <v>1</v>
      </c>
      <c r="BI211">
        <f t="shared" si="106"/>
        <v>0</v>
      </c>
      <c r="BJ211" s="154">
        <v>125691.88</v>
      </c>
      <c r="BK211" s="155">
        <f t="shared" si="98"/>
        <v>125691.88</v>
      </c>
      <c r="BL211" s="156">
        <v>314956.19888888887</v>
      </c>
      <c r="BM211" s="155">
        <f t="shared" si="99"/>
        <v>314956.19888888887</v>
      </c>
      <c r="BN211" s="158">
        <v>508667.54666666675</v>
      </c>
      <c r="BO211" s="155">
        <f t="shared" si="100"/>
        <v>508667.54666666675</v>
      </c>
      <c r="BP211" s="158">
        <v>430053.86666666664</v>
      </c>
      <c r="BQ211" s="155">
        <f t="shared" si="101"/>
        <v>430053.86666666664</v>
      </c>
      <c r="BR211" s="158">
        <v>173689.9044444444</v>
      </c>
      <c r="BS211" s="155">
        <f t="shared" si="102"/>
        <v>173689.9044444444</v>
      </c>
      <c r="BT211" s="194">
        <v>752570.46666666667</v>
      </c>
      <c r="BU211" s="194"/>
      <c r="BV211" s="348">
        <f t="shared" si="107"/>
        <v>752570.46666666667</v>
      </c>
      <c r="BW211" s="195">
        <f t="shared" si="103"/>
        <v>514241.93777777773</v>
      </c>
      <c r="BX211" s="157" t="str">
        <f t="shared" si="108"/>
        <v>0</v>
      </c>
      <c r="BY211" s="157">
        <f>IF(E211*$CJ$10*'Year 7 Payments'!$L$20*IF(B211="",1,0.8)&lt;=(BW211-(J211*350)),E211*$CJ$10*'Year 7 Payments'!$L$20*IF(B211="",1,0.8),BW211-(IF(B211="",1,0.8)*J211*350))</f>
        <v>309138.35189333331</v>
      </c>
      <c r="BZ211" s="157" t="str">
        <f t="shared" si="109"/>
        <v>0</v>
      </c>
      <c r="CA211" s="157">
        <f t="shared" si="110"/>
        <v>205103.58588444442</v>
      </c>
      <c r="CB211" s="157">
        <f t="shared" si="111"/>
        <v>0</v>
      </c>
      <c r="CC211" s="157">
        <f t="shared" si="112"/>
        <v>820414.34353777766</v>
      </c>
      <c r="CD211" s="201">
        <f t="shared" si="113"/>
        <v>0</v>
      </c>
      <c r="CE211" s="155">
        <f t="shared" si="114"/>
        <v>205103.58588444442</v>
      </c>
    </row>
    <row r="212" spans="1:83" x14ac:dyDescent="0.2">
      <c r="A212" s="147" t="s">
        <v>683</v>
      </c>
      <c r="B212" s="57" t="s">
        <v>498</v>
      </c>
      <c r="C212" s="57" t="s">
        <v>476</v>
      </c>
      <c r="D212" s="148" t="s">
        <v>240</v>
      </c>
      <c r="E212" s="197">
        <v>31257.111111111117</v>
      </c>
      <c r="F212" s="147">
        <f t="shared" si="104"/>
        <v>36118</v>
      </c>
      <c r="G212" s="342">
        <v>127</v>
      </c>
      <c r="H212" s="149">
        <f t="shared" si="89"/>
        <v>307</v>
      </c>
      <c r="I212" s="346">
        <v>151.52711111111108</v>
      </c>
      <c r="J212" s="150">
        <v>48</v>
      </c>
      <c r="K212"/>
      <c r="L212" s="151">
        <v>7652</v>
      </c>
      <c r="M212" s="151">
        <v>11951</v>
      </c>
      <c r="N212" s="151">
        <v>7417</v>
      </c>
      <c r="O212" s="151">
        <v>4281</v>
      </c>
      <c r="P212" s="151">
        <v>3170</v>
      </c>
      <c r="Q212" s="151">
        <v>1164</v>
      </c>
      <c r="R212" s="151">
        <v>461</v>
      </c>
      <c r="S212" s="151">
        <v>22</v>
      </c>
      <c r="T212" s="151">
        <v>36118</v>
      </c>
      <c r="U212" s="147"/>
      <c r="V212" s="152">
        <f t="shared" si="105"/>
        <v>0.21186112187828784</v>
      </c>
      <c r="W212" s="152">
        <f t="shared" si="90"/>
        <v>0.3308876460490614</v>
      </c>
      <c r="X212" s="152">
        <f t="shared" si="91"/>
        <v>0.20535467080126252</v>
      </c>
      <c r="Y212" s="152">
        <f t="shared" si="92"/>
        <v>0.1185281577052993</v>
      </c>
      <c r="Z212" s="152">
        <f t="shared" si="93"/>
        <v>8.7767871975192424E-2</v>
      </c>
      <c r="AA212" s="152">
        <f t="shared" si="94"/>
        <v>3.2227698100670027E-2</v>
      </c>
      <c r="AB212" s="152">
        <f t="shared" si="95"/>
        <v>1.2763718921313472E-2</v>
      </c>
      <c r="AC212" s="152">
        <f t="shared" si="96"/>
        <v>6.0911456891300732E-4</v>
      </c>
      <c r="AD212" s="152"/>
      <c r="AE212" s="221">
        <v>25</v>
      </c>
      <c r="AF212" s="221">
        <v>60</v>
      </c>
      <c r="AG212" s="221">
        <v>46</v>
      </c>
      <c r="AH212" s="221">
        <v>6</v>
      </c>
      <c r="AI212" s="221">
        <v>22</v>
      </c>
      <c r="AJ212" s="221">
        <v>3</v>
      </c>
      <c r="AK212" s="221">
        <v>14</v>
      </c>
      <c r="AL212" s="221">
        <v>1</v>
      </c>
      <c r="AM212" s="221">
        <v>177</v>
      </c>
      <c r="AN212" s="147"/>
      <c r="AO212" s="221">
        <v>-52</v>
      </c>
      <c r="AP212" s="221">
        <v>-22</v>
      </c>
      <c r="AQ212" s="221">
        <v>-22</v>
      </c>
      <c r="AR212" s="221">
        <v>-19</v>
      </c>
      <c r="AS212" s="221">
        <v>-10</v>
      </c>
      <c r="AT212" s="221">
        <v>-5</v>
      </c>
      <c r="AU212" s="221">
        <v>0</v>
      </c>
      <c r="AV212" s="221">
        <v>0</v>
      </c>
      <c r="AW212" s="221">
        <v>-130</v>
      </c>
      <c r="AX212" s="56">
        <f t="shared" si="88"/>
        <v>52</v>
      </c>
      <c r="AY212" s="56">
        <f t="shared" si="88"/>
        <v>22</v>
      </c>
      <c r="AZ212" s="56">
        <f t="shared" si="88"/>
        <v>22</v>
      </c>
      <c r="BA212" s="56">
        <f t="shared" si="88"/>
        <v>19</v>
      </c>
      <c r="BB212" s="56">
        <f t="shared" si="88"/>
        <v>10</v>
      </c>
      <c r="BC212" s="56">
        <f t="shared" si="88"/>
        <v>5</v>
      </c>
      <c r="BD212" s="56">
        <f t="shared" si="115"/>
        <v>0</v>
      </c>
      <c r="BE212" s="56">
        <f t="shared" si="115"/>
        <v>0</v>
      </c>
      <c r="BF212" s="56">
        <f t="shared" si="115"/>
        <v>130</v>
      </c>
      <c r="BH212">
        <f t="shared" si="97"/>
        <v>0.8</v>
      </c>
      <c r="BI212">
        <f t="shared" si="106"/>
        <v>0.19999999999999996</v>
      </c>
      <c r="BJ212" s="154">
        <v>164262.97600000002</v>
      </c>
      <c r="BK212" s="155">
        <f t="shared" si="98"/>
        <v>164262.97600000002</v>
      </c>
      <c r="BL212" s="156">
        <v>144222.33066666665</v>
      </c>
      <c r="BM212" s="155">
        <f t="shared" si="99"/>
        <v>144222.33066666665</v>
      </c>
      <c r="BN212" s="158">
        <v>105003.48622222221</v>
      </c>
      <c r="BO212" s="155">
        <f t="shared" si="100"/>
        <v>105003.48622222221</v>
      </c>
      <c r="BP212" s="158">
        <v>260226.88000000003</v>
      </c>
      <c r="BQ212" s="155">
        <f t="shared" si="101"/>
        <v>260226.88000000003</v>
      </c>
      <c r="BR212" s="158">
        <v>129516.10666666669</v>
      </c>
      <c r="BS212" s="155">
        <f t="shared" si="102"/>
        <v>129516.10666666669</v>
      </c>
      <c r="BT212" s="194">
        <v>323319.2728888889</v>
      </c>
      <c r="BU212" s="194"/>
      <c r="BV212" s="348">
        <f t="shared" si="107"/>
        <v>323319.2728888889</v>
      </c>
      <c r="BW212" s="195">
        <f t="shared" si="103"/>
        <v>351846.65244444448</v>
      </c>
      <c r="BX212" s="157">
        <f t="shared" si="108"/>
        <v>87961.66311111112</v>
      </c>
      <c r="BY212" s="157">
        <f>IF(E212*$CJ$10*'Year 7 Payments'!$L$20*IF(B212="",1,0.8)&lt;=(BW212-(J212*350)),E212*$CJ$10*'Year 7 Payments'!$L$20*IF(B212="",1,0.8),BW212-(IF(B212="",1,0.8)*J212*350))</f>
        <v>152990.80598755559</v>
      </c>
      <c r="BZ212" s="157">
        <f t="shared" si="109"/>
        <v>38247.701496888898</v>
      </c>
      <c r="CA212" s="157">
        <f t="shared" si="110"/>
        <v>198855.84645688889</v>
      </c>
      <c r="CB212" s="157">
        <f t="shared" si="111"/>
        <v>49713.961614222222</v>
      </c>
      <c r="CC212" s="157">
        <f t="shared" si="112"/>
        <v>795423.38582755555</v>
      </c>
      <c r="CD212" s="201">
        <f t="shared" si="113"/>
        <v>198855.84645688889</v>
      </c>
      <c r="CE212" s="155">
        <f t="shared" si="114"/>
        <v>198855.84645688889</v>
      </c>
    </row>
    <row r="213" spans="1:83" x14ac:dyDescent="0.2">
      <c r="A213" s="147" t="s">
        <v>684</v>
      </c>
      <c r="B213" s="57" t="s">
        <v>568</v>
      </c>
      <c r="C213" s="57" t="s">
        <v>443</v>
      </c>
      <c r="D213" s="148" t="s">
        <v>241</v>
      </c>
      <c r="E213" s="197">
        <v>67749.111111111109</v>
      </c>
      <c r="F213" s="147">
        <f t="shared" si="104"/>
        <v>59909</v>
      </c>
      <c r="G213" s="342">
        <v>405</v>
      </c>
      <c r="H213" s="149">
        <f t="shared" si="89"/>
        <v>560</v>
      </c>
      <c r="I213" s="346">
        <v>385.22577777777775</v>
      </c>
      <c r="J213" s="150">
        <v>61</v>
      </c>
      <c r="K213"/>
      <c r="L213" s="151">
        <v>1051</v>
      </c>
      <c r="M213" s="151">
        <v>3741</v>
      </c>
      <c r="N213" s="151">
        <v>11858</v>
      </c>
      <c r="O213" s="151">
        <v>17139</v>
      </c>
      <c r="P213" s="151">
        <v>10593</v>
      </c>
      <c r="Q213" s="151">
        <v>7217</v>
      </c>
      <c r="R213" s="151">
        <v>7263</v>
      </c>
      <c r="S213" s="151">
        <v>1047</v>
      </c>
      <c r="T213" s="151">
        <v>59909</v>
      </c>
      <c r="U213" s="147"/>
      <c r="V213" s="152">
        <f t="shared" si="105"/>
        <v>1.7543273965514364E-2</v>
      </c>
      <c r="W213" s="152">
        <f t="shared" si="90"/>
        <v>6.2444707806840374E-2</v>
      </c>
      <c r="X213" s="152">
        <f t="shared" si="91"/>
        <v>0.19793353252432858</v>
      </c>
      <c r="Y213" s="152">
        <f t="shared" si="92"/>
        <v>0.28608389390575706</v>
      </c>
      <c r="Z213" s="152">
        <f t="shared" si="93"/>
        <v>0.17681817423091689</v>
      </c>
      <c r="AA213" s="152">
        <f t="shared" si="94"/>
        <v>0.12046604016091071</v>
      </c>
      <c r="AB213" s="152">
        <f t="shared" si="95"/>
        <v>0.12123387137158023</v>
      </c>
      <c r="AC213" s="152">
        <f t="shared" si="96"/>
        <v>1.7476506034151795E-2</v>
      </c>
      <c r="AD213" s="152"/>
      <c r="AE213" s="221">
        <v>-4</v>
      </c>
      <c r="AF213" s="221">
        <v>86</v>
      </c>
      <c r="AG213" s="221">
        <v>125</v>
      </c>
      <c r="AH213" s="221">
        <v>180</v>
      </c>
      <c r="AI213" s="221">
        <v>48</v>
      </c>
      <c r="AJ213" s="221">
        <v>56</v>
      </c>
      <c r="AK213" s="221">
        <v>102</v>
      </c>
      <c r="AL213" s="221">
        <v>25</v>
      </c>
      <c r="AM213" s="221">
        <v>618</v>
      </c>
      <c r="AN213" s="147"/>
      <c r="AO213" s="221">
        <v>2</v>
      </c>
      <c r="AP213" s="221">
        <v>32</v>
      </c>
      <c r="AQ213" s="221">
        <v>0</v>
      </c>
      <c r="AR213" s="221">
        <v>7</v>
      </c>
      <c r="AS213" s="221">
        <v>14</v>
      </c>
      <c r="AT213" s="221">
        <v>-6</v>
      </c>
      <c r="AU213" s="221">
        <v>3</v>
      </c>
      <c r="AV213" s="221">
        <v>6</v>
      </c>
      <c r="AW213" s="221">
        <v>58</v>
      </c>
      <c r="AX213" s="56">
        <f t="shared" si="88"/>
        <v>-2</v>
      </c>
      <c r="AY213" s="56">
        <f t="shared" si="88"/>
        <v>-32</v>
      </c>
      <c r="AZ213" s="56">
        <f t="shared" si="88"/>
        <v>0</v>
      </c>
      <c r="BA213" s="56">
        <f t="shared" si="88"/>
        <v>-7</v>
      </c>
      <c r="BB213" s="56">
        <f t="shared" si="88"/>
        <v>-14</v>
      </c>
      <c r="BC213" s="56">
        <f t="shared" si="88"/>
        <v>6</v>
      </c>
      <c r="BD213" s="56">
        <f t="shared" si="115"/>
        <v>-3</v>
      </c>
      <c r="BE213" s="56">
        <f t="shared" si="115"/>
        <v>-6</v>
      </c>
      <c r="BF213" s="56">
        <f t="shared" si="115"/>
        <v>-58</v>
      </c>
      <c r="BH213">
        <f t="shared" si="97"/>
        <v>0.8</v>
      </c>
      <c r="BI213">
        <f t="shared" si="106"/>
        <v>0.19999999999999996</v>
      </c>
      <c r="BJ213" s="154">
        <v>409122.27200000006</v>
      </c>
      <c r="BK213" s="155">
        <f t="shared" si="98"/>
        <v>409122.27200000006</v>
      </c>
      <c r="BL213" s="156">
        <v>696600.9813333333</v>
      </c>
      <c r="BM213" s="155">
        <f t="shared" si="99"/>
        <v>696600.9813333333</v>
      </c>
      <c r="BN213" s="158">
        <v>456046.55644444452</v>
      </c>
      <c r="BO213" s="155">
        <f t="shared" si="100"/>
        <v>456046.55644444452</v>
      </c>
      <c r="BP213" s="158">
        <v>582532.05333333323</v>
      </c>
      <c r="BQ213" s="155">
        <f t="shared" si="101"/>
        <v>582532.05333333323</v>
      </c>
      <c r="BR213" s="158">
        <v>918389.66222222231</v>
      </c>
      <c r="BS213" s="155">
        <f t="shared" si="102"/>
        <v>918389.66222222231</v>
      </c>
      <c r="BT213" s="194">
        <v>647374.48533333326</v>
      </c>
      <c r="BU213" s="194"/>
      <c r="BV213" s="348">
        <f t="shared" si="107"/>
        <v>647374.48533333326</v>
      </c>
      <c r="BW213" s="195">
        <f t="shared" si="103"/>
        <v>820065.00977777783</v>
      </c>
      <c r="BX213" s="157">
        <f t="shared" si="108"/>
        <v>205016.25244444446</v>
      </c>
      <c r="BY213" s="157">
        <f>IF(E213*$CJ$10*'Year 7 Payments'!$L$20*IF(B213="",1,0.8)&lt;=(BW213-(J213*350)),E213*$CJ$10*'Year 7 Payments'!$L$20*IF(B213="",1,0.8),BW213-(IF(B213="",1,0.8)*J213*350))</f>
        <v>331604.25725155557</v>
      </c>
      <c r="BZ213" s="157">
        <f t="shared" si="109"/>
        <v>82901.064312888891</v>
      </c>
      <c r="CA213" s="157">
        <f t="shared" si="110"/>
        <v>488460.75252622226</v>
      </c>
      <c r="CB213" s="157">
        <f t="shared" si="111"/>
        <v>122115.18813155557</v>
      </c>
      <c r="CC213" s="157">
        <f t="shared" si="112"/>
        <v>1953843.0101048891</v>
      </c>
      <c r="CD213" s="201">
        <f t="shared" si="113"/>
        <v>488460.75252622226</v>
      </c>
      <c r="CE213" s="155">
        <f t="shared" si="114"/>
        <v>488460.75252622226</v>
      </c>
    </row>
    <row r="214" spans="1:83" x14ac:dyDescent="0.2">
      <c r="A214" s="147" t="s">
        <v>685</v>
      </c>
      <c r="B214" s="57" t="s">
        <v>503</v>
      </c>
      <c r="C214" s="57" t="s">
        <v>446</v>
      </c>
      <c r="D214" s="148" t="s">
        <v>242</v>
      </c>
      <c r="E214" s="197">
        <v>25783.888888888891</v>
      </c>
      <c r="F214" s="147">
        <f t="shared" si="104"/>
        <v>26074</v>
      </c>
      <c r="G214" s="342">
        <v>206</v>
      </c>
      <c r="H214" s="149">
        <f t="shared" si="89"/>
        <v>394</v>
      </c>
      <c r="I214" s="346">
        <v>303.64222222222224</v>
      </c>
      <c r="J214" s="150">
        <v>65</v>
      </c>
      <c r="K214"/>
      <c r="L214" s="151">
        <v>3694</v>
      </c>
      <c r="M214" s="151">
        <v>5056</v>
      </c>
      <c r="N214" s="151">
        <v>4981</v>
      </c>
      <c r="O214" s="151">
        <v>4575</v>
      </c>
      <c r="P214" s="151">
        <v>3501</v>
      </c>
      <c r="Q214" s="151">
        <v>2149</v>
      </c>
      <c r="R214" s="151">
        <v>1904</v>
      </c>
      <c r="S214" s="151">
        <v>214</v>
      </c>
      <c r="T214" s="151">
        <v>26074</v>
      </c>
      <c r="U214" s="147"/>
      <c r="V214" s="152">
        <f t="shared" si="105"/>
        <v>0.14167369793664186</v>
      </c>
      <c r="W214" s="152">
        <f t="shared" si="90"/>
        <v>0.19390964178875508</v>
      </c>
      <c r="X214" s="152">
        <f t="shared" si="91"/>
        <v>0.19103321316253738</v>
      </c>
      <c r="Y214" s="152">
        <f t="shared" si="92"/>
        <v>0.17546214619927897</v>
      </c>
      <c r="Z214" s="152">
        <f t="shared" si="93"/>
        <v>0.13427168827184169</v>
      </c>
      <c r="AA214" s="152">
        <f t="shared" si="94"/>
        <v>8.2419268236557486E-2</v>
      </c>
      <c r="AB214" s="152">
        <f t="shared" si="95"/>
        <v>7.3022934724246369E-2</v>
      </c>
      <c r="AC214" s="152">
        <f t="shared" si="96"/>
        <v>8.2074096801411367E-3</v>
      </c>
      <c r="AD214" s="152"/>
      <c r="AE214" s="221">
        <v>62</v>
      </c>
      <c r="AF214" s="221">
        <v>82</v>
      </c>
      <c r="AG214" s="221">
        <v>43</v>
      </c>
      <c r="AH214" s="221">
        <v>41</v>
      </c>
      <c r="AI214" s="221">
        <v>120</v>
      </c>
      <c r="AJ214" s="221">
        <v>34</v>
      </c>
      <c r="AK214" s="221">
        <v>15</v>
      </c>
      <c r="AL214" s="221">
        <v>2</v>
      </c>
      <c r="AM214" s="221">
        <v>399</v>
      </c>
      <c r="AN214" s="147"/>
      <c r="AO214" s="221">
        <v>10</v>
      </c>
      <c r="AP214" s="221">
        <v>7</v>
      </c>
      <c r="AQ214" s="221">
        <v>-4</v>
      </c>
      <c r="AR214" s="221">
        <v>-9</v>
      </c>
      <c r="AS214" s="221">
        <v>-4</v>
      </c>
      <c r="AT214" s="221">
        <v>3</v>
      </c>
      <c r="AU214" s="221">
        <v>2</v>
      </c>
      <c r="AV214" s="221">
        <v>0</v>
      </c>
      <c r="AW214" s="221">
        <v>5</v>
      </c>
      <c r="AX214" s="56">
        <f t="shared" si="88"/>
        <v>-10</v>
      </c>
      <c r="AY214" s="56">
        <f t="shared" si="88"/>
        <v>-7</v>
      </c>
      <c r="AZ214" s="56">
        <f t="shared" si="88"/>
        <v>4</v>
      </c>
      <c r="BA214" s="56">
        <f t="shared" si="88"/>
        <v>9</v>
      </c>
      <c r="BB214" s="56">
        <f t="shared" si="88"/>
        <v>4</v>
      </c>
      <c r="BC214" s="56">
        <f t="shared" si="88"/>
        <v>-3</v>
      </c>
      <c r="BD214" s="56">
        <f t="shared" si="115"/>
        <v>-2</v>
      </c>
      <c r="BE214" s="56">
        <f t="shared" si="115"/>
        <v>0</v>
      </c>
      <c r="BF214" s="56">
        <f t="shared" si="115"/>
        <v>-5</v>
      </c>
      <c r="BH214">
        <f t="shared" si="97"/>
        <v>0.8</v>
      </c>
      <c r="BI214">
        <f t="shared" si="106"/>
        <v>0.19999999999999996</v>
      </c>
      <c r="BJ214" s="154">
        <v>62046.373333333329</v>
      </c>
      <c r="BK214" s="155">
        <f t="shared" si="98"/>
        <v>62046.373333333329</v>
      </c>
      <c r="BL214" s="156">
        <v>117598.21155555556</v>
      </c>
      <c r="BM214" s="155">
        <f t="shared" si="99"/>
        <v>117598.21155555556</v>
      </c>
      <c r="BN214" s="158">
        <v>188052.95377777782</v>
      </c>
      <c r="BO214" s="155">
        <f t="shared" si="100"/>
        <v>188052.95377777782</v>
      </c>
      <c r="BP214" s="158">
        <v>227108.90666666665</v>
      </c>
      <c r="BQ214" s="155">
        <f t="shared" si="101"/>
        <v>227108.90666666665</v>
      </c>
      <c r="BR214" s="158">
        <v>373810.04266666668</v>
      </c>
      <c r="BS214" s="155">
        <f t="shared" si="102"/>
        <v>373810.04266666668</v>
      </c>
      <c r="BT214" s="194">
        <v>398267.20888888882</v>
      </c>
      <c r="BU214" s="194"/>
      <c r="BV214" s="348">
        <f t="shared" si="107"/>
        <v>398267.20888888882</v>
      </c>
      <c r="BW214" s="195">
        <f t="shared" si="103"/>
        <v>515952.81422222219</v>
      </c>
      <c r="BX214" s="157">
        <f t="shared" si="108"/>
        <v>128988.20355555555</v>
      </c>
      <c r="BY214" s="157">
        <f>IF(E214*$CJ$10*'Year 7 Payments'!$L$20*IF(B214="",1,0.8)&lt;=(BW214-(J214*350)),E214*$CJ$10*'Year 7 Payments'!$L$20*IF(B214="",1,0.8),BW214-(IF(B214="",1,0.8)*J214*350))</f>
        <v>126201.61628444446</v>
      </c>
      <c r="BZ214" s="157">
        <f t="shared" si="109"/>
        <v>31550.404071111116</v>
      </c>
      <c r="CA214" s="157">
        <f t="shared" si="110"/>
        <v>389751.19793777773</v>
      </c>
      <c r="CB214" s="157">
        <f t="shared" si="111"/>
        <v>97437.799484444433</v>
      </c>
      <c r="CC214" s="157">
        <f t="shared" si="112"/>
        <v>1559004.7917511109</v>
      </c>
      <c r="CD214" s="201">
        <f t="shared" si="113"/>
        <v>389751.19793777773</v>
      </c>
      <c r="CE214" s="155">
        <f t="shared" si="114"/>
        <v>389751.19793777773</v>
      </c>
    </row>
    <row r="215" spans="1:83" x14ac:dyDescent="0.2">
      <c r="A215" s="147" t="s">
        <v>686</v>
      </c>
      <c r="B215" s="57"/>
      <c r="C215" s="57" t="s">
        <v>461</v>
      </c>
      <c r="D215" s="148" t="s">
        <v>243</v>
      </c>
      <c r="E215" s="197">
        <v>101994.77777777778</v>
      </c>
      <c r="F215" s="147">
        <f t="shared" si="104"/>
        <v>83820</v>
      </c>
      <c r="G215" s="342">
        <v>332</v>
      </c>
      <c r="H215" s="149">
        <f t="shared" si="89"/>
        <v>644</v>
      </c>
      <c r="I215" s="346">
        <v>321.13199999999995</v>
      </c>
      <c r="J215" s="150">
        <v>88</v>
      </c>
      <c r="K215"/>
      <c r="L215" s="151">
        <v>609</v>
      </c>
      <c r="M215" s="151">
        <v>2155</v>
      </c>
      <c r="N215" s="151">
        <v>13104</v>
      </c>
      <c r="O215" s="151">
        <v>20427</v>
      </c>
      <c r="P215" s="151">
        <v>19636</v>
      </c>
      <c r="Q215" s="151">
        <v>11864</v>
      </c>
      <c r="R215" s="151">
        <v>12629</v>
      </c>
      <c r="S215" s="151">
        <v>3396</v>
      </c>
      <c r="T215" s="151">
        <v>83820</v>
      </c>
      <c r="U215" s="147"/>
      <c r="V215" s="152">
        <f t="shared" si="105"/>
        <v>7.2655690765926987E-3</v>
      </c>
      <c r="W215" s="152">
        <f t="shared" si="90"/>
        <v>2.5709854450011931E-2</v>
      </c>
      <c r="X215" s="152">
        <f t="shared" si="91"/>
        <v>0.15633500357909808</v>
      </c>
      <c r="Y215" s="152">
        <f t="shared" si="92"/>
        <v>0.2437007874015748</v>
      </c>
      <c r="Z215" s="152">
        <f t="shared" si="93"/>
        <v>0.23426389883082796</v>
      </c>
      <c r="AA215" s="152">
        <f t="shared" si="94"/>
        <v>0.14154139823431161</v>
      </c>
      <c r="AB215" s="152">
        <f t="shared" si="95"/>
        <v>0.15066809830589359</v>
      </c>
      <c r="AC215" s="152">
        <f t="shared" si="96"/>
        <v>4.0515390121689338E-2</v>
      </c>
      <c r="AD215" s="152"/>
      <c r="AE215" s="221">
        <v>24</v>
      </c>
      <c r="AF215" s="221">
        <v>28</v>
      </c>
      <c r="AG215" s="221">
        <v>153</v>
      </c>
      <c r="AH215" s="221">
        <v>196</v>
      </c>
      <c r="AI215" s="221">
        <v>38</v>
      </c>
      <c r="AJ215" s="221">
        <v>78</v>
      </c>
      <c r="AK215" s="221">
        <v>69</v>
      </c>
      <c r="AL215" s="221">
        <v>20</v>
      </c>
      <c r="AM215" s="221">
        <v>606</v>
      </c>
      <c r="AN215" s="147"/>
      <c r="AO215" s="221">
        <v>1</v>
      </c>
      <c r="AP215" s="221">
        <v>-2</v>
      </c>
      <c r="AQ215" s="221">
        <v>-40</v>
      </c>
      <c r="AR215" s="221">
        <v>27</v>
      </c>
      <c r="AS215" s="221">
        <v>-10</v>
      </c>
      <c r="AT215" s="221">
        <v>-5</v>
      </c>
      <c r="AU215" s="221">
        <v>-5</v>
      </c>
      <c r="AV215" s="221">
        <v>-4</v>
      </c>
      <c r="AW215" s="221">
        <v>-38</v>
      </c>
      <c r="AX215" s="56">
        <f t="shared" ref="AX215:BC257" si="116">AO215*$AW$3</f>
        <v>-1</v>
      </c>
      <c r="AY215" s="56">
        <f t="shared" si="116"/>
        <v>2</v>
      </c>
      <c r="AZ215" s="56">
        <f t="shared" si="116"/>
        <v>40</v>
      </c>
      <c r="BA215" s="56">
        <f t="shared" si="116"/>
        <v>-27</v>
      </c>
      <c r="BB215" s="56">
        <f t="shared" si="116"/>
        <v>10</v>
      </c>
      <c r="BC215" s="56">
        <f t="shared" si="116"/>
        <v>5</v>
      </c>
      <c r="BD215" s="56">
        <f t="shared" si="115"/>
        <v>5</v>
      </c>
      <c r="BE215" s="56">
        <f t="shared" si="115"/>
        <v>4</v>
      </c>
      <c r="BF215" s="56">
        <f t="shared" si="115"/>
        <v>38</v>
      </c>
      <c r="BH215">
        <f t="shared" si="97"/>
        <v>1</v>
      </c>
      <c r="BI215">
        <f t="shared" si="106"/>
        <v>0</v>
      </c>
      <c r="BJ215" s="154">
        <v>642531.77333333343</v>
      </c>
      <c r="BK215" s="155">
        <f t="shared" si="98"/>
        <v>642531.77333333343</v>
      </c>
      <c r="BL215" s="156">
        <v>474706.19555555552</v>
      </c>
      <c r="BM215" s="155">
        <f t="shared" si="99"/>
        <v>474706.19555555552</v>
      </c>
      <c r="BN215" s="158">
        <v>924615.03666666662</v>
      </c>
      <c r="BO215" s="155">
        <f t="shared" si="100"/>
        <v>924615.03666666662</v>
      </c>
      <c r="BP215" s="158">
        <v>397960</v>
      </c>
      <c r="BQ215" s="155">
        <f t="shared" si="101"/>
        <v>397960</v>
      </c>
      <c r="BR215" s="158">
        <v>698408.26444444444</v>
      </c>
      <c r="BS215" s="155">
        <f t="shared" si="102"/>
        <v>698408.26444444444</v>
      </c>
      <c r="BT215" s="194">
        <v>740635.56</v>
      </c>
      <c r="BU215" s="194"/>
      <c r="BV215" s="348">
        <f t="shared" si="107"/>
        <v>740635.56</v>
      </c>
      <c r="BW215" s="195">
        <f t="shared" si="103"/>
        <v>1146019.1911111111</v>
      </c>
      <c r="BX215" s="157" t="str">
        <f t="shared" si="108"/>
        <v>0</v>
      </c>
      <c r="BY215" s="157">
        <f>IF(E215*$CJ$10*'Year 7 Payments'!$L$20*IF(B215="",1,0.8)&lt;=(BW215-(J215*350)),E215*$CJ$10*'Year 7 Payments'!$L$20*IF(B215="",1,0.8),BW215-(IF(B215="",1,0.8)*J215*350))</f>
        <v>624028.5291911111</v>
      </c>
      <c r="BZ215" s="157" t="str">
        <f t="shared" si="109"/>
        <v>0</v>
      </c>
      <c r="CA215" s="157">
        <f t="shared" si="110"/>
        <v>521990.66191999998</v>
      </c>
      <c r="CB215" s="157">
        <f t="shared" si="111"/>
        <v>0</v>
      </c>
      <c r="CC215" s="157">
        <f t="shared" si="112"/>
        <v>2087962.6476799999</v>
      </c>
      <c r="CD215" s="201">
        <f t="shared" si="113"/>
        <v>0</v>
      </c>
      <c r="CE215" s="155">
        <f t="shared" si="114"/>
        <v>521990.66191999998</v>
      </c>
    </row>
    <row r="216" spans="1:83" x14ac:dyDescent="0.2">
      <c r="A216" s="147" t="s">
        <v>687</v>
      </c>
      <c r="B216" s="57" t="s">
        <v>538</v>
      </c>
      <c r="C216" s="57" t="s">
        <v>464</v>
      </c>
      <c r="D216" s="148" t="s">
        <v>244</v>
      </c>
      <c r="E216" s="197">
        <v>21838.777777777777</v>
      </c>
      <c r="F216" s="147">
        <f t="shared" si="104"/>
        <v>23121</v>
      </c>
      <c r="G216" s="342">
        <v>316</v>
      </c>
      <c r="H216" s="149">
        <f t="shared" si="89"/>
        <v>160</v>
      </c>
      <c r="I216" s="346">
        <v>77.755999999999972</v>
      </c>
      <c r="J216" s="150">
        <v>24</v>
      </c>
      <c r="K216"/>
      <c r="L216" s="151">
        <v>3682</v>
      </c>
      <c r="M216" s="151">
        <v>4846</v>
      </c>
      <c r="N216" s="151">
        <v>5386</v>
      </c>
      <c r="O216" s="151">
        <v>3462</v>
      </c>
      <c r="P216" s="151">
        <v>3179</v>
      </c>
      <c r="Q216" s="151">
        <v>1641</v>
      </c>
      <c r="R216" s="151">
        <v>827</v>
      </c>
      <c r="S216" s="151">
        <v>98</v>
      </c>
      <c r="T216" s="151">
        <v>23121</v>
      </c>
      <c r="U216" s="147"/>
      <c r="V216" s="152">
        <f t="shared" si="105"/>
        <v>0.15924916742355436</v>
      </c>
      <c r="W216" s="152">
        <f t="shared" si="90"/>
        <v>0.20959301068292893</v>
      </c>
      <c r="X216" s="152">
        <f t="shared" si="91"/>
        <v>0.2329484018857316</v>
      </c>
      <c r="Y216" s="152">
        <f t="shared" si="92"/>
        <v>0.14973400804463474</v>
      </c>
      <c r="Z216" s="152">
        <f t="shared" si="93"/>
        <v>0.13749405302538817</v>
      </c>
      <c r="AA216" s="152">
        <f t="shared" si="94"/>
        <v>7.0974438821850269E-2</v>
      </c>
      <c r="AB216" s="152">
        <f t="shared" si="95"/>
        <v>3.5768349119847755E-2</v>
      </c>
      <c r="AC216" s="152">
        <f t="shared" si="96"/>
        <v>4.2385709960641839E-3</v>
      </c>
      <c r="AD216" s="152"/>
      <c r="AE216" s="221">
        <v>4</v>
      </c>
      <c r="AF216" s="221">
        <v>22</v>
      </c>
      <c r="AG216" s="221">
        <v>53</v>
      </c>
      <c r="AH216" s="221">
        <v>28</v>
      </c>
      <c r="AI216" s="221">
        <v>28</v>
      </c>
      <c r="AJ216" s="221">
        <v>7</v>
      </c>
      <c r="AK216" s="221">
        <v>10</v>
      </c>
      <c r="AL216" s="221">
        <v>-1</v>
      </c>
      <c r="AM216" s="221">
        <v>151</v>
      </c>
      <c r="AN216" s="147"/>
      <c r="AO216" s="221">
        <v>-1</v>
      </c>
      <c r="AP216" s="221">
        <v>5</v>
      </c>
      <c r="AQ216" s="221">
        <v>11</v>
      </c>
      <c r="AR216" s="221">
        <v>-13</v>
      </c>
      <c r="AS216" s="221">
        <v>-18</v>
      </c>
      <c r="AT216" s="221">
        <v>1</v>
      </c>
      <c r="AU216" s="221">
        <v>8</v>
      </c>
      <c r="AV216" s="221">
        <v>-2</v>
      </c>
      <c r="AW216" s="221">
        <v>-9</v>
      </c>
      <c r="AX216" s="56">
        <f t="shared" si="116"/>
        <v>1</v>
      </c>
      <c r="AY216" s="56">
        <f t="shared" si="116"/>
        <v>-5</v>
      </c>
      <c r="AZ216" s="56">
        <f t="shared" si="116"/>
        <v>-11</v>
      </c>
      <c r="BA216" s="56">
        <f t="shared" si="116"/>
        <v>13</v>
      </c>
      <c r="BB216" s="56">
        <f t="shared" si="116"/>
        <v>18</v>
      </c>
      <c r="BC216" s="56">
        <f t="shared" si="116"/>
        <v>-1</v>
      </c>
      <c r="BD216" s="56">
        <f t="shared" si="115"/>
        <v>-8</v>
      </c>
      <c r="BE216" s="56">
        <f t="shared" si="115"/>
        <v>2</v>
      </c>
      <c r="BF216" s="56">
        <f t="shared" si="115"/>
        <v>9</v>
      </c>
      <c r="BH216">
        <f t="shared" si="97"/>
        <v>0.8</v>
      </c>
      <c r="BI216">
        <f t="shared" si="106"/>
        <v>0.19999999999999996</v>
      </c>
      <c r="BJ216" s="154">
        <v>45159.525333333338</v>
      </c>
      <c r="BK216" s="155">
        <f t="shared" si="98"/>
        <v>45159.525333333338</v>
      </c>
      <c r="BL216" s="156">
        <v>143251.31288888888</v>
      </c>
      <c r="BM216" s="155">
        <f t="shared" si="99"/>
        <v>143251.31288888888</v>
      </c>
      <c r="BN216" s="158">
        <v>237038.60533333337</v>
      </c>
      <c r="BO216" s="155">
        <f t="shared" si="100"/>
        <v>237038.60533333337</v>
      </c>
      <c r="BP216" s="158">
        <v>118170.45333333332</v>
      </c>
      <c r="BQ216" s="155">
        <f t="shared" si="101"/>
        <v>118170.45333333332</v>
      </c>
      <c r="BR216" s="158">
        <v>208042.58666666667</v>
      </c>
      <c r="BS216" s="155">
        <f t="shared" si="102"/>
        <v>208042.58666666667</v>
      </c>
      <c r="BT216" s="194">
        <v>113434.68266666667</v>
      </c>
      <c r="BU216" s="194"/>
      <c r="BV216" s="348">
        <f t="shared" si="107"/>
        <v>113434.68266666667</v>
      </c>
      <c r="BW216" s="195">
        <f t="shared" si="103"/>
        <v>208757.8808888889</v>
      </c>
      <c r="BX216" s="157">
        <f t="shared" si="108"/>
        <v>52189.470222222226</v>
      </c>
      <c r="BY216" s="157">
        <f>IF(E216*$CJ$10*'Year 7 Payments'!$L$20*IF(B216="",1,0.8)&lt;=(BW216-(J216*350)),E216*$CJ$10*'Year 7 Payments'!$L$20*IF(B216="",1,0.8),BW216-(IF(B216="",1,0.8)*J216*350))</f>
        <v>106891.9070008889</v>
      </c>
      <c r="BZ216" s="157">
        <f t="shared" si="109"/>
        <v>26722.976750222224</v>
      </c>
      <c r="CA216" s="157">
        <f t="shared" si="110"/>
        <v>101865.97388800001</v>
      </c>
      <c r="CB216" s="157">
        <f t="shared" si="111"/>
        <v>25466.493472000002</v>
      </c>
      <c r="CC216" s="157">
        <f t="shared" si="112"/>
        <v>407463.89555200003</v>
      </c>
      <c r="CD216" s="201">
        <f t="shared" si="113"/>
        <v>101865.97388800001</v>
      </c>
      <c r="CE216" s="155">
        <f t="shared" si="114"/>
        <v>101865.97388800001</v>
      </c>
    </row>
    <row r="217" spans="1:83" x14ac:dyDescent="0.2">
      <c r="A217" s="147" t="s">
        <v>688</v>
      </c>
      <c r="B217" s="57"/>
      <c r="C217" s="57" t="s">
        <v>446</v>
      </c>
      <c r="D217" s="148" t="s">
        <v>245</v>
      </c>
      <c r="E217" s="197">
        <v>72184.666666666672</v>
      </c>
      <c r="F217" s="147">
        <f t="shared" si="104"/>
        <v>92979</v>
      </c>
      <c r="G217" s="342">
        <v>901</v>
      </c>
      <c r="H217" s="149">
        <f t="shared" si="89"/>
        <v>696</v>
      </c>
      <c r="I217" s="346">
        <v>337.59466666666668</v>
      </c>
      <c r="J217" s="150">
        <v>31</v>
      </c>
      <c r="K217"/>
      <c r="L217" s="151">
        <v>51075</v>
      </c>
      <c r="M217" s="151">
        <v>15430</v>
      </c>
      <c r="N217" s="151">
        <v>11906</v>
      </c>
      <c r="O217" s="151">
        <v>7758</v>
      </c>
      <c r="P217" s="151">
        <v>4260</v>
      </c>
      <c r="Q217" s="151">
        <v>1629</v>
      </c>
      <c r="R217" s="151">
        <v>867</v>
      </c>
      <c r="S217" s="151">
        <v>54</v>
      </c>
      <c r="T217" s="151">
        <v>92979</v>
      </c>
      <c r="U217" s="147"/>
      <c r="V217" s="152">
        <f t="shared" si="105"/>
        <v>0.54931758784241602</v>
      </c>
      <c r="W217" s="152">
        <f t="shared" si="90"/>
        <v>0.16595145140300499</v>
      </c>
      <c r="X217" s="152">
        <f t="shared" si="91"/>
        <v>0.12805041998730896</v>
      </c>
      <c r="Y217" s="152">
        <f t="shared" si="92"/>
        <v>8.3438195721614553E-2</v>
      </c>
      <c r="Z217" s="152">
        <f t="shared" si="93"/>
        <v>4.581679734133514E-2</v>
      </c>
      <c r="AA217" s="152">
        <f t="shared" si="94"/>
        <v>1.7520085180524635E-2</v>
      </c>
      <c r="AB217" s="152">
        <f t="shared" si="95"/>
        <v>9.3246862194689122E-3</v>
      </c>
      <c r="AC217" s="152">
        <f t="shared" si="96"/>
        <v>5.8077630432678347E-4</v>
      </c>
      <c r="AD217" s="152"/>
      <c r="AE217" s="221">
        <v>-10</v>
      </c>
      <c r="AF217" s="221">
        <v>222</v>
      </c>
      <c r="AG217" s="221">
        <v>198</v>
      </c>
      <c r="AH217" s="221">
        <v>85</v>
      </c>
      <c r="AI217" s="221">
        <v>77</v>
      </c>
      <c r="AJ217" s="221">
        <v>15</v>
      </c>
      <c r="AK217" s="221">
        <v>2</v>
      </c>
      <c r="AL217" s="221">
        <v>0</v>
      </c>
      <c r="AM217" s="221">
        <v>589</v>
      </c>
      <c r="AN217" s="147"/>
      <c r="AO217" s="221">
        <v>-88</v>
      </c>
      <c r="AP217" s="221">
        <v>-9</v>
      </c>
      <c r="AQ217" s="221">
        <v>-23</v>
      </c>
      <c r="AR217" s="221">
        <v>23</v>
      </c>
      <c r="AS217" s="221">
        <v>3</v>
      </c>
      <c r="AT217" s="221">
        <v>-4</v>
      </c>
      <c r="AU217" s="221">
        <v>-9</v>
      </c>
      <c r="AV217" s="221">
        <v>0</v>
      </c>
      <c r="AW217" s="221">
        <v>-107</v>
      </c>
      <c r="AX217" s="56">
        <f t="shared" si="116"/>
        <v>88</v>
      </c>
      <c r="AY217" s="56">
        <f t="shared" si="116"/>
        <v>9</v>
      </c>
      <c r="AZ217" s="56">
        <f t="shared" si="116"/>
        <v>23</v>
      </c>
      <c r="BA217" s="56">
        <f t="shared" si="116"/>
        <v>-23</v>
      </c>
      <c r="BB217" s="56">
        <f t="shared" si="116"/>
        <v>-3</v>
      </c>
      <c r="BC217" s="56">
        <f t="shared" si="116"/>
        <v>4</v>
      </c>
      <c r="BD217" s="56">
        <f t="shared" si="115"/>
        <v>9</v>
      </c>
      <c r="BE217" s="56">
        <f t="shared" si="115"/>
        <v>0</v>
      </c>
      <c r="BF217" s="56">
        <f t="shared" si="115"/>
        <v>107</v>
      </c>
      <c r="BH217">
        <f t="shared" si="97"/>
        <v>1</v>
      </c>
      <c r="BI217">
        <f t="shared" si="106"/>
        <v>0</v>
      </c>
      <c r="BJ217" s="154">
        <v>334698.60666666669</v>
      </c>
      <c r="BK217" s="155">
        <f t="shared" si="98"/>
        <v>334698.60666666669</v>
      </c>
      <c r="BL217" s="156">
        <v>607656.56666666665</v>
      </c>
      <c r="BM217" s="155">
        <f t="shared" si="99"/>
        <v>607656.56666666665</v>
      </c>
      <c r="BN217" s="158">
        <v>619023.18555555574</v>
      </c>
      <c r="BO217" s="155">
        <f t="shared" si="100"/>
        <v>619023.18555555574</v>
      </c>
      <c r="BP217" s="158">
        <v>1068956.1333333333</v>
      </c>
      <c r="BQ217" s="155">
        <f t="shared" si="101"/>
        <v>1068956.1333333333</v>
      </c>
      <c r="BR217" s="158">
        <v>626069.14888888889</v>
      </c>
      <c r="BS217" s="155">
        <f t="shared" si="102"/>
        <v>626069.14888888889</v>
      </c>
      <c r="BT217" s="194">
        <v>730613.31777777779</v>
      </c>
      <c r="BU217" s="194"/>
      <c r="BV217" s="348">
        <f t="shared" si="107"/>
        <v>730613.31777777779</v>
      </c>
      <c r="BW217" s="195">
        <f t="shared" si="103"/>
        <v>968864.41333333333</v>
      </c>
      <c r="BX217" s="157" t="str">
        <f t="shared" si="108"/>
        <v>0</v>
      </c>
      <c r="BY217" s="157">
        <f>IF(E217*$CJ$10*'Year 7 Payments'!$L$20*IF(B217="",1,0.8)&lt;=(BW217-(J217*350)),E217*$CJ$10*'Year 7 Payments'!$L$20*IF(B217="",1,0.8),BW217-(IF(B217="",1,0.8)*J217*350))</f>
        <v>441643.11498666671</v>
      </c>
      <c r="BZ217" s="157" t="str">
        <f t="shared" si="109"/>
        <v>0</v>
      </c>
      <c r="CA217" s="157">
        <f t="shared" si="110"/>
        <v>527221.29834666662</v>
      </c>
      <c r="CB217" s="157">
        <f t="shared" si="111"/>
        <v>0</v>
      </c>
      <c r="CC217" s="157">
        <f t="shared" si="112"/>
        <v>2108885.1933866665</v>
      </c>
      <c r="CD217" s="201">
        <f t="shared" si="113"/>
        <v>0</v>
      </c>
      <c r="CE217" s="155">
        <f t="shared" si="114"/>
        <v>527221.29834666662</v>
      </c>
    </row>
    <row r="218" spans="1:83" x14ac:dyDescent="0.2">
      <c r="A218" s="147" t="s">
        <v>689</v>
      </c>
      <c r="B218" s="57" t="s">
        <v>467</v>
      </c>
      <c r="C218" s="57" t="s">
        <v>459</v>
      </c>
      <c r="D218" s="148" t="s">
        <v>246</v>
      </c>
      <c r="E218" s="197">
        <v>35491.111111111109</v>
      </c>
      <c r="F218" s="147">
        <f t="shared" si="104"/>
        <v>35390</v>
      </c>
      <c r="G218" s="342">
        <v>181</v>
      </c>
      <c r="H218" s="149">
        <f t="shared" si="89"/>
        <v>151</v>
      </c>
      <c r="I218" s="346">
        <v>52.47999999999999</v>
      </c>
      <c r="J218" s="150">
        <v>54</v>
      </c>
      <c r="K218"/>
      <c r="L218" s="151">
        <v>1389</v>
      </c>
      <c r="M218" s="151">
        <v>3635</v>
      </c>
      <c r="N218" s="151">
        <v>11537</v>
      </c>
      <c r="O218" s="151">
        <v>10346</v>
      </c>
      <c r="P218" s="151">
        <v>4816</v>
      </c>
      <c r="Q218" s="151">
        <v>2324</v>
      </c>
      <c r="R218" s="151">
        <v>1266</v>
      </c>
      <c r="S218" s="151">
        <v>77</v>
      </c>
      <c r="T218" s="151">
        <v>35390</v>
      </c>
      <c r="U218" s="147"/>
      <c r="V218" s="152">
        <f t="shared" si="105"/>
        <v>3.9248375247244983E-2</v>
      </c>
      <c r="W218" s="152">
        <f t="shared" si="90"/>
        <v>0.10271263068663464</v>
      </c>
      <c r="X218" s="152">
        <f t="shared" si="91"/>
        <v>0.32599604408024868</v>
      </c>
      <c r="Y218" s="152">
        <f t="shared" si="92"/>
        <v>0.29234246962418764</v>
      </c>
      <c r="Z218" s="152">
        <f t="shared" si="93"/>
        <v>0.13608363944617125</v>
      </c>
      <c r="AA218" s="152">
        <f t="shared" si="94"/>
        <v>6.5668267872280306E-2</v>
      </c>
      <c r="AB218" s="152">
        <f t="shared" si="95"/>
        <v>3.5772817179994351E-2</v>
      </c>
      <c r="AC218" s="152">
        <f t="shared" si="96"/>
        <v>2.1757558632382028E-3</v>
      </c>
      <c r="AD218" s="152"/>
      <c r="AE218" s="221">
        <v>12</v>
      </c>
      <c r="AF218" s="221">
        <v>11</v>
      </c>
      <c r="AG218" s="221">
        <v>-19</v>
      </c>
      <c r="AH218" s="221">
        <v>42</v>
      </c>
      <c r="AI218" s="221">
        <v>17</v>
      </c>
      <c r="AJ218" s="221">
        <v>40</v>
      </c>
      <c r="AK218" s="221">
        <v>40</v>
      </c>
      <c r="AL218" s="221">
        <v>0</v>
      </c>
      <c r="AM218" s="221">
        <v>143</v>
      </c>
      <c r="AN218" s="147"/>
      <c r="AO218" s="221">
        <v>-3</v>
      </c>
      <c r="AP218" s="221">
        <v>3</v>
      </c>
      <c r="AQ218" s="221">
        <v>-3</v>
      </c>
      <c r="AR218" s="221">
        <v>-3</v>
      </c>
      <c r="AS218" s="221">
        <v>0</v>
      </c>
      <c r="AT218" s="221">
        <v>-5</v>
      </c>
      <c r="AU218" s="221">
        <v>3</v>
      </c>
      <c r="AV218" s="221">
        <v>0</v>
      </c>
      <c r="AW218" s="221">
        <v>-8</v>
      </c>
      <c r="AX218" s="56">
        <f t="shared" si="116"/>
        <v>3</v>
      </c>
      <c r="AY218" s="56">
        <f t="shared" si="116"/>
        <v>-3</v>
      </c>
      <c r="AZ218" s="56">
        <f t="shared" si="116"/>
        <v>3</v>
      </c>
      <c r="BA218" s="56">
        <f t="shared" si="116"/>
        <v>3</v>
      </c>
      <c r="BB218" s="56">
        <f t="shared" si="116"/>
        <v>0</v>
      </c>
      <c r="BC218" s="56">
        <f t="shared" si="116"/>
        <v>5</v>
      </c>
      <c r="BD218" s="56">
        <f t="shared" si="115"/>
        <v>-3</v>
      </c>
      <c r="BE218" s="56">
        <f t="shared" si="115"/>
        <v>0</v>
      </c>
      <c r="BF218" s="56">
        <f t="shared" si="115"/>
        <v>8</v>
      </c>
      <c r="BH218">
        <f t="shared" si="97"/>
        <v>0.8</v>
      </c>
      <c r="BI218">
        <f t="shared" si="106"/>
        <v>0.19999999999999996</v>
      </c>
      <c r="BJ218" s="154">
        <v>116800.69866666669</v>
      </c>
      <c r="BK218" s="155">
        <f t="shared" si="98"/>
        <v>116800.69866666669</v>
      </c>
      <c r="BL218" s="156">
        <v>149306.49866666668</v>
      </c>
      <c r="BM218" s="155">
        <f t="shared" si="99"/>
        <v>149306.49866666668</v>
      </c>
      <c r="BN218" s="158">
        <v>174365.82577777779</v>
      </c>
      <c r="BO218" s="155">
        <f t="shared" si="100"/>
        <v>174365.82577777779</v>
      </c>
      <c r="BP218" s="158">
        <v>155281.17333333334</v>
      </c>
      <c r="BQ218" s="155">
        <f t="shared" si="101"/>
        <v>155281.17333333334</v>
      </c>
      <c r="BR218" s="158">
        <v>457819.32977777789</v>
      </c>
      <c r="BS218" s="155">
        <f t="shared" si="102"/>
        <v>457819.32977777789</v>
      </c>
      <c r="BT218" s="194">
        <v>314341.60177777777</v>
      </c>
      <c r="BU218" s="194"/>
      <c r="BV218" s="348">
        <f t="shared" si="107"/>
        <v>314341.60177777777</v>
      </c>
      <c r="BW218" s="195">
        <f t="shared" si="103"/>
        <v>253051.55555555556</v>
      </c>
      <c r="BX218" s="157">
        <f t="shared" si="108"/>
        <v>63262.888888888891</v>
      </c>
      <c r="BY218" s="157">
        <f>IF(E218*$CJ$10*'Year 7 Payments'!$L$20*IF(B218="",1,0.8)&lt;=(BW218-(J218*350)),E218*$CJ$10*'Year 7 Payments'!$L$20*IF(B218="",1,0.8),BW218-(IF(B218="",1,0.8)*J218*350))</f>
        <v>173714.50851555556</v>
      </c>
      <c r="BZ218" s="157">
        <f t="shared" si="109"/>
        <v>43428.627128888889</v>
      </c>
      <c r="CA218" s="157">
        <f t="shared" si="110"/>
        <v>79337.047040000005</v>
      </c>
      <c r="CB218" s="157">
        <f t="shared" si="111"/>
        <v>19834.261760000001</v>
      </c>
      <c r="CC218" s="157">
        <f t="shared" si="112"/>
        <v>317348.18816000002</v>
      </c>
      <c r="CD218" s="201">
        <f t="shared" si="113"/>
        <v>79337.047040000005</v>
      </c>
      <c r="CE218" s="155">
        <f t="shared" si="114"/>
        <v>79337.047040000005</v>
      </c>
    </row>
    <row r="219" spans="1:83" x14ac:dyDescent="0.2">
      <c r="A219" s="147" t="s">
        <v>690</v>
      </c>
      <c r="B219" s="57" t="s">
        <v>503</v>
      </c>
      <c r="C219" s="57" t="s">
        <v>446</v>
      </c>
      <c r="D219" s="148" t="s">
        <v>247</v>
      </c>
      <c r="E219" s="197">
        <v>25174.555555555555</v>
      </c>
      <c r="F219" s="147">
        <f t="shared" si="104"/>
        <v>31670</v>
      </c>
      <c r="G219" s="342">
        <v>554</v>
      </c>
      <c r="H219" s="149">
        <f t="shared" si="89"/>
        <v>176</v>
      </c>
      <c r="I219" s="346">
        <v>63.96844444444443</v>
      </c>
      <c r="J219" s="150">
        <v>12</v>
      </c>
      <c r="K219"/>
      <c r="L219" s="151">
        <v>16212</v>
      </c>
      <c r="M219" s="151">
        <v>4985</v>
      </c>
      <c r="N219" s="151">
        <v>4122</v>
      </c>
      <c r="O219" s="151">
        <v>3300</v>
      </c>
      <c r="P219" s="151">
        <v>1923</v>
      </c>
      <c r="Q219" s="151">
        <v>652</v>
      </c>
      <c r="R219" s="151">
        <v>438</v>
      </c>
      <c r="S219" s="151">
        <v>38</v>
      </c>
      <c r="T219" s="151">
        <v>31670</v>
      </c>
      <c r="U219" s="147"/>
      <c r="V219" s="152">
        <f t="shared" si="105"/>
        <v>0.5119040101041995</v>
      </c>
      <c r="W219" s="152">
        <f t="shared" si="90"/>
        <v>0.15740448373855384</v>
      </c>
      <c r="X219" s="152">
        <f t="shared" si="91"/>
        <v>0.13015472055573096</v>
      </c>
      <c r="Y219" s="152">
        <f t="shared" si="92"/>
        <v>0.10419955794126934</v>
      </c>
      <c r="Z219" s="152">
        <f t="shared" si="93"/>
        <v>6.0719924218503314E-2</v>
      </c>
      <c r="AA219" s="152">
        <f t="shared" si="94"/>
        <v>2.0587306599305338E-2</v>
      </c>
      <c r="AB219" s="152">
        <f t="shared" si="95"/>
        <v>1.3830123144932113E-2</v>
      </c>
      <c r="AC219" s="152">
        <f t="shared" si="96"/>
        <v>1.1998736975055257E-3</v>
      </c>
      <c r="AD219" s="152"/>
      <c r="AE219" s="221">
        <v>28</v>
      </c>
      <c r="AF219" s="221">
        <v>54</v>
      </c>
      <c r="AG219" s="221">
        <v>54</v>
      </c>
      <c r="AH219" s="221">
        <v>13</v>
      </c>
      <c r="AI219" s="221">
        <v>21</v>
      </c>
      <c r="AJ219" s="221">
        <v>4</v>
      </c>
      <c r="AK219" s="221">
        <v>1</v>
      </c>
      <c r="AL219" s="221">
        <v>0</v>
      </c>
      <c r="AM219" s="221">
        <v>175</v>
      </c>
      <c r="AN219" s="147"/>
      <c r="AO219" s="221">
        <v>29</v>
      </c>
      <c r="AP219" s="221">
        <v>-18</v>
      </c>
      <c r="AQ219" s="221">
        <v>0</v>
      </c>
      <c r="AR219" s="221">
        <v>-1</v>
      </c>
      <c r="AS219" s="221">
        <v>-5</v>
      </c>
      <c r="AT219" s="221">
        <v>-7</v>
      </c>
      <c r="AU219" s="221">
        <v>0</v>
      </c>
      <c r="AV219" s="221">
        <v>1</v>
      </c>
      <c r="AW219" s="221">
        <v>-1</v>
      </c>
      <c r="AX219" s="56">
        <f t="shared" si="116"/>
        <v>-29</v>
      </c>
      <c r="AY219" s="56">
        <f t="shared" si="116"/>
        <v>18</v>
      </c>
      <c r="AZ219" s="56">
        <f t="shared" si="116"/>
        <v>0</v>
      </c>
      <c r="BA219" s="56">
        <f t="shared" si="116"/>
        <v>1</v>
      </c>
      <c r="BB219" s="56">
        <f t="shared" si="116"/>
        <v>5</v>
      </c>
      <c r="BC219" s="56">
        <f t="shared" si="116"/>
        <v>7</v>
      </c>
      <c r="BD219" s="56">
        <f t="shared" si="115"/>
        <v>0</v>
      </c>
      <c r="BE219" s="56">
        <f t="shared" si="115"/>
        <v>-1</v>
      </c>
      <c r="BF219" s="56">
        <f t="shared" si="115"/>
        <v>1</v>
      </c>
      <c r="BH219">
        <f t="shared" si="97"/>
        <v>0.8</v>
      </c>
      <c r="BI219">
        <f t="shared" si="106"/>
        <v>0.19999999999999996</v>
      </c>
      <c r="BJ219" s="154">
        <v>102472.46400000001</v>
      </c>
      <c r="BK219" s="155">
        <f t="shared" si="98"/>
        <v>102472.46400000001</v>
      </c>
      <c r="BL219" s="156">
        <v>114638.80711111108</v>
      </c>
      <c r="BM219" s="155">
        <f t="shared" si="99"/>
        <v>114638.80711111108</v>
      </c>
      <c r="BN219" s="158">
        <v>73084.98577777778</v>
      </c>
      <c r="BO219" s="155">
        <f t="shared" si="100"/>
        <v>73084.98577777778</v>
      </c>
      <c r="BP219" s="158">
        <v>248193.92000000004</v>
      </c>
      <c r="BQ219" s="155">
        <f t="shared" si="101"/>
        <v>248193.92000000004</v>
      </c>
      <c r="BR219" s="158">
        <v>241669.69244444446</v>
      </c>
      <c r="BS219" s="155">
        <f t="shared" si="102"/>
        <v>241669.69244444446</v>
      </c>
      <c r="BT219" s="194">
        <v>190134.6097777778</v>
      </c>
      <c r="BU219" s="194"/>
      <c r="BV219" s="348">
        <f t="shared" si="107"/>
        <v>190134.6097777778</v>
      </c>
      <c r="BW219" s="195">
        <f t="shared" si="103"/>
        <v>204854.03733333331</v>
      </c>
      <c r="BX219" s="157">
        <f t="shared" si="108"/>
        <v>51213.509333333328</v>
      </c>
      <c r="BY219" s="157">
        <f>IF(E219*$CJ$10*'Year 7 Payments'!$L$20*IF(B219="",1,0.8)&lt;=(BW219-(J219*350)),E219*$CJ$10*'Year 7 Payments'!$L$20*IF(B219="",1,0.8),BW219-(IF(B219="",1,0.8)*J219*350))</f>
        <v>123219.17822577777</v>
      </c>
      <c r="BZ219" s="157">
        <f t="shared" si="109"/>
        <v>30804.794556444442</v>
      </c>
      <c r="CA219" s="157">
        <f t="shared" si="110"/>
        <v>81634.859107555545</v>
      </c>
      <c r="CB219" s="157">
        <f t="shared" si="111"/>
        <v>20408.714776888886</v>
      </c>
      <c r="CC219" s="157">
        <f t="shared" si="112"/>
        <v>326539.43643022218</v>
      </c>
      <c r="CD219" s="201">
        <f t="shared" si="113"/>
        <v>81634.859107555545</v>
      </c>
      <c r="CE219" s="155">
        <f t="shared" si="114"/>
        <v>81634.859107555545</v>
      </c>
    </row>
    <row r="220" spans="1:83" x14ac:dyDescent="0.2">
      <c r="A220" s="147" t="s">
        <v>691</v>
      </c>
      <c r="B220" s="57" t="s">
        <v>564</v>
      </c>
      <c r="C220" s="57" t="s">
        <v>443</v>
      </c>
      <c r="D220" s="148" t="s">
        <v>248</v>
      </c>
      <c r="E220" s="197">
        <v>45149.777777777774</v>
      </c>
      <c r="F220" s="147">
        <f t="shared" si="104"/>
        <v>44701</v>
      </c>
      <c r="G220" s="342">
        <v>434</v>
      </c>
      <c r="H220" s="149">
        <f t="shared" si="89"/>
        <v>190</v>
      </c>
      <c r="I220" s="346">
        <v>35.400888888888915</v>
      </c>
      <c r="J220" s="150">
        <v>103</v>
      </c>
      <c r="K220"/>
      <c r="L220" s="151">
        <v>4715</v>
      </c>
      <c r="M220" s="151">
        <v>7141</v>
      </c>
      <c r="N220" s="151">
        <v>9855</v>
      </c>
      <c r="O220" s="151">
        <v>9000</v>
      </c>
      <c r="P220" s="151">
        <v>7299</v>
      </c>
      <c r="Q220" s="151">
        <v>3818</v>
      </c>
      <c r="R220" s="151">
        <v>2606</v>
      </c>
      <c r="S220" s="151">
        <v>267</v>
      </c>
      <c r="T220" s="151">
        <v>44701</v>
      </c>
      <c r="U220" s="147"/>
      <c r="V220" s="152">
        <f t="shared" si="105"/>
        <v>0.10547862463926981</v>
      </c>
      <c r="W220" s="152">
        <f t="shared" si="90"/>
        <v>0.15975034115567885</v>
      </c>
      <c r="X220" s="152">
        <f t="shared" si="91"/>
        <v>0.22046486655779512</v>
      </c>
      <c r="Y220" s="152">
        <f t="shared" si="92"/>
        <v>0.2013377776783517</v>
      </c>
      <c r="Z220" s="152">
        <f t="shared" si="93"/>
        <v>0.16328493769714325</v>
      </c>
      <c r="AA220" s="152">
        <f t="shared" si="94"/>
        <v>8.5411959463994089E-2</v>
      </c>
      <c r="AB220" s="152">
        <f t="shared" si="95"/>
        <v>5.8298472069976064E-2</v>
      </c>
      <c r="AC220" s="152">
        <f t="shared" si="96"/>
        <v>5.9730207377911007E-3</v>
      </c>
      <c r="AD220" s="152"/>
      <c r="AE220" s="221">
        <v>-30</v>
      </c>
      <c r="AF220" s="221">
        <v>108</v>
      </c>
      <c r="AG220" s="221">
        <v>31</v>
      </c>
      <c r="AH220" s="221">
        <v>38</v>
      </c>
      <c r="AI220" s="221">
        <v>29</v>
      </c>
      <c r="AJ220" s="221">
        <v>49</v>
      </c>
      <c r="AK220" s="221">
        <v>22</v>
      </c>
      <c r="AL220" s="221">
        <v>1</v>
      </c>
      <c r="AM220" s="221">
        <v>248</v>
      </c>
      <c r="AN220" s="147"/>
      <c r="AO220" s="221">
        <v>-17</v>
      </c>
      <c r="AP220" s="221">
        <v>32</v>
      </c>
      <c r="AQ220" s="221">
        <v>14</v>
      </c>
      <c r="AR220" s="221">
        <v>24</v>
      </c>
      <c r="AS220" s="221">
        <v>3</v>
      </c>
      <c r="AT220" s="221">
        <v>-5</v>
      </c>
      <c r="AU220" s="221">
        <v>6</v>
      </c>
      <c r="AV220" s="221">
        <v>1</v>
      </c>
      <c r="AW220" s="221">
        <v>58</v>
      </c>
      <c r="AX220" s="56">
        <f t="shared" si="116"/>
        <v>17</v>
      </c>
      <c r="AY220" s="56">
        <f t="shared" si="116"/>
        <v>-32</v>
      </c>
      <c r="AZ220" s="56">
        <f t="shared" si="116"/>
        <v>-14</v>
      </c>
      <c r="BA220" s="56">
        <f t="shared" si="116"/>
        <v>-24</v>
      </c>
      <c r="BB220" s="56">
        <f t="shared" si="116"/>
        <v>-3</v>
      </c>
      <c r="BC220" s="56">
        <f t="shared" si="116"/>
        <v>5</v>
      </c>
      <c r="BD220" s="56">
        <f t="shared" si="115"/>
        <v>-6</v>
      </c>
      <c r="BE220" s="56">
        <f t="shared" si="115"/>
        <v>-1</v>
      </c>
      <c r="BF220" s="56">
        <f t="shared" si="115"/>
        <v>-58</v>
      </c>
      <c r="BH220">
        <f t="shared" si="97"/>
        <v>0.8</v>
      </c>
      <c r="BI220">
        <f t="shared" si="106"/>
        <v>0.19999999999999996</v>
      </c>
      <c r="BJ220" s="154">
        <v>384943.37599999999</v>
      </c>
      <c r="BK220" s="155">
        <f t="shared" si="98"/>
        <v>384943.37599999999</v>
      </c>
      <c r="BL220" s="156">
        <v>224983.22222222222</v>
      </c>
      <c r="BM220" s="155">
        <f t="shared" si="99"/>
        <v>224983.22222222222</v>
      </c>
      <c r="BN220" s="158">
        <v>160185.25244444446</v>
      </c>
      <c r="BO220" s="155">
        <f t="shared" si="100"/>
        <v>160185.25244444446</v>
      </c>
      <c r="BP220" s="158">
        <v>254692.58666666667</v>
      </c>
      <c r="BQ220" s="155">
        <f t="shared" si="101"/>
        <v>254692.58666666667</v>
      </c>
      <c r="BR220" s="158">
        <v>297075.36888888892</v>
      </c>
      <c r="BS220" s="155">
        <f t="shared" si="102"/>
        <v>297075.36888888892</v>
      </c>
      <c r="BT220" s="194">
        <v>333134.10666666669</v>
      </c>
      <c r="BU220" s="194"/>
      <c r="BV220" s="348">
        <f t="shared" si="107"/>
        <v>333134.10666666669</v>
      </c>
      <c r="BW220" s="195">
        <f t="shared" si="103"/>
        <v>293147.96799999999</v>
      </c>
      <c r="BX220" s="157">
        <f t="shared" si="108"/>
        <v>73286.991999999998</v>
      </c>
      <c r="BY220" s="157">
        <f>IF(E220*$CJ$10*'Year 7 Payments'!$L$20*IF(B220="",1,0.8)&lt;=(BW220-(J220*350)),E220*$CJ$10*'Year 7 Payments'!$L$20*IF(B220="",1,0.8),BW220-(IF(B220="",1,0.8)*J220*350))</f>
        <v>220989.74111288891</v>
      </c>
      <c r="BZ220" s="157">
        <f t="shared" si="109"/>
        <v>55247.435278222227</v>
      </c>
      <c r="CA220" s="157">
        <f t="shared" si="110"/>
        <v>72158.226887111086</v>
      </c>
      <c r="CB220" s="157">
        <f t="shared" si="111"/>
        <v>18039.556721777772</v>
      </c>
      <c r="CC220" s="157">
        <f t="shared" si="112"/>
        <v>288632.90754844435</v>
      </c>
      <c r="CD220" s="201">
        <f t="shared" si="113"/>
        <v>72158.226887111086</v>
      </c>
      <c r="CE220" s="155">
        <f t="shared" si="114"/>
        <v>72158.226887111086</v>
      </c>
    </row>
    <row r="221" spans="1:83" x14ac:dyDescent="0.2">
      <c r="A221" s="147" t="s">
        <v>692</v>
      </c>
      <c r="B221" s="57"/>
      <c r="C221" s="57" t="s">
        <v>464</v>
      </c>
      <c r="D221" s="148" t="s">
        <v>249</v>
      </c>
      <c r="E221" s="197">
        <v>89409.222222222234</v>
      </c>
      <c r="F221" s="147">
        <f t="shared" si="104"/>
        <v>116367</v>
      </c>
      <c r="G221" s="342">
        <v>1118</v>
      </c>
      <c r="H221" s="149">
        <f t="shared" si="89"/>
        <v>804</v>
      </c>
      <c r="I221" s="346">
        <v>405.6964444444443</v>
      </c>
      <c r="J221" s="150">
        <v>97</v>
      </c>
      <c r="K221"/>
      <c r="L221" s="151">
        <v>62867</v>
      </c>
      <c r="M221" s="151">
        <v>22461</v>
      </c>
      <c r="N221" s="151">
        <v>15185</v>
      </c>
      <c r="O221" s="151">
        <v>8872</v>
      </c>
      <c r="P221" s="151">
        <v>4542</v>
      </c>
      <c r="Q221" s="151">
        <v>1687</v>
      </c>
      <c r="R221" s="151">
        <v>691</v>
      </c>
      <c r="S221" s="151">
        <v>62</v>
      </c>
      <c r="T221" s="151">
        <v>116367</v>
      </c>
      <c r="U221" s="147"/>
      <c r="V221" s="152">
        <f t="shared" si="105"/>
        <v>0.54024766471594177</v>
      </c>
      <c r="W221" s="152">
        <f t="shared" si="90"/>
        <v>0.19301863930495758</v>
      </c>
      <c r="X221" s="152">
        <f t="shared" si="91"/>
        <v>0.13049232170632569</v>
      </c>
      <c r="Y221" s="152">
        <f t="shared" si="92"/>
        <v>7.6241546142806815E-2</v>
      </c>
      <c r="Z221" s="152">
        <f t="shared" si="93"/>
        <v>3.9031684240377423E-2</v>
      </c>
      <c r="AA221" s="152">
        <f t="shared" si="94"/>
        <v>1.4497237189237499E-2</v>
      </c>
      <c r="AB221" s="152">
        <f t="shared" si="95"/>
        <v>5.9381096015193313E-3</v>
      </c>
      <c r="AC221" s="152">
        <f t="shared" si="96"/>
        <v>5.3279709883386189E-4</v>
      </c>
      <c r="AD221" s="152"/>
      <c r="AE221" s="221">
        <v>40</v>
      </c>
      <c r="AF221" s="221">
        <v>232</v>
      </c>
      <c r="AG221" s="221">
        <v>177</v>
      </c>
      <c r="AH221" s="221">
        <v>179</v>
      </c>
      <c r="AI221" s="221">
        <v>113</v>
      </c>
      <c r="AJ221" s="221">
        <v>23</v>
      </c>
      <c r="AK221" s="221">
        <v>23</v>
      </c>
      <c r="AL221" s="221">
        <v>3</v>
      </c>
      <c r="AM221" s="221">
        <v>790</v>
      </c>
      <c r="AN221" s="147"/>
      <c r="AO221" s="221">
        <v>-8</v>
      </c>
      <c r="AP221" s="221">
        <v>-16</v>
      </c>
      <c r="AQ221" s="221">
        <v>1</v>
      </c>
      <c r="AR221" s="221">
        <v>5</v>
      </c>
      <c r="AS221" s="221">
        <v>-3</v>
      </c>
      <c r="AT221" s="221">
        <v>0</v>
      </c>
      <c r="AU221" s="221">
        <v>8</v>
      </c>
      <c r="AV221" s="221">
        <v>-1</v>
      </c>
      <c r="AW221" s="221">
        <v>-14</v>
      </c>
      <c r="AX221" s="56">
        <f t="shared" si="116"/>
        <v>8</v>
      </c>
      <c r="AY221" s="56">
        <f t="shared" si="116"/>
        <v>16</v>
      </c>
      <c r="AZ221" s="56">
        <f t="shared" si="116"/>
        <v>-1</v>
      </c>
      <c r="BA221" s="56">
        <f t="shared" si="116"/>
        <v>-5</v>
      </c>
      <c r="BB221" s="56">
        <f t="shared" si="116"/>
        <v>3</v>
      </c>
      <c r="BC221" s="56">
        <f t="shared" si="116"/>
        <v>0</v>
      </c>
      <c r="BD221" s="56">
        <f t="shared" si="115"/>
        <v>-8</v>
      </c>
      <c r="BE221" s="56">
        <f t="shared" si="115"/>
        <v>1</v>
      </c>
      <c r="BF221" s="56">
        <f t="shared" si="115"/>
        <v>14</v>
      </c>
      <c r="BH221">
        <f t="shared" si="97"/>
        <v>1</v>
      </c>
      <c r="BI221">
        <f t="shared" si="106"/>
        <v>0</v>
      </c>
      <c r="BJ221" s="154">
        <v>508364.48666666669</v>
      </c>
      <c r="BK221" s="155">
        <f t="shared" si="98"/>
        <v>508364.48666666669</v>
      </c>
      <c r="BL221" s="156">
        <v>1072235.0944444444</v>
      </c>
      <c r="BM221" s="155">
        <f t="shared" si="99"/>
        <v>1072235.0944444444</v>
      </c>
      <c r="BN221" s="158">
        <v>1167942.7588888891</v>
      </c>
      <c r="BO221" s="155">
        <f t="shared" si="100"/>
        <v>1167942.7588888891</v>
      </c>
      <c r="BP221" s="158">
        <v>1216256</v>
      </c>
      <c r="BQ221" s="155">
        <f t="shared" si="101"/>
        <v>1216256</v>
      </c>
      <c r="BR221" s="158">
        <v>1055442.6600000001</v>
      </c>
      <c r="BS221" s="155">
        <f t="shared" si="102"/>
        <v>1055442.6600000001</v>
      </c>
      <c r="BT221" s="194">
        <v>978344.99777777784</v>
      </c>
      <c r="BU221" s="194"/>
      <c r="BV221" s="348">
        <f t="shared" si="107"/>
        <v>978344.99777777784</v>
      </c>
      <c r="BW221" s="195">
        <f t="shared" si="103"/>
        <v>1201514.1333333333</v>
      </c>
      <c r="BX221" s="157" t="str">
        <f t="shared" si="108"/>
        <v>0</v>
      </c>
      <c r="BY221" s="157">
        <f>IF(E221*$CJ$10*'Year 7 Payments'!$L$20*IF(B221="",1,0.8)&lt;=(BW221-(J221*350)),E221*$CJ$10*'Year 7 Payments'!$L$20*IF(B221="",1,0.8),BW221-(IF(B221="",1,0.8)*J221*350))</f>
        <v>547027.079768889</v>
      </c>
      <c r="BZ221" s="157" t="str">
        <f t="shared" si="109"/>
        <v>0</v>
      </c>
      <c r="CA221" s="157">
        <f t="shared" si="110"/>
        <v>654487.0535644443</v>
      </c>
      <c r="CB221" s="157">
        <f t="shared" si="111"/>
        <v>0</v>
      </c>
      <c r="CC221" s="157">
        <f t="shared" si="112"/>
        <v>2617948.2142577772</v>
      </c>
      <c r="CD221" s="201">
        <f t="shared" si="113"/>
        <v>0</v>
      </c>
      <c r="CE221" s="155">
        <f t="shared" si="114"/>
        <v>654487.0535644443</v>
      </c>
    </row>
    <row r="222" spans="1:83" x14ac:dyDescent="0.2">
      <c r="A222" s="147" t="s">
        <v>693</v>
      </c>
      <c r="B222" s="57" t="s">
        <v>663</v>
      </c>
      <c r="C222" s="57" t="s">
        <v>476</v>
      </c>
      <c r="D222" s="148" t="s">
        <v>250</v>
      </c>
      <c r="E222" s="197">
        <v>41536.555555555555</v>
      </c>
      <c r="F222" s="147">
        <f t="shared" si="104"/>
        <v>45441</v>
      </c>
      <c r="G222" s="342">
        <v>332</v>
      </c>
      <c r="H222" s="149">
        <f t="shared" si="89"/>
        <v>423</v>
      </c>
      <c r="I222" s="346">
        <v>274.40933333333328</v>
      </c>
      <c r="J222" s="150">
        <v>27</v>
      </c>
      <c r="K222"/>
      <c r="L222" s="151">
        <v>8469</v>
      </c>
      <c r="M222" s="151">
        <v>11205</v>
      </c>
      <c r="N222" s="151">
        <v>10860</v>
      </c>
      <c r="O222" s="151">
        <v>6076</v>
      </c>
      <c r="P222" s="151">
        <v>4423</v>
      </c>
      <c r="Q222" s="151">
        <v>2760</v>
      </c>
      <c r="R222" s="151">
        <v>1545</v>
      </c>
      <c r="S222" s="151">
        <v>103</v>
      </c>
      <c r="T222" s="151">
        <v>45441</v>
      </c>
      <c r="U222" s="147"/>
      <c r="V222" s="152">
        <f t="shared" si="105"/>
        <v>0.18637353931471579</v>
      </c>
      <c r="W222" s="152">
        <f t="shared" si="90"/>
        <v>0.24658348187759951</v>
      </c>
      <c r="X222" s="152">
        <f t="shared" si="91"/>
        <v>0.23899121938337625</v>
      </c>
      <c r="Y222" s="152">
        <f t="shared" si="92"/>
        <v>0.13371184613014678</v>
      </c>
      <c r="Z222" s="152">
        <f t="shared" si="93"/>
        <v>9.7335005831737861E-2</v>
      </c>
      <c r="AA222" s="152">
        <f t="shared" si="94"/>
        <v>6.0738099953786227E-2</v>
      </c>
      <c r="AB222" s="152">
        <f t="shared" si="95"/>
        <v>3.4000132039347729E-2</v>
      </c>
      <c r="AC222" s="152">
        <f t="shared" si="96"/>
        <v>2.2666754692898484E-3</v>
      </c>
      <c r="AD222" s="152"/>
      <c r="AE222" s="221">
        <v>55</v>
      </c>
      <c r="AF222" s="221">
        <v>59</v>
      </c>
      <c r="AG222" s="221">
        <v>73</v>
      </c>
      <c r="AH222" s="221">
        <v>103</v>
      </c>
      <c r="AI222" s="221">
        <v>74</v>
      </c>
      <c r="AJ222" s="221">
        <v>42</v>
      </c>
      <c r="AK222" s="221">
        <v>19</v>
      </c>
      <c r="AL222" s="221">
        <v>2</v>
      </c>
      <c r="AM222" s="221">
        <v>427</v>
      </c>
      <c r="AN222" s="147"/>
      <c r="AO222" s="221">
        <v>9</v>
      </c>
      <c r="AP222" s="221">
        <v>-4</v>
      </c>
      <c r="AQ222" s="221">
        <v>1</v>
      </c>
      <c r="AR222" s="221">
        <v>10</v>
      </c>
      <c r="AS222" s="221">
        <v>-3</v>
      </c>
      <c r="AT222" s="221">
        <v>-7</v>
      </c>
      <c r="AU222" s="221">
        <v>-2</v>
      </c>
      <c r="AV222" s="221">
        <v>0</v>
      </c>
      <c r="AW222" s="221">
        <v>4</v>
      </c>
      <c r="AX222" s="56">
        <f t="shared" si="116"/>
        <v>-9</v>
      </c>
      <c r="AY222" s="56">
        <f t="shared" si="116"/>
        <v>4</v>
      </c>
      <c r="AZ222" s="56">
        <f t="shared" si="116"/>
        <v>-1</v>
      </c>
      <c r="BA222" s="56">
        <f t="shared" si="116"/>
        <v>-10</v>
      </c>
      <c r="BB222" s="56">
        <f t="shared" si="116"/>
        <v>3</v>
      </c>
      <c r="BC222" s="56">
        <f t="shared" si="116"/>
        <v>7</v>
      </c>
      <c r="BD222" s="56">
        <f t="shared" si="115"/>
        <v>2</v>
      </c>
      <c r="BE222" s="56">
        <f t="shared" si="115"/>
        <v>0</v>
      </c>
      <c r="BF222" s="56">
        <f t="shared" si="115"/>
        <v>-4</v>
      </c>
      <c r="BH222">
        <f t="shared" si="97"/>
        <v>0.8</v>
      </c>
      <c r="BI222">
        <f t="shared" si="106"/>
        <v>0.19999999999999996</v>
      </c>
      <c r="BJ222" s="154">
        <v>434964.2666666666</v>
      </c>
      <c r="BK222" s="155">
        <f t="shared" si="98"/>
        <v>434964.2666666666</v>
      </c>
      <c r="BL222" s="156">
        <v>458290.91111111111</v>
      </c>
      <c r="BM222" s="155">
        <f t="shared" si="99"/>
        <v>458290.91111111111</v>
      </c>
      <c r="BN222" s="158">
        <v>389696.7297777778</v>
      </c>
      <c r="BO222" s="155">
        <f t="shared" si="100"/>
        <v>389696.7297777778</v>
      </c>
      <c r="BP222" s="158">
        <v>514820.37333333335</v>
      </c>
      <c r="BQ222" s="155">
        <f t="shared" si="101"/>
        <v>514820.37333333335</v>
      </c>
      <c r="BR222" s="158">
        <v>641006.90133333346</v>
      </c>
      <c r="BS222" s="155">
        <f t="shared" si="102"/>
        <v>641006.90133333346</v>
      </c>
      <c r="BT222" s="194">
        <v>777174.49600000004</v>
      </c>
      <c r="BU222" s="194"/>
      <c r="BV222" s="348">
        <f t="shared" si="107"/>
        <v>777174.49600000004</v>
      </c>
      <c r="BW222" s="195">
        <f t="shared" si="103"/>
        <v>546644.92444444436</v>
      </c>
      <c r="BX222" s="157">
        <f t="shared" si="108"/>
        <v>136661.23111111109</v>
      </c>
      <c r="BY222" s="157">
        <f>IF(E222*$CJ$10*'Year 7 Payments'!$L$20*IF(B222="",1,0.8)&lt;=(BW222-(J222*350)),E222*$CJ$10*'Year 7 Payments'!$L$20*IF(B222="",1,0.8),BW222-(IF(B222="",1,0.8)*J222*350))</f>
        <v>203304.49252977778</v>
      </c>
      <c r="BZ222" s="157">
        <f t="shared" si="109"/>
        <v>50826.123132444445</v>
      </c>
      <c r="CA222" s="157">
        <f t="shared" si="110"/>
        <v>343340.43191466655</v>
      </c>
      <c r="CB222" s="157">
        <f t="shared" si="111"/>
        <v>85835.107978666638</v>
      </c>
      <c r="CC222" s="157">
        <f t="shared" si="112"/>
        <v>1373361.7276586662</v>
      </c>
      <c r="CD222" s="201">
        <f t="shared" si="113"/>
        <v>343340.43191466655</v>
      </c>
      <c r="CE222" s="155">
        <f t="shared" si="114"/>
        <v>343340.43191466655</v>
      </c>
    </row>
    <row r="223" spans="1:83" x14ac:dyDescent="0.2">
      <c r="A223" s="147" t="s">
        <v>694</v>
      </c>
      <c r="B223" s="57" t="s">
        <v>568</v>
      </c>
      <c r="C223" s="57" t="s">
        <v>443</v>
      </c>
      <c r="D223" s="148" t="s">
        <v>251</v>
      </c>
      <c r="E223" s="197">
        <v>39510.333333333336</v>
      </c>
      <c r="F223" s="147">
        <f t="shared" si="104"/>
        <v>35386</v>
      </c>
      <c r="G223" s="342">
        <v>275</v>
      </c>
      <c r="H223" s="149">
        <f t="shared" si="89"/>
        <v>239</v>
      </c>
      <c r="I223" s="346">
        <v>30.847555555555573</v>
      </c>
      <c r="J223" s="150">
        <v>17</v>
      </c>
      <c r="K223"/>
      <c r="L223" s="151">
        <v>1596</v>
      </c>
      <c r="M223" s="151">
        <v>1342</v>
      </c>
      <c r="N223" s="151">
        <v>6708</v>
      </c>
      <c r="O223" s="151">
        <v>11213</v>
      </c>
      <c r="P223" s="151">
        <v>6612</v>
      </c>
      <c r="Q223" s="151">
        <v>3936</v>
      </c>
      <c r="R223" s="151">
        <v>2902</v>
      </c>
      <c r="S223" s="151">
        <v>1077</v>
      </c>
      <c r="T223" s="151">
        <v>35386</v>
      </c>
      <c r="U223" s="147"/>
      <c r="V223" s="152">
        <f t="shared" si="105"/>
        <v>4.5102582942406599E-2</v>
      </c>
      <c r="W223" s="152">
        <f t="shared" si="90"/>
        <v>3.7924602950319332E-2</v>
      </c>
      <c r="X223" s="152">
        <f t="shared" si="91"/>
        <v>0.18956649522409993</v>
      </c>
      <c r="Y223" s="152">
        <f t="shared" si="92"/>
        <v>0.31687673091052959</v>
      </c>
      <c r="Z223" s="152">
        <f t="shared" si="93"/>
        <v>0.18685355790425592</v>
      </c>
      <c r="AA223" s="152">
        <f t="shared" si="94"/>
        <v>0.11123043011360426</v>
      </c>
      <c r="AB223" s="152">
        <f t="shared" si="95"/>
        <v>8.2009834397784434E-2</v>
      </c>
      <c r="AC223" s="152">
        <f t="shared" si="96"/>
        <v>3.0435765556999943E-2</v>
      </c>
      <c r="AD223" s="152"/>
      <c r="AE223" s="221">
        <v>117</v>
      </c>
      <c r="AF223" s="221">
        <v>38</v>
      </c>
      <c r="AG223" s="221">
        <v>67</v>
      </c>
      <c r="AH223" s="221">
        <v>52</v>
      </c>
      <c r="AI223" s="221">
        <v>40</v>
      </c>
      <c r="AJ223" s="221">
        <v>0</v>
      </c>
      <c r="AK223" s="221">
        <v>-1</v>
      </c>
      <c r="AL223" s="221">
        <v>12</v>
      </c>
      <c r="AM223" s="221">
        <v>325</v>
      </c>
      <c r="AN223" s="147"/>
      <c r="AO223" s="221">
        <v>8</v>
      </c>
      <c r="AP223" s="221">
        <v>-4</v>
      </c>
      <c r="AQ223" s="221">
        <v>21</v>
      </c>
      <c r="AR223" s="221">
        <v>30</v>
      </c>
      <c r="AS223" s="221">
        <v>8</v>
      </c>
      <c r="AT223" s="221">
        <v>4</v>
      </c>
      <c r="AU223" s="221">
        <v>9</v>
      </c>
      <c r="AV223" s="221">
        <v>10</v>
      </c>
      <c r="AW223" s="221">
        <v>86</v>
      </c>
      <c r="AX223" s="56">
        <f t="shared" si="116"/>
        <v>-8</v>
      </c>
      <c r="AY223" s="56">
        <f t="shared" si="116"/>
        <v>4</v>
      </c>
      <c r="AZ223" s="56">
        <f t="shared" si="116"/>
        <v>-21</v>
      </c>
      <c r="BA223" s="56">
        <f t="shared" si="116"/>
        <v>-30</v>
      </c>
      <c r="BB223" s="56">
        <f t="shared" si="116"/>
        <v>-8</v>
      </c>
      <c r="BC223" s="56">
        <f t="shared" si="116"/>
        <v>-4</v>
      </c>
      <c r="BD223" s="56">
        <f t="shared" si="115"/>
        <v>-9</v>
      </c>
      <c r="BE223" s="56">
        <f t="shared" si="115"/>
        <v>-10</v>
      </c>
      <c r="BF223" s="56">
        <f t="shared" si="115"/>
        <v>-86</v>
      </c>
      <c r="BH223">
        <f t="shared" si="97"/>
        <v>0.8</v>
      </c>
      <c r="BI223">
        <f t="shared" si="106"/>
        <v>0.19999999999999996</v>
      </c>
      <c r="BJ223" s="154">
        <v>430102.90133333328</v>
      </c>
      <c r="BK223" s="155">
        <f t="shared" si="98"/>
        <v>430102.90133333328</v>
      </c>
      <c r="BL223" s="156">
        <v>313225.40444444446</v>
      </c>
      <c r="BM223" s="155">
        <f t="shared" si="99"/>
        <v>313225.40444444446</v>
      </c>
      <c r="BN223" s="158">
        <v>318358.42044444452</v>
      </c>
      <c r="BO223" s="155">
        <f t="shared" si="100"/>
        <v>318358.42044444452</v>
      </c>
      <c r="BP223" s="158">
        <v>232307.62666666668</v>
      </c>
      <c r="BQ223" s="155">
        <f t="shared" si="101"/>
        <v>232307.62666666668</v>
      </c>
      <c r="BR223" s="158">
        <v>210081.38311111109</v>
      </c>
      <c r="BS223" s="155">
        <f t="shared" si="102"/>
        <v>210081.38311111109</v>
      </c>
      <c r="BT223" s="194">
        <v>506845.36</v>
      </c>
      <c r="BU223" s="194"/>
      <c r="BV223" s="348">
        <f t="shared" si="107"/>
        <v>506845.36</v>
      </c>
      <c r="BW223" s="195">
        <f t="shared" si="103"/>
        <v>235893.51111111115</v>
      </c>
      <c r="BX223" s="157">
        <f t="shared" si="108"/>
        <v>58973.377777777787</v>
      </c>
      <c r="BY223" s="157">
        <f>IF(E223*$CJ$10*'Year 7 Payments'!$L$20*IF(B223="",1,0.8)&lt;=(BW223-(J223*350)),E223*$CJ$10*'Year 7 Payments'!$L$20*IF(B223="",1,0.8),BW223-(IF(B223="",1,0.8)*J223*350))</f>
        <v>193386.96145066668</v>
      </c>
      <c r="BZ223" s="157">
        <f t="shared" si="109"/>
        <v>48346.740362666671</v>
      </c>
      <c r="CA223" s="157">
        <f t="shared" si="110"/>
        <v>42506.549660444463</v>
      </c>
      <c r="CB223" s="157">
        <f t="shared" si="111"/>
        <v>10626.637415111116</v>
      </c>
      <c r="CC223" s="157">
        <f t="shared" si="112"/>
        <v>170026.19864177785</v>
      </c>
      <c r="CD223" s="201">
        <f t="shared" si="113"/>
        <v>42506.549660444463</v>
      </c>
      <c r="CE223" s="155">
        <f t="shared" si="114"/>
        <v>42506.549660444463</v>
      </c>
    </row>
    <row r="224" spans="1:83" x14ac:dyDescent="0.2">
      <c r="A224" s="147" t="s">
        <v>695</v>
      </c>
      <c r="B224" s="57" t="s">
        <v>452</v>
      </c>
      <c r="C224" s="57" t="s">
        <v>449</v>
      </c>
      <c r="D224" s="148" t="s">
        <v>252</v>
      </c>
      <c r="E224" s="197">
        <v>47476.333333333336</v>
      </c>
      <c r="F224" s="147">
        <f t="shared" si="104"/>
        <v>48815</v>
      </c>
      <c r="G224" s="342">
        <v>337</v>
      </c>
      <c r="H224" s="149">
        <f t="shared" si="89"/>
        <v>408</v>
      </c>
      <c r="I224" s="346">
        <v>199.0946666666666</v>
      </c>
      <c r="J224" s="150">
        <v>79</v>
      </c>
      <c r="K224"/>
      <c r="L224" s="151">
        <v>6211</v>
      </c>
      <c r="M224" s="151">
        <v>10025</v>
      </c>
      <c r="N224" s="151">
        <v>10591</v>
      </c>
      <c r="O224" s="151">
        <v>9088</v>
      </c>
      <c r="P224" s="151">
        <v>6466</v>
      </c>
      <c r="Q224" s="151">
        <v>3962</v>
      </c>
      <c r="R224" s="151">
        <v>2348</v>
      </c>
      <c r="S224" s="151">
        <v>124</v>
      </c>
      <c r="T224" s="151">
        <v>48815</v>
      </c>
      <c r="U224" s="147"/>
      <c r="V224" s="152">
        <f t="shared" si="105"/>
        <v>0.12723548089726519</v>
      </c>
      <c r="W224" s="152">
        <f t="shared" si="90"/>
        <v>0.20536720270408687</v>
      </c>
      <c r="X224" s="152">
        <f t="shared" si="91"/>
        <v>0.21696199938543481</v>
      </c>
      <c r="Y224" s="152">
        <f t="shared" si="92"/>
        <v>0.18617228310969988</v>
      </c>
      <c r="Z224" s="152">
        <f t="shared" si="93"/>
        <v>0.132459285055823</v>
      </c>
      <c r="AA224" s="152">
        <f t="shared" si="94"/>
        <v>8.1163576769435627E-2</v>
      </c>
      <c r="AB224" s="152">
        <f t="shared" si="95"/>
        <v>4.8099969271740241E-2</v>
      </c>
      <c r="AC224" s="152">
        <f t="shared" si="96"/>
        <v>2.5402028065143909E-3</v>
      </c>
      <c r="AD224" s="152"/>
      <c r="AE224" s="221">
        <v>29</v>
      </c>
      <c r="AF224" s="221">
        <v>70</v>
      </c>
      <c r="AG224" s="221">
        <v>54</v>
      </c>
      <c r="AH224" s="221">
        <v>42</v>
      </c>
      <c r="AI224" s="221">
        <v>91</v>
      </c>
      <c r="AJ224" s="221">
        <v>66</v>
      </c>
      <c r="AK224" s="221">
        <v>26</v>
      </c>
      <c r="AL224" s="221">
        <v>-2</v>
      </c>
      <c r="AM224" s="221">
        <v>376</v>
      </c>
      <c r="AN224" s="147"/>
      <c r="AO224" s="221">
        <v>-91</v>
      </c>
      <c r="AP224" s="221">
        <v>-2</v>
      </c>
      <c r="AQ224" s="221">
        <v>20</v>
      </c>
      <c r="AR224" s="221">
        <v>-2</v>
      </c>
      <c r="AS224" s="221">
        <v>21</v>
      </c>
      <c r="AT224" s="221">
        <v>1</v>
      </c>
      <c r="AU224" s="221">
        <v>6</v>
      </c>
      <c r="AV224" s="221">
        <v>15</v>
      </c>
      <c r="AW224" s="221">
        <v>-32</v>
      </c>
      <c r="AX224" s="56">
        <f t="shared" si="116"/>
        <v>91</v>
      </c>
      <c r="AY224" s="56">
        <f t="shared" si="116"/>
        <v>2</v>
      </c>
      <c r="AZ224" s="56">
        <f t="shared" si="116"/>
        <v>-20</v>
      </c>
      <c r="BA224" s="56">
        <f t="shared" si="116"/>
        <v>2</v>
      </c>
      <c r="BB224" s="56">
        <f t="shared" si="116"/>
        <v>-21</v>
      </c>
      <c r="BC224" s="56">
        <f t="shared" si="116"/>
        <v>-1</v>
      </c>
      <c r="BD224" s="56">
        <f t="shared" si="115"/>
        <v>-6</v>
      </c>
      <c r="BE224" s="56">
        <f t="shared" si="115"/>
        <v>-15</v>
      </c>
      <c r="BF224" s="56">
        <f t="shared" si="115"/>
        <v>32</v>
      </c>
      <c r="BH224">
        <f t="shared" si="97"/>
        <v>0.8</v>
      </c>
      <c r="BI224">
        <f t="shared" si="106"/>
        <v>0.19999999999999996</v>
      </c>
      <c r="BJ224" s="154">
        <v>281831.25866666663</v>
      </c>
      <c r="BK224" s="155">
        <f t="shared" si="98"/>
        <v>281831.25866666663</v>
      </c>
      <c r="BL224" s="156">
        <v>221259.35111111111</v>
      </c>
      <c r="BM224" s="155">
        <f t="shared" si="99"/>
        <v>221259.35111111111</v>
      </c>
      <c r="BN224" s="158">
        <v>453493.68444444455</v>
      </c>
      <c r="BO224" s="155">
        <f t="shared" si="100"/>
        <v>453493.68444444455</v>
      </c>
      <c r="BP224" s="158">
        <v>510630.5066666666</v>
      </c>
      <c r="BQ224" s="155">
        <f t="shared" si="101"/>
        <v>510630.5066666666</v>
      </c>
      <c r="BR224" s="158">
        <v>396512.10666666669</v>
      </c>
      <c r="BS224" s="155">
        <f t="shared" si="102"/>
        <v>396512.10666666669</v>
      </c>
      <c r="BT224" s="194">
        <v>203746.40533333333</v>
      </c>
      <c r="BU224" s="194"/>
      <c r="BV224" s="348">
        <f t="shared" si="107"/>
        <v>203746.40533333333</v>
      </c>
      <c r="BW224" s="195">
        <f t="shared" si="103"/>
        <v>498119.07199999999</v>
      </c>
      <c r="BX224" s="157">
        <f t="shared" si="108"/>
        <v>124529.768</v>
      </c>
      <c r="BY224" s="157">
        <f>IF(E224*$CJ$10*'Year 7 Payments'!$L$20*IF(B224="",1,0.8)&lt;=(BW224-(J224*350)),E224*$CJ$10*'Year 7 Payments'!$L$20*IF(B224="",1,0.8),BW224-(IF(B224="",1,0.8)*J224*350))</f>
        <v>232377.28132266668</v>
      </c>
      <c r="BZ224" s="157">
        <f t="shared" si="109"/>
        <v>58094.320330666669</v>
      </c>
      <c r="CA224" s="157">
        <f t="shared" si="110"/>
        <v>265741.79067733331</v>
      </c>
      <c r="CB224" s="157">
        <f t="shared" si="111"/>
        <v>66435.447669333327</v>
      </c>
      <c r="CC224" s="157">
        <f t="shared" si="112"/>
        <v>1062967.1627093332</v>
      </c>
      <c r="CD224" s="201">
        <f t="shared" si="113"/>
        <v>265741.79067733331</v>
      </c>
      <c r="CE224" s="155">
        <f t="shared" si="114"/>
        <v>265741.79067733331</v>
      </c>
    </row>
    <row r="225" spans="1:83" x14ac:dyDescent="0.2">
      <c r="A225" s="147" t="s">
        <v>696</v>
      </c>
      <c r="B225" s="57" t="s">
        <v>469</v>
      </c>
      <c r="C225" s="57" t="s">
        <v>443</v>
      </c>
      <c r="D225" s="148" t="s">
        <v>253</v>
      </c>
      <c r="E225" s="197">
        <v>36496.111111111109</v>
      </c>
      <c r="F225" s="147">
        <f t="shared" si="104"/>
        <v>39377</v>
      </c>
      <c r="G225" s="342">
        <v>186</v>
      </c>
      <c r="H225" s="149">
        <f t="shared" si="89"/>
        <v>289</v>
      </c>
      <c r="I225" s="346">
        <v>118.90444444444441</v>
      </c>
      <c r="J225" s="150">
        <v>60</v>
      </c>
      <c r="K225"/>
      <c r="L225" s="151">
        <v>1443</v>
      </c>
      <c r="M225" s="151">
        <v>8418</v>
      </c>
      <c r="N225" s="151">
        <v>15553</v>
      </c>
      <c r="O225" s="151">
        <v>8622</v>
      </c>
      <c r="P225" s="151">
        <v>3810</v>
      </c>
      <c r="Q225" s="151">
        <v>1176</v>
      </c>
      <c r="R225" s="151">
        <v>320</v>
      </c>
      <c r="S225" s="151">
        <v>35</v>
      </c>
      <c r="T225" s="151">
        <v>39377</v>
      </c>
      <c r="U225" s="147"/>
      <c r="V225" s="152">
        <f t="shared" si="105"/>
        <v>3.6645757675800597E-2</v>
      </c>
      <c r="W225" s="152">
        <f t="shared" si="90"/>
        <v>0.21377961754323591</v>
      </c>
      <c r="X225" s="152">
        <f t="shared" si="91"/>
        <v>0.39497676308504964</v>
      </c>
      <c r="Y225" s="152">
        <f t="shared" si="92"/>
        <v>0.21896030677806841</v>
      </c>
      <c r="Z225" s="152">
        <f t="shared" si="93"/>
        <v>9.6756990121136699E-2</v>
      </c>
      <c r="AA225" s="152">
        <f t="shared" si="94"/>
        <v>2.9865149706681565E-2</v>
      </c>
      <c r="AB225" s="152">
        <f t="shared" si="95"/>
        <v>8.1265713487568888E-3</v>
      </c>
      <c r="AC225" s="152">
        <f t="shared" si="96"/>
        <v>8.8884374127028468E-4</v>
      </c>
      <c r="AD225" s="152"/>
      <c r="AE225" s="221">
        <v>49</v>
      </c>
      <c r="AF225" s="221">
        <v>98</v>
      </c>
      <c r="AG225" s="221">
        <v>31</v>
      </c>
      <c r="AH225" s="221">
        <v>70</v>
      </c>
      <c r="AI225" s="221">
        <v>34</v>
      </c>
      <c r="AJ225" s="221">
        <v>11</v>
      </c>
      <c r="AK225" s="221">
        <v>0</v>
      </c>
      <c r="AL225" s="221">
        <v>-2</v>
      </c>
      <c r="AM225" s="221">
        <v>291</v>
      </c>
      <c r="AN225" s="147"/>
      <c r="AO225" s="221">
        <v>3</v>
      </c>
      <c r="AP225" s="221">
        <v>5</v>
      </c>
      <c r="AQ225" s="221">
        <v>5</v>
      </c>
      <c r="AR225" s="221">
        <v>-3</v>
      </c>
      <c r="AS225" s="221">
        <v>-4</v>
      </c>
      <c r="AT225" s="221">
        <v>-1</v>
      </c>
      <c r="AU225" s="221">
        <v>0</v>
      </c>
      <c r="AV225" s="221">
        <v>-3</v>
      </c>
      <c r="AW225" s="221">
        <v>2</v>
      </c>
      <c r="AX225" s="56">
        <f t="shared" si="116"/>
        <v>-3</v>
      </c>
      <c r="AY225" s="56">
        <f t="shared" si="116"/>
        <v>-5</v>
      </c>
      <c r="AZ225" s="56">
        <f t="shared" si="116"/>
        <v>-5</v>
      </c>
      <c r="BA225" s="56">
        <f t="shared" si="116"/>
        <v>3</v>
      </c>
      <c r="BB225" s="56">
        <f t="shared" si="116"/>
        <v>4</v>
      </c>
      <c r="BC225" s="56">
        <f t="shared" si="116"/>
        <v>1</v>
      </c>
      <c r="BD225" s="56">
        <f t="shared" si="115"/>
        <v>0</v>
      </c>
      <c r="BE225" s="56">
        <f t="shared" si="115"/>
        <v>3</v>
      </c>
      <c r="BF225" s="56">
        <f t="shared" si="115"/>
        <v>-2</v>
      </c>
      <c r="BH225">
        <f t="shared" si="97"/>
        <v>0.8</v>
      </c>
      <c r="BI225">
        <f t="shared" si="106"/>
        <v>0.19999999999999996</v>
      </c>
      <c r="BJ225" s="154">
        <v>359101.38133333332</v>
      </c>
      <c r="BK225" s="155">
        <f t="shared" si="98"/>
        <v>359101.38133333332</v>
      </c>
      <c r="BL225" s="156">
        <v>347376.07377777784</v>
      </c>
      <c r="BM225" s="155">
        <f t="shared" si="99"/>
        <v>347376.07377777784</v>
      </c>
      <c r="BN225" s="158">
        <v>312882.73422222229</v>
      </c>
      <c r="BO225" s="155">
        <f t="shared" si="100"/>
        <v>312882.73422222229</v>
      </c>
      <c r="BP225" s="158">
        <v>381748.16000000003</v>
      </c>
      <c r="BQ225" s="155">
        <f t="shared" si="101"/>
        <v>381748.16000000003</v>
      </c>
      <c r="BR225" s="158">
        <v>295063.85066666664</v>
      </c>
      <c r="BS225" s="155">
        <f t="shared" si="102"/>
        <v>295063.85066666664</v>
      </c>
      <c r="BT225" s="194">
        <v>298263.25511111115</v>
      </c>
      <c r="BU225" s="194"/>
      <c r="BV225" s="348">
        <f t="shared" si="107"/>
        <v>298263.25511111115</v>
      </c>
      <c r="BW225" s="195">
        <f t="shared" si="103"/>
        <v>340930.75911111111</v>
      </c>
      <c r="BX225" s="157">
        <f t="shared" si="108"/>
        <v>85232.689777777778</v>
      </c>
      <c r="BY225" s="157">
        <f>IF(E225*$CJ$10*'Year 7 Payments'!$L$20*IF(B225="",1,0.8)&lt;=(BW225-(J225*350)),E225*$CJ$10*'Year 7 Payments'!$L$20*IF(B225="",1,0.8),BW225-(IF(B225="",1,0.8)*J225*350))</f>
        <v>178633.57347555555</v>
      </c>
      <c r="BZ225" s="157">
        <f t="shared" si="109"/>
        <v>44658.393368888886</v>
      </c>
      <c r="CA225" s="157">
        <f t="shared" si="110"/>
        <v>162297.18563555556</v>
      </c>
      <c r="CB225" s="157">
        <f t="shared" si="111"/>
        <v>40574.296408888891</v>
      </c>
      <c r="CC225" s="157">
        <f t="shared" si="112"/>
        <v>649188.74254222226</v>
      </c>
      <c r="CD225" s="201">
        <f t="shared" si="113"/>
        <v>162297.18563555556</v>
      </c>
      <c r="CE225" s="155">
        <f t="shared" si="114"/>
        <v>162297.18563555556</v>
      </c>
    </row>
    <row r="226" spans="1:83" x14ac:dyDescent="0.2">
      <c r="A226" s="147" t="s">
        <v>697</v>
      </c>
      <c r="B226" s="57"/>
      <c r="C226" s="57" t="s">
        <v>449</v>
      </c>
      <c r="D226" s="148" t="s">
        <v>254</v>
      </c>
      <c r="E226" s="197">
        <v>16824.666666666668</v>
      </c>
      <c r="F226" s="147">
        <f t="shared" si="104"/>
        <v>16903</v>
      </c>
      <c r="G226" s="342">
        <v>183</v>
      </c>
      <c r="H226" s="149">
        <f t="shared" si="89"/>
        <v>226</v>
      </c>
      <c r="I226" s="346">
        <v>150.25688888888885</v>
      </c>
      <c r="J226" s="150">
        <v>37</v>
      </c>
      <c r="K226"/>
      <c r="L226" s="151">
        <v>1606</v>
      </c>
      <c r="M226" s="151">
        <v>4538</v>
      </c>
      <c r="N226" s="151">
        <v>3047</v>
      </c>
      <c r="O226" s="151">
        <v>2435</v>
      </c>
      <c r="P226" s="151">
        <v>2282</v>
      </c>
      <c r="Q226" s="151">
        <v>1592</v>
      </c>
      <c r="R226" s="151">
        <v>1257</v>
      </c>
      <c r="S226" s="151">
        <v>146</v>
      </c>
      <c r="T226" s="151">
        <v>16903</v>
      </c>
      <c r="U226" s="147"/>
      <c r="V226" s="152">
        <f t="shared" si="105"/>
        <v>9.501271963556765E-2</v>
      </c>
      <c r="W226" s="152">
        <f t="shared" si="90"/>
        <v>0.26847305212092526</v>
      </c>
      <c r="X226" s="152">
        <f t="shared" si="91"/>
        <v>0.18026385848665918</v>
      </c>
      <c r="Y226" s="152">
        <f t="shared" si="92"/>
        <v>0.14405726794060225</v>
      </c>
      <c r="Z226" s="152">
        <f t="shared" si="93"/>
        <v>0.13500562030408803</v>
      </c>
      <c r="AA226" s="152">
        <f t="shared" si="94"/>
        <v>9.4184464296278761E-2</v>
      </c>
      <c r="AB226" s="152">
        <f t="shared" si="95"/>
        <v>7.4365497249009052E-2</v>
      </c>
      <c r="AC226" s="152">
        <f t="shared" si="96"/>
        <v>8.6375199668697871E-3</v>
      </c>
      <c r="AD226" s="152"/>
      <c r="AE226" s="221">
        <v>12</v>
      </c>
      <c r="AF226" s="221">
        <v>73</v>
      </c>
      <c r="AG226" s="221">
        <v>59</v>
      </c>
      <c r="AH226" s="221">
        <v>38</v>
      </c>
      <c r="AI226" s="221">
        <v>24</v>
      </c>
      <c r="AJ226" s="221">
        <v>14</v>
      </c>
      <c r="AK226" s="221">
        <v>9</v>
      </c>
      <c r="AL226" s="221">
        <v>1</v>
      </c>
      <c r="AM226" s="221">
        <v>230</v>
      </c>
      <c r="AN226" s="147"/>
      <c r="AO226" s="221">
        <v>0</v>
      </c>
      <c r="AP226" s="221">
        <v>4</v>
      </c>
      <c r="AQ226" s="221">
        <v>-2</v>
      </c>
      <c r="AR226" s="221">
        <v>-6</v>
      </c>
      <c r="AS226" s="221">
        <v>8</v>
      </c>
      <c r="AT226" s="221">
        <v>4</v>
      </c>
      <c r="AU226" s="221">
        <v>-4</v>
      </c>
      <c r="AV226" s="221">
        <v>0</v>
      </c>
      <c r="AW226" s="221">
        <v>4</v>
      </c>
      <c r="AX226" s="56">
        <f t="shared" si="116"/>
        <v>0</v>
      </c>
      <c r="AY226" s="56">
        <f t="shared" si="116"/>
        <v>-4</v>
      </c>
      <c r="AZ226" s="56">
        <f t="shared" si="116"/>
        <v>2</v>
      </c>
      <c r="BA226" s="56">
        <f t="shared" si="116"/>
        <v>6</v>
      </c>
      <c r="BB226" s="56">
        <f t="shared" si="116"/>
        <v>-8</v>
      </c>
      <c r="BC226" s="56">
        <f t="shared" si="116"/>
        <v>-4</v>
      </c>
      <c r="BD226" s="56">
        <f t="shared" si="115"/>
        <v>4</v>
      </c>
      <c r="BE226" s="56">
        <f t="shared" si="115"/>
        <v>0</v>
      </c>
      <c r="BF226" s="56">
        <f t="shared" si="115"/>
        <v>-4</v>
      </c>
      <c r="BH226">
        <f t="shared" si="97"/>
        <v>1</v>
      </c>
      <c r="BI226">
        <f t="shared" si="106"/>
        <v>0</v>
      </c>
      <c r="BJ226" s="154">
        <v>131608.67333333334</v>
      </c>
      <c r="BK226" s="155">
        <f t="shared" si="98"/>
        <v>131608.67333333334</v>
      </c>
      <c r="BL226" s="156">
        <v>126895.65555555555</v>
      </c>
      <c r="BM226" s="155">
        <f t="shared" si="99"/>
        <v>126895.65555555555</v>
      </c>
      <c r="BN226" s="158">
        <v>124951.31777777776</v>
      </c>
      <c r="BO226" s="155">
        <f t="shared" si="100"/>
        <v>124951.31777777776</v>
      </c>
      <c r="BP226" s="158">
        <v>140912.66666666666</v>
      </c>
      <c r="BQ226" s="155">
        <f t="shared" si="101"/>
        <v>140912.66666666666</v>
      </c>
      <c r="BR226" s="158">
        <v>284237.54666666663</v>
      </c>
      <c r="BS226" s="155">
        <f t="shared" si="102"/>
        <v>284237.54666666663</v>
      </c>
      <c r="BT226" s="194">
        <v>421417.43777777784</v>
      </c>
      <c r="BU226" s="194"/>
      <c r="BV226" s="348">
        <f t="shared" si="107"/>
        <v>421417.43777777784</v>
      </c>
      <c r="BW226" s="195">
        <f t="shared" si="103"/>
        <v>345714.27555555553</v>
      </c>
      <c r="BX226" s="157" t="str">
        <f t="shared" si="108"/>
        <v>0</v>
      </c>
      <c r="BY226" s="157">
        <f>IF(E226*$CJ$10*'Year 7 Payments'!$L$20*IF(B226="",1,0.8)&lt;=(BW226-(J226*350)),E226*$CJ$10*'Year 7 Payments'!$L$20*IF(B226="",1,0.8),BW226-(IF(B226="",1,0.8)*J226*350))</f>
        <v>102937.34858666667</v>
      </c>
      <c r="BZ226" s="157" t="str">
        <f t="shared" si="109"/>
        <v>0</v>
      </c>
      <c r="CA226" s="157">
        <f t="shared" si="110"/>
        <v>242776.92696888885</v>
      </c>
      <c r="CB226" s="157">
        <f t="shared" si="111"/>
        <v>0</v>
      </c>
      <c r="CC226" s="157">
        <f t="shared" si="112"/>
        <v>971107.70787555538</v>
      </c>
      <c r="CD226" s="201">
        <f t="shared" si="113"/>
        <v>0</v>
      </c>
      <c r="CE226" s="155">
        <f t="shared" si="114"/>
        <v>242776.92696888885</v>
      </c>
    </row>
    <row r="227" spans="1:83" x14ac:dyDescent="0.2">
      <c r="A227" s="147" t="s">
        <v>698</v>
      </c>
      <c r="B227" s="57" t="s">
        <v>538</v>
      </c>
      <c r="C227" s="57" t="s">
        <v>464</v>
      </c>
      <c r="D227" s="148" t="s">
        <v>255</v>
      </c>
      <c r="E227" s="197">
        <v>24585.777777777777</v>
      </c>
      <c r="F227" s="147">
        <f t="shared" si="104"/>
        <v>25325</v>
      </c>
      <c r="G227" s="342">
        <v>218</v>
      </c>
      <c r="H227" s="149">
        <f t="shared" si="89"/>
        <v>240</v>
      </c>
      <c r="I227" s="346">
        <v>140.10133333333334</v>
      </c>
      <c r="J227" s="150">
        <v>44</v>
      </c>
      <c r="K227"/>
      <c r="L227" s="151">
        <v>2367</v>
      </c>
      <c r="M227" s="151">
        <v>6230</v>
      </c>
      <c r="N227" s="151">
        <v>5761</v>
      </c>
      <c r="O227" s="151">
        <v>4287</v>
      </c>
      <c r="P227" s="151">
        <v>3376</v>
      </c>
      <c r="Q227" s="151">
        <v>2042</v>
      </c>
      <c r="R227" s="151">
        <v>1156</v>
      </c>
      <c r="S227" s="151">
        <v>106</v>
      </c>
      <c r="T227" s="151">
        <v>25325</v>
      </c>
      <c r="U227" s="147"/>
      <c r="V227" s="152">
        <f t="shared" si="105"/>
        <v>9.3464955577492598E-2</v>
      </c>
      <c r="W227" s="152">
        <f t="shared" si="90"/>
        <v>0.24600197433366239</v>
      </c>
      <c r="X227" s="152">
        <f t="shared" si="91"/>
        <v>0.2274827245804541</v>
      </c>
      <c r="Y227" s="152">
        <f t="shared" si="92"/>
        <v>0.16927936821322803</v>
      </c>
      <c r="Z227" s="152">
        <f t="shared" si="93"/>
        <v>0.13330700888450148</v>
      </c>
      <c r="AA227" s="152">
        <f t="shared" si="94"/>
        <v>8.0631786771964462E-2</v>
      </c>
      <c r="AB227" s="152">
        <f t="shared" si="95"/>
        <v>4.5646594274432378E-2</v>
      </c>
      <c r="AC227" s="152">
        <f t="shared" si="96"/>
        <v>4.1855873642645605E-3</v>
      </c>
      <c r="AD227" s="152"/>
      <c r="AE227" s="221">
        <v>9</v>
      </c>
      <c r="AF227" s="221">
        <v>61</v>
      </c>
      <c r="AG227" s="221">
        <v>30</v>
      </c>
      <c r="AH227" s="221">
        <v>52</v>
      </c>
      <c r="AI227" s="221">
        <v>36</v>
      </c>
      <c r="AJ227" s="221">
        <v>31</v>
      </c>
      <c r="AK227" s="221">
        <v>8</v>
      </c>
      <c r="AL227" s="221">
        <v>-2</v>
      </c>
      <c r="AM227" s="221">
        <v>225</v>
      </c>
      <c r="AN227" s="147"/>
      <c r="AO227" s="221">
        <v>-8</v>
      </c>
      <c r="AP227" s="221">
        <v>-6</v>
      </c>
      <c r="AQ227" s="221">
        <v>-9</v>
      </c>
      <c r="AR227" s="221">
        <v>8</v>
      </c>
      <c r="AS227" s="221">
        <v>-6</v>
      </c>
      <c r="AT227" s="221">
        <v>1</v>
      </c>
      <c r="AU227" s="221">
        <v>7</v>
      </c>
      <c r="AV227" s="221">
        <v>-2</v>
      </c>
      <c r="AW227" s="221">
        <v>-15</v>
      </c>
      <c r="AX227" s="56">
        <f t="shared" si="116"/>
        <v>8</v>
      </c>
      <c r="AY227" s="56">
        <f t="shared" si="116"/>
        <v>6</v>
      </c>
      <c r="AZ227" s="56">
        <f t="shared" si="116"/>
        <v>9</v>
      </c>
      <c r="BA227" s="56">
        <f t="shared" si="116"/>
        <v>-8</v>
      </c>
      <c r="BB227" s="56">
        <f t="shared" si="116"/>
        <v>6</v>
      </c>
      <c r="BC227" s="56">
        <f t="shared" si="116"/>
        <v>-1</v>
      </c>
      <c r="BD227" s="56">
        <f t="shared" si="115"/>
        <v>-7</v>
      </c>
      <c r="BE227" s="56">
        <f t="shared" si="115"/>
        <v>2</v>
      </c>
      <c r="BF227" s="56">
        <f t="shared" si="115"/>
        <v>15</v>
      </c>
      <c r="BH227">
        <f t="shared" si="97"/>
        <v>0.8</v>
      </c>
      <c r="BI227">
        <f t="shared" si="106"/>
        <v>0.19999999999999996</v>
      </c>
      <c r="BJ227" s="154">
        <v>214539.728</v>
      </c>
      <c r="BK227" s="155">
        <f t="shared" si="98"/>
        <v>214539.728</v>
      </c>
      <c r="BL227" s="156">
        <v>225239.10311111109</v>
      </c>
      <c r="BM227" s="155">
        <f t="shared" si="99"/>
        <v>225239.10311111109</v>
      </c>
      <c r="BN227" s="158">
        <v>268162.82666666672</v>
      </c>
      <c r="BO227" s="155">
        <f t="shared" si="100"/>
        <v>268162.82666666672</v>
      </c>
      <c r="BP227" s="158">
        <v>419309.76</v>
      </c>
      <c r="BQ227" s="155">
        <f t="shared" si="101"/>
        <v>419309.76</v>
      </c>
      <c r="BR227" s="158">
        <v>260174.6222222223</v>
      </c>
      <c r="BS227" s="155">
        <f t="shared" si="102"/>
        <v>260174.6222222223</v>
      </c>
      <c r="BT227" s="194">
        <v>285276.90488888894</v>
      </c>
      <c r="BU227" s="194"/>
      <c r="BV227" s="348">
        <f t="shared" si="107"/>
        <v>285276.90488888894</v>
      </c>
      <c r="BW227" s="195">
        <f t="shared" si="103"/>
        <v>304092.06755555561</v>
      </c>
      <c r="BX227" s="157">
        <f t="shared" si="108"/>
        <v>76023.016888888902</v>
      </c>
      <c r="BY227" s="157">
        <f>IF(E227*$CJ$10*'Year 7 Payments'!$L$20*IF(B227="",1,0.8)&lt;=(BW227-(J227*350)),E227*$CJ$10*'Year 7 Payments'!$L$20*IF(B227="",1,0.8),BW227-(IF(B227="",1,0.8)*J227*350))</f>
        <v>120337.35122488889</v>
      </c>
      <c r="BZ227" s="157">
        <f t="shared" si="109"/>
        <v>30084.337806222222</v>
      </c>
      <c r="CA227" s="157">
        <f t="shared" si="110"/>
        <v>183754.71633066674</v>
      </c>
      <c r="CB227" s="157">
        <f t="shared" si="111"/>
        <v>45938.679082666684</v>
      </c>
      <c r="CC227" s="157">
        <f t="shared" si="112"/>
        <v>735018.86532266694</v>
      </c>
      <c r="CD227" s="201">
        <f t="shared" si="113"/>
        <v>183754.71633066674</v>
      </c>
      <c r="CE227" s="155">
        <f t="shared" si="114"/>
        <v>183754.71633066674</v>
      </c>
    </row>
    <row r="228" spans="1:83" x14ac:dyDescent="0.2">
      <c r="A228" s="147" t="s">
        <v>699</v>
      </c>
      <c r="B228" s="57"/>
      <c r="C228" s="57" t="s">
        <v>446</v>
      </c>
      <c r="D228" s="148" t="s">
        <v>256</v>
      </c>
      <c r="E228" s="197">
        <v>87081.888888888891</v>
      </c>
      <c r="F228" s="147">
        <f t="shared" si="104"/>
        <v>113646</v>
      </c>
      <c r="G228" s="342">
        <v>1008</v>
      </c>
      <c r="H228" s="149">
        <f t="shared" si="89"/>
        <v>851</v>
      </c>
      <c r="I228" s="346">
        <v>437.22799999999995</v>
      </c>
      <c r="J228" s="150">
        <v>211</v>
      </c>
      <c r="K228"/>
      <c r="L228" s="151">
        <v>59342</v>
      </c>
      <c r="M228" s="151">
        <v>24597</v>
      </c>
      <c r="N228" s="151">
        <v>15970</v>
      </c>
      <c r="O228" s="151">
        <v>8025</v>
      </c>
      <c r="P228" s="151">
        <v>3375</v>
      </c>
      <c r="Q228" s="151">
        <v>1396</v>
      </c>
      <c r="R228" s="151">
        <v>840</v>
      </c>
      <c r="S228" s="151">
        <v>101</v>
      </c>
      <c r="T228" s="151">
        <v>113646</v>
      </c>
      <c r="U228" s="147"/>
      <c r="V228" s="152">
        <f t="shared" si="105"/>
        <v>0.52216532038083174</v>
      </c>
      <c r="W228" s="152">
        <f t="shared" si="90"/>
        <v>0.21643524629111452</v>
      </c>
      <c r="X228" s="152">
        <f t="shared" si="91"/>
        <v>0.14052408355771431</v>
      </c>
      <c r="Y228" s="152">
        <f t="shared" si="92"/>
        <v>7.0614011931788179E-2</v>
      </c>
      <c r="Z228" s="152">
        <f t="shared" si="93"/>
        <v>2.9697481653555777E-2</v>
      </c>
      <c r="AA228" s="152">
        <f t="shared" si="94"/>
        <v>1.2283758337292998E-2</v>
      </c>
      <c r="AB228" s="152">
        <f t="shared" si="95"/>
        <v>7.3913732115516604E-3</v>
      </c>
      <c r="AC228" s="152">
        <f t="shared" si="96"/>
        <v>8.8872463615085446E-4</v>
      </c>
      <c r="AD228" s="152"/>
      <c r="AE228" s="221">
        <v>-284</v>
      </c>
      <c r="AF228" s="221">
        <v>456</v>
      </c>
      <c r="AG228" s="221">
        <v>258</v>
      </c>
      <c r="AH228" s="221">
        <v>263</v>
      </c>
      <c r="AI228" s="221">
        <v>34</v>
      </c>
      <c r="AJ228" s="221">
        <v>7</v>
      </c>
      <c r="AK228" s="221">
        <v>6</v>
      </c>
      <c r="AL228" s="221">
        <v>-2</v>
      </c>
      <c r="AM228" s="221">
        <v>738</v>
      </c>
      <c r="AN228" s="147"/>
      <c r="AO228" s="221">
        <v>-147</v>
      </c>
      <c r="AP228" s="221">
        <v>16</v>
      </c>
      <c r="AQ228" s="221">
        <v>-3</v>
      </c>
      <c r="AR228" s="221">
        <v>35</v>
      </c>
      <c r="AS228" s="221">
        <v>-14</v>
      </c>
      <c r="AT228" s="221">
        <v>-2</v>
      </c>
      <c r="AU228" s="221">
        <v>3</v>
      </c>
      <c r="AV228" s="221">
        <v>-1</v>
      </c>
      <c r="AW228" s="221">
        <v>-113</v>
      </c>
      <c r="AX228" s="56">
        <f t="shared" si="116"/>
        <v>147</v>
      </c>
      <c r="AY228" s="56">
        <f t="shared" si="116"/>
        <v>-16</v>
      </c>
      <c r="AZ228" s="56">
        <f t="shared" si="116"/>
        <v>3</v>
      </c>
      <c r="BA228" s="56">
        <f t="shared" si="116"/>
        <v>-35</v>
      </c>
      <c r="BB228" s="56">
        <f t="shared" si="116"/>
        <v>14</v>
      </c>
      <c r="BC228" s="56">
        <f t="shared" si="116"/>
        <v>2</v>
      </c>
      <c r="BD228" s="56">
        <f t="shared" si="115"/>
        <v>-3</v>
      </c>
      <c r="BE228" s="56">
        <f t="shared" si="115"/>
        <v>1</v>
      </c>
      <c r="BF228" s="56">
        <f t="shared" si="115"/>
        <v>113</v>
      </c>
      <c r="BH228">
        <f t="shared" si="97"/>
        <v>1</v>
      </c>
      <c r="BI228">
        <f t="shared" si="106"/>
        <v>0</v>
      </c>
      <c r="BJ228" s="154">
        <v>2016347.22</v>
      </c>
      <c r="BK228" s="155">
        <f t="shared" si="98"/>
        <v>2016347.22</v>
      </c>
      <c r="BL228" s="156">
        <v>2287789.7888888894</v>
      </c>
      <c r="BM228" s="155">
        <f t="shared" si="99"/>
        <v>2287789.7888888894</v>
      </c>
      <c r="BN228" s="158">
        <v>2080486.6466666667</v>
      </c>
      <c r="BO228" s="155">
        <f t="shared" si="100"/>
        <v>2080486.6466666667</v>
      </c>
      <c r="BP228" s="158">
        <v>1245108.9333333333</v>
      </c>
      <c r="BQ228" s="155">
        <f t="shared" si="101"/>
        <v>1245108.9333333333</v>
      </c>
      <c r="BR228" s="158">
        <v>1655218.0422222223</v>
      </c>
      <c r="BS228" s="155">
        <f t="shared" si="102"/>
        <v>1655218.0422222223</v>
      </c>
      <c r="BT228" s="194">
        <v>1655323.242222222</v>
      </c>
      <c r="BU228" s="194"/>
      <c r="BV228" s="348">
        <f t="shared" si="107"/>
        <v>1655323.242222222</v>
      </c>
      <c r="BW228" s="195">
        <f t="shared" si="103"/>
        <v>1275404.3555555558</v>
      </c>
      <c r="BX228" s="157" t="str">
        <f t="shared" si="108"/>
        <v>0</v>
      </c>
      <c r="BY228" s="157">
        <f>IF(E228*$CJ$10*'Year 7 Payments'!$L$20*IF(B228="",1,0.8)&lt;=(BW228-(J228*350)),E228*$CJ$10*'Year 7 Payments'!$L$20*IF(B228="",1,0.8),BW228-(IF(B228="",1,0.8)*J228*350))</f>
        <v>532787.89587555558</v>
      </c>
      <c r="BZ228" s="157" t="str">
        <f t="shared" si="109"/>
        <v>0</v>
      </c>
      <c r="CA228" s="157">
        <f t="shared" si="110"/>
        <v>742616.4596800002</v>
      </c>
      <c r="CB228" s="157">
        <f t="shared" si="111"/>
        <v>0</v>
      </c>
      <c r="CC228" s="157">
        <f t="shared" si="112"/>
        <v>2970465.8387200008</v>
      </c>
      <c r="CD228" s="201">
        <f t="shared" si="113"/>
        <v>0</v>
      </c>
      <c r="CE228" s="155">
        <f t="shared" si="114"/>
        <v>742616.4596800002</v>
      </c>
    </row>
    <row r="229" spans="1:83" x14ac:dyDescent="0.2">
      <c r="A229" s="147" t="s">
        <v>700</v>
      </c>
      <c r="B229" s="57"/>
      <c r="C229" s="57" t="s">
        <v>476</v>
      </c>
      <c r="D229" s="148" t="s">
        <v>257</v>
      </c>
      <c r="E229" s="197">
        <v>99986.333333333343</v>
      </c>
      <c r="F229" s="147">
        <f t="shared" si="104"/>
        <v>131331</v>
      </c>
      <c r="G229" s="342">
        <v>1171</v>
      </c>
      <c r="H229" s="149">
        <f t="shared" si="89"/>
        <v>552</v>
      </c>
      <c r="I229" s="346">
        <v>72.387999999999977</v>
      </c>
      <c r="J229" s="150">
        <v>238</v>
      </c>
      <c r="K229"/>
      <c r="L229" s="151">
        <v>57202</v>
      </c>
      <c r="M229" s="151">
        <v>43246</v>
      </c>
      <c r="N229" s="151">
        <v>20336</v>
      </c>
      <c r="O229" s="151">
        <v>7097</v>
      </c>
      <c r="P229" s="151">
        <v>2829</v>
      </c>
      <c r="Q229" s="151">
        <v>525</v>
      </c>
      <c r="R229" s="151">
        <v>60</v>
      </c>
      <c r="S229" s="151">
        <v>36</v>
      </c>
      <c r="T229" s="151">
        <v>131331</v>
      </c>
      <c r="U229" s="147"/>
      <c r="V229" s="152">
        <f t="shared" si="105"/>
        <v>0.43555596165414107</v>
      </c>
      <c r="W229" s="152">
        <f t="shared" si="90"/>
        <v>0.32929011429137067</v>
      </c>
      <c r="X229" s="152">
        <f t="shared" si="91"/>
        <v>0.15484539065414868</v>
      </c>
      <c r="Y229" s="152">
        <f t="shared" si="92"/>
        <v>5.4039031150299621E-2</v>
      </c>
      <c r="Z229" s="152">
        <f t="shared" si="93"/>
        <v>2.1540991845032779E-2</v>
      </c>
      <c r="AA229" s="152">
        <f t="shared" si="94"/>
        <v>3.9975329510930401E-3</v>
      </c>
      <c r="AB229" s="152">
        <f t="shared" si="95"/>
        <v>4.568609086963474E-4</v>
      </c>
      <c r="AC229" s="152">
        <f t="shared" si="96"/>
        <v>2.7411654521780843E-4</v>
      </c>
      <c r="AD229" s="152"/>
      <c r="AE229" s="221">
        <v>134</v>
      </c>
      <c r="AF229" s="221">
        <v>119</v>
      </c>
      <c r="AG229" s="221">
        <v>221</v>
      </c>
      <c r="AH229" s="221">
        <v>86</v>
      </c>
      <c r="AI229" s="221">
        <v>-4</v>
      </c>
      <c r="AJ229" s="221">
        <v>4</v>
      </c>
      <c r="AK229" s="221">
        <v>0</v>
      </c>
      <c r="AL229" s="221">
        <v>0</v>
      </c>
      <c r="AM229" s="221">
        <v>560</v>
      </c>
      <c r="AN229" s="147"/>
      <c r="AO229" s="221">
        <v>33</v>
      </c>
      <c r="AP229" s="221">
        <v>4</v>
      </c>
      <c r="AQ229" s="221">
        <v>-11</v>
      </c>
      <c r="AR229" s="221">
        <v>-6</v>
      </c>
      <c r="AS229" s="221">
        <v>-5</v>
      </c>
      <c r="AT229" s="221">
        <v>-6</v>
      </c>
      <c r="AU229" s="221">
        <v>-1</v>
      </c>
      <c r="AV229" s="221">
        <v>0</v>
      </c>
      <c r="AW229" s="221">
        <v>8</v>
      </c>
      <c r="AX229" s="56">
        <f t="shared" si="116"/>
        <v>-33</v>
      </c>
      <c r="AY229" s="56">
        <f t="shared" si="116"/>
        <v>-4</v>
      </c>
      <c r="AZ229" s="56">
        <f t="shared" si="116"/>
        <v>11</v>
      </c>
      <c r="BA229" s="56">
        <f t="shared" si="116"/>
        <v>6</v>
      </c>
      <c r="BB229" s="56">
        <f t="shared" si="116"/>
        <v>5</v>
      </c>
      <c r="BC229" s="56">
        <f t="shared" si="116"/>
        <v>6</v>
      </c>
      <c r="BD229" s="56">
        <f t="shared" si="115"/>
        <v>1</v>
      </c>
      <c r="BE229" s="56">
        <f t="shared" si="115"/>
        <v>0</v>
      </c>
      <c r="BF229" s="56">
        <f t="shared" si="115"/>
        <v>-8</v>
      </c>
      <c r="BH229">
        <f t="shared" si="97"/>
        <v>1</v>
      </c>
      <c r="BI229">
        <f t="shared" si="106"/>
        <v>0</v>
      </c>
      <c r="BJ229" s="154">
        <v>634536.10666666669</v>
      </c>
      <c r="BK229" s="155">
        <f t="shared" si="98"/>
        <v>634536.10666666669</v>
      </c>
      <c r="BL229" s="156">
        <v>1111794.1522222222</v>
      </c>
      <c r="BM229" s="155">
        <f t="shared" si="99"/>
        <v>1111794.1522222222</v>
      </c>
      <c r="BN229" s="158">
        <v>889371.23222222226</v>
      </c>
      <c r="BO229" s="155">
        <f t="shared" si="100"/>
        <v>889371.23222222226</v>
      </c>
      <c r="BP229" s="158">
        <v>1302771.7333333334</v>
      </c>
      <c r="BQ229" s="155">
        <f t="shared" si="101"/>
        <v>1302771.7333333334</v>
      </c>
      <c r="BR229" s="158">
        <v>1141248.2511111111</v>
      </c>
      <c r="BS229" s="155">
        <f t="shared" si="102"/>
        <v>1141248.2511111111</v>
      </c>
      <c r="BT229" s="194">
        <v>1495789.5088888889</v>
      </c>
      <c r="BU229" s="194"/>
      <c r="BV229" s="348">
        <f t="shared" si="107"/>
        <v>1495789.5088888889</v>
      </c>
      <c r="BW229" s="195">
        <f t="shared" si="103"/>
        <v>805762.17333333334</v>
      </c>
      <c r="BX229" s="157" t="str">
        <f t="shared" si="108"/>
        <v>0</v>
      </c>
      <c r="BY229" s="157">
        <f>IF(E229*$CJ$10*'Year 7 Payments'!$L$20*IF(B229="",1,0.8)&lt;=(BW229-(J229*350)),E229*$CJ$10*'Year 7 Payments'!$L$20*IF(B229="",1,0.8),BW229-(IF(B229="",1,0.8)*J229*350))</f>
        <v>611740.38405333343</v>
      </c>
      <c r="BZ229" s="157" t="str">
        <f t="shared" si="109"/>
        <v>0</v>
      </c>
      <c r="CA229" s="157">
        <f t="shared" si="110"/>
        <v>194021.78927999991</v>
      </c>
      <c r="CB229" s="157">
        <f t="shared" si="111"/>
        <v>0</v>
      </c>
      <c r="CC229" s="157">
        <f t="shared" si="112"/>
        <v>776087.15711999964</v>
      </c>
      <c r="CD229" s="201">
        <f t="shared" si="113"/>
        <v>0</v>
      </c>
      <c r="CE229" s="155">
        <f t="shared" si="114"/>
        <v>194021.78927999991</v>
      </c>
    </row>
    <row r="230" spans="1:83" x14ac:dyDescent="0.2">
      <c r="A230" s="147" t="s">
        <v>701</v>
      </c>
      <c r="B230" s="57" t="s">
        <v>538</v>
      </c>
      <c r="C230" s="57" t="s">
        <v>464</v>
      </c>
      <c r="D230" s="148" t="s">
        <v>258</v>
      </c>
      <c r="E230" s="197">
        <v>48116</v>
      </c>
      <c r="F230" s="147">
        <f t="shared" si="104"/>
        <v>56960</v>
      </c>
      <c r="G230" s="342">
        <v>775</v>
      </c>
      <c r="H230" s="149">
        <f t="shared" si="89"/>
        <v>316</v>
      </c>
      <c r="I230" s="346">
        <v>86.091555555555544</v>
      </c>
      <c r="J230" s="150">
        <v>37</v>
      </c>
      <c r="K230"/>
      <c r="L230" s="151">
        <v>16214</v>
      </c>
      <c r="M230" s="151">
        <v>14622</v>
      </c>
      <c r="N230" s="151">
        <v>12682</v>
      </c>
      <c r="O230" s="151">
        <v>7071</v>
      </c>
      <c r="P230" s="151">
        <v>3985</v>
      </c>
      <c r="Q230" s="151">
        <v>1663</v>
      </c>
      <c r="R230" s="151">
        <v>675</v>
      </c>
      <c r="S230" s="151">
        <v>48</v>
      </c>
      <c r="T230" s="151">
        <v>56960</v>
      </c>
      <c r="U230" s="147"/>
      <c r="V230" s="152">
        <f t="shared" si="105"/>
        <v>0.28465589887640447</v>
      </c>
      <c r="W230" s="152">
        <f t="shared" si="90"/>
        <v>0.25670646067415731</v>
      </c>
      <c r="X230" s="152">
        <f t="shared" si="91"/>
        <v>0.22264747191011236</v>
      </c>
      <c r="Y230" s="152">
        <f t="shared" si="92"/>
        <v>0.12413974719101123</v>
      </c>
      <c r="Z230" s="152">
        <f t="shared" si="93"/>
        <v>6.9961376404494388E-2</v>
      </c>
      <c r="AA230" s="152">
        <f t="shared" si="94"/>
        <v>2.9195926966292134E-2</v>
      </c>
      <c r="AB230" s="152">
        <f t="shared" si="95"/>
        <v>1.1850421348314606E-2</v>
      </c>
      <c r="AC230" s="152">
        <f t="shared" si="96"/>
        <v>8.4269662921348317E-4</v>
      </c>
      <c r="AD230" s="152"/>
      <c r="AE230" s="221">
        <v>17</v>
      </c>
      <c r="AF230" s="221">
        <v>128</v>
      </c>
      <c r="AG230" s="221">
        <v>126</v>
      </c>
      <c r="AH230" s="221">
        <v>60</v>
      </c>
      <c r="AI230" s="221">
        <v>29</v>
      </c>
      <c r="AJ230" s="221">
        <v>-5</v>
      </c>
      <c r="AK230" s="221">
        <v>2</v>
      </c>
      <c r="AL230" s="221">
        <v>1</v>
      </c>
      <c r="AM230" s="221">
        <v>358</v>
      </c>
      <c r="AN230" s="147"/>
      <c r="AO230" s="221">
        <v>20</v>
      </c>
      <c r="AP230" s="221">
        <v>4</v>
      </c>
      <c r="AQ230" s="221">
        <v>5</v>
      </c>
      <c r="AR230" s="221">
        <v>9</v>
      </c>
      <c r="AS230" s="221">
        <v>-6</v>
      </c>
      <c r="AT230" s="221">
        <v>6</v>
      </c>
      <c r="AU230" s="221">
        <v>4</v>
      </c>
      <c r="AV230" s="221">
        <v>0</v>
      </c>
      <c r="AW230" s="221">
        <v>42</v>
      </c>
      <c r="AX230" s="56">
        <f t="shared" si="116"/>
        <v>-20</v>
      </c>
      <c r="AY230" s="56">
        <f t="shared" si="116"/>
        <v>-4</v>
      </c>
      <c r="AZ230" s="56">
        <f t="shared" si="116"/>
        <v>-5</v>
      </c>
      <c r="BA230" s="56">
        <f t="shared" si="116"/>
        <v>-9</v>
      </c>
      <c r="BB230" s="56">
        <f t="shared" si="116"/>
        <v>6</v>
      </c>
      <c r="BC230" s="56">
        <f t="shared" si="116"/>
        <v>-6</v>
      </c>
      <c r="BD230" s="56">
        <f t="shared" si="115"/>
        <v>-4</v>
      </c>
      <c r="BE230" s="56">
        <f t="shared" si="115"/>
        <v>0</v>
      </c>
      <c r="BF230" s="56">
        <f t="shared" si="115"/>
        <v>-42</v>
      </c>
      <c r="BH230">
        <f t="shared" si="97"/>
        <v>0.8</v>
      </c>
      <c r="BI230">
        <f t="shared" si="106"/>
        <v>0.19999999999999996</v>
      </c>
      <c r="BJ230" s="154">
        <v>5884.8106666666663</v>
      </c>
      <c r="BK230" s="155">
        <f t="shared" si="98"/>
        <v>5884.8106666666663</v>
      </c>
      <c r="BL230" s="156">
        <v>285482.27822222217</v>
      </c>
      <c r="BM230" s="155">
        <f t="shared" si="99"/>
        <v>285482.27822222217</v>
      </c>
      <c r="BN230" s="158">
        <v>263598.5591111111</v>
      </c>
      <c r="BO230" s="155">
        <f t="shared" si="100"/>
        <v>263598.5591111111</v>
      </c>
      <c r="BP230" s="158">
        <v>265725.76</v>
      </c>
      <c r="BQ230" s="155">
        <f t="shared" si="101"/>
        <v>265725.76</v>
      </c>
      <c r="BR230" s="158">
        <v>132368.14222222226</v>
      </c>
      <c r="BS230" s="155">
        <f t="shared" si="102"/>
        <v>132368.14222222226</v>
      </c>
      <c r="BT230" s="194">
        <v>334979.46844444447</v>
      </c>
      <c r="BU230" s="194"/>
      <c r="BV230" s="348">
        <f t="shared" si="107"/>
        <v>334979.46844444447</v>
      </c>
      <c r="BW230" s="195">
        <f t="shared" si="103"/>
        <v>351213.94844444445</v>
      </c>
      <c r="BX230" s="157">
        <f t="shared" si="108"/>
        <v>87803.487111111113</v>
      </c>
      <c r="BY230" s="157">
        <f>IF(E230*$CJ$10*'Year 7 Payments'!$L$20*IF(B230="",1,0.8)&lt;=(BW230-(J230*350)),E230*$CJ$10*'Year 7 Payments'!$L$20*IF(B230="",1,0.8),BW230-(IF(B230="",1,0.8)*J230*350))</f>
        <v>235508.18867199999</v>
      </c>
      <c r="BZ230" s="157">
        <f t="shared" si="109"/>
        <v>58877.047167999997</v>
      </c>
      <c r="CA230" s="157">
        <f t="shared" si="110"/>
        <v>115705.75977244446</v>
      </c>
      <c r="CB230" s="157">
        <f t="shared" si="111"/>
        <v>28926.439943111116</v>
      </c>
      <c r="CC230" s="157">
        <f t="shared" si="112"/>
        <v>462823.03908977786</v>
      </c>
      <c r="CD230" s="201">
        <f t="shared" si="113"/>
        <v>115705.75977244446</v>
      </c>
      <c r="CE230" s="155">
        <f t="shared" si="114"/>
        <v>115705.75977244446</v>
      </c>
    </row>
    <row r="231" spans="1:83" x14ac:dyDescent="0.2">
      <c r="A231" s="147" t="s">
        <v>702</v>
      </c>
      <c r="B231" s="57" t="s">
        <v>639</v>
      </c>
      <c r="C231" s="57" t="s">
        <v>472</v>
      </c>
      <c r="D231" s="148" t="s">
        <v>259</v>
      </c>
      <c r="E231" s="197">
        <v>48302.333333333328</v>
      </c>
      <c r="F231" s="147">
        <f t="shared" si="104"/>
        <v>54166</v>
      </c>
      <c r="G231" s="342">
        <v>335</v>
      </c>
      <c r="H231" s="149">
        <f t="shared" si="89"/>
        <v>493</v>
      </c>
      <c r="I231" s="346">
        <v>262.67955555555557</v>
      </c>
      <c r="J231" s="150">
        <v>43</v>
      </c>
      <c r="K231"/>
      <c r="L231" s="151">
        <v>13049</v>
      </c>
      <c r="M231" s="151">
        <v>12373</v>
      </c>
      <c r="N231" s="151">
        <v>11658</v>
      </c>
      <c r="O231" s="151">
        <v>7912</v>
      </c>
      <c r="P231" s="151">
        <v>5101</v>
      </c>
      <c r="Q231" s="151">
        <v>2626</v>
      </c>
      <c r="R231" s="151">
        <v>1387</v>
      </c>
      <c r="S231" s="151">
        <v>60</v>
      </c>
      <c r="T231" s="151">
        <v>54166</v>
      </c>
      <c r="U231" s="147"/>
      <c r="V231" s="152">
        <f t="shared" si="105"/>
        <v>0.24090758040098956</v>
      </c>
      <c r="W231" s="152">
        <f t="shared" si="90"/>
        <v>0.22842742679909905</v>
      </c>
      <c r="X231" s="152">
        <f t="shared" si="91"/>
        <v>0.21522726433556105</v>
      </c>
      <c r="Y231" s="152">
        <f t="shared" si="92"/>
        <v>0.14606949008603182</v>
      </c>
      <c r="Z231" s="152">
        <f t="shared" si="93"/>
        <v>9.4173466750360008E-2</v>
      </c>
      <c r="AA231" s="152">
        <f t="shared" si="94"/>
        <v>4.848059668426688E-2</v>
      </c>
      <c r="AB231" s="152">
        <f t="shared" si="95"/>
        <v>2.5606469002695417E-2</v>
      </c>
      <c r="AC231" s="152">
        <f t="shared" si="96"/>
        <v>1.1077059409961968E-3</v>
      </c>
      <c r="AD231" s="152"/>
      <c r="AE231" s="221">
        <v>84</v>
      </c>
      <c r="AF231" s="221">
        <v>84</v>
      </c>
      <c r="AG231" s="221">
        <v>223</v>
      </c>
      <c r="AH231" s="221">
        <v>75</v>
      </c>
      <c r="AI231" s="221">
        <v>73</v>
      </c>
      <c r="AJ231" s="221">
        <v>15</v>
      </c>
      <c r="AK231" s="221">
        <v>3</v>
      </c>
      <c r="AL231" s="221">
        <v>2</v>
      </c>
      <c r="AM231" s="221">
        <v>559</v>
      </c>
      <c r="AN231" s="147"/>
      <c r="AO231" s="221">
        <v>17</v>
      </c>
      <c r="AP231" s="221">
        <v>20</v>
      </c>
      <c r="AQ231" s="221">
        <v>0</v>
      </c>
      <c r="AR231" s="221">
        <v>21</v>
      </c>
      <c r="AS231" s="221">
        <v>8</v>
      </c>
      <c r="AT231" s="221">
        <v>-4</v>
      </c>
      <c r="AU231" s="221">
        <v>4</v>
      </c>
      <c r="AV231" s="221">
        <v>0</v>
      </c>
      <c r="AW231" s="221">
        <v>66</v>
      </c>
      <c r="AX231" s="56">
        <f t="shared" si="116"/>
        <v>-17</v>
      </c>
      <c r="AY231" s="56">
        <f t="shared" si="116"/>
        <v>-20</v>
      </c>
      <c r="AZ231" s="56">
        <f t="shared" si="116"/>
        <v>0</v>
      </c>
      <c r="BA231" s="56">
        <f t="shared" si="116"/>
        <v>-21</v>
      </c>
      <c r="BB231" s="56">
        <f t="shared" si="116"/>
        <v>-8</v>
      </c>
      <c r="BC231" s="56">
        <f t="shared" si="116"/>
        <v>4</v>
      </c>
      <c r="BD231" s="56">
        <f t="shared" si="115"/>
        <v>-4</v>
      </c>
      <c r="BE231" s="56">
        <f t="shared" si="115"/>
        <v>0</v>
      </c>
      <c r="BF231" s="56">
        <f t="shared" si="115"/>
        <v>-66</v>
      </c>
      <c r="BH231">
        <f t="shared" si="97"/>
        <v>0.8</v>
      </c>
      <c r="BI231">
        <f t="shared" si="106"/>
        <v>0.19999999999999996</v>
      </c>
      <c r="BJ231" s="154">
        <v>624173.72266666673</v>
      </c>
      <c r="BK231" s="155">
        <f t="shared" si="98"/>
        <v>624173.72266666673</v>
      </c>
      <c r="BL231" s="156">
        <v>772746.3902222222</v>
      </c>
      <c r="BM231" s="155">
        <f t="shared" si="99"/>
        <v>772746.3902222222</v>
      </c>
      <c r="BN231" s="158">
        <v>958327.60622222244</v>
      </c>
      <c r="BO231" s="155">
        <f t="shared" si="100"/>
        <v>958327.60622222244</v>
      </c>
      <c r="BP231" s="158">
        <v>620880.85333333339</v>
      </c>
      <c r="BQ231" s="155">
        <f t="shared" si="101"/>
        <v>620880.85333333339</v>
      </c>
      <c r="BR231" s="158">
        <v>666519.73866666667</v>
      </c>
      <c r="BS231" s="155">
        <f t="shared" si="102"/>
        <v>666519.73866666667</v>
      </c>
      <c r="BT231" s="194">
        <v>731611.17866666662</v>
      </c>
      <c r="BU231" s="194"/>
      <c r="BV231" s="348">
        <f t="shared" si="107"/>
        <v>731611.17866666662</v>
      </c>
      <c r="BW231" s="195">
        <f t="shared" si="103"/>
        <v>569887.52711111121</v>
      </c>
      <c r="BX231" s="157">
        <f t="shared" si="108"/>
        <v>142471.8817777778</v>
      </c>
      <c r="BY231" s="157">
        <f>IF(E231*$CJ$10*'Year 7 Payments'!$L$20*IF(B231="",1,0.8)&lt;=(BW231-(J231*350)),E231*$CJ$10*'Year 7 Payments'!$L$20*IF(B231="",1,0.8),BW231-(IF(B231="",1,0.8)*J231*350))</f>
        <v>236420.21431466669</v>
      </c>
      <c r="BZ231" s="157">
        <f t="shared" si="109"/>
        <v>59105.053578666673</v>
      </c>
      <c r="CA231" s="157">
        <f t="shared" si="110"/>
        <v>333467.31279644452</v>
      </c>
      <c r="CB231" s="157">
        <f t="shared" si="111"/>
        <v>83366.828199111129</v>
      </c>
      <c r="CC231" s="157">
        <f t="shared" si="112"/>
        <v>1333869.2511857781</v>
      </c>
      <c r="CD231" s="201">
        <f t="shared" si="113"/>
        <v>333467.31279644452</v>
      </c>
      <c r="CE231" s="155">
        <f t="shared" si="114"/>
        <v>333467.31279644452</v>
      </c>
    </row>
    <row r="232" spans="1:83" x14ac:dyDescent="0.2">
      <c r="A232" s="147" t="s">
        <v>703</v>
      </c>
      <c r="B232" s="57"/>
      <c r="C232" s="57" t="s">
        <v>446</v>
      </c>
      <c r="D232" s="148" t="s">
        <v>260</v>
      </c>
      <c r="E232" s="197">
        <v>108104.55555555555</v>
      </c>
      <c r="F232" s="147">
        <f t="shared" si="104"/>
        <v>126633</v>
      </c>
      <c r="G232" s="342">
        <v>1640</v>
      </c>
      <c r="H232" s="149">
        <f t="shared" si="89"/>
        <v>320</v>
      </c>
      <c r="I232" s="346">
        <v>0</v>
      </c>
      <c r="J232" s="150">
        <v>94</v>
      </c>
      <c r="K232"/>
      <c r="L232" s="151">
        <v>39330</v>
      </c>
      <c r="M232" s="151">
        <v>27135</v>
      </c>
      <c r="N232" s="151">
        <v>30130</v>
      </c>
      <c r="O232" s="151">
        <v>14945</v>
      </c>
      <c r="P232" s="151">
        <v>8271</v>
      </c>
      <c r="Q232" s="151">
        <v>3868</v>
      </c>
      <c r="R232" s="151">
        <v>2698</v>
      </c>
      <c r="S232" s="151">
        <v>256</v>
      </c>
      <c r="T232" s="151">
        <v>126633</v>
      </c>
      <c r="U232" s="147"/>
      <c r="V232" s="152">
        <f t="shared" si="105"/>
        <v>0.31058254957238635</v>
      </c>
      <c r="W232" s="152">
        <f t="shared" si="90"/>
        <v>0.21428063774845418</v>
      </c>
      <c r="X232" s="152">
        <f t="shared" si="91"/>
        <v>0.23793166078352404</v>
      </c>
      <c r="Y232" s="152">
        <f t="shared" si="92"/>
        <v>0.11801821010321165</v>
      </c>
      <c r="Z232" s="152">
        <f t="shared" si="93"/>
        <v>6.5314728388334797E-2</v>
      </c>
      <c r="AA232" s="152">
        <f t="shared" si="94"/>
        <v>3.0544960634273848E-2</v>
      </c>
      <c r="AB232" s="152">
        <f t="shared" si="95"/>
        <v>2.1305662820907661E-2</v>
      </c>
      <c r="AC232" s="152">
        <f t="shared" si="96"/>
        <v>2.0215899489074728E-3</v>
      </c>
      <c r="AD232" s="152"/>
      <c r="AE232" s="221">
        <v>120</v>
      </c>
      <c r="AF232" s="221">
        <v>-13</v>
      </c>
      <c r="AG232" s="221">
        <v>50</v>
      </c>
      <c r="AH232" s="221">
        <v>65</v>
      </c>
      <c r="AI232" s="221">
        <v>41</v>
      </c>
      <c r="AJ232" s="221">
        <v>21</v>
      </c>
      <c r="AK232" s="221">
        <v>9</v>
      </c>
      <c r="AL232" s="221">
        <v>5</v>
      </c>
      <c r="AM232" s="221">
        <v>298</v>
      </c>
      <c r="AN232" s="147"/>
      <c r="AO232" s="221">
        <v>51</v>
      </c>
      <c r="AP232" s="221">
        <v>-45</v>
      </c>
      <c r="AQ232" s="221">
        <v>-17</v>
      </c>
      <c r="AR232" s="221">
        <v>-7</v>
      </c>
      <c r="AS232" s="221">
        <v>2</v>
      </c>
      <c r="AT232" s="221">
        <v>-1</v>
      </c>
      <c r="AU232" s="221">
        <v>-4</v>
      </c>
      <c r="AV232" s="221">
        <v>-1</v>
      </c>
      <c r="AW232" s="221">
        <v>-22</v>
      </c>
      <c r="AX232" s="56">
        <f t="shared" si="116"/>
        <v>-51</v>
      </c>
      <c r="AY232" s="56">
        <f t="shared" si="116"/>
        <v>45</v>
      </c>
      <c r="AZ232" s="56">
        <f t="shared" si="116"/>
        <v>17</v>
      </c>
      <c r="BA232" s="56">
        <f t="shared" si="116"/>
        <v>7</v>
      </c>
      <c r="BB232" s="56">
        <f t="shared" si="116"/>
        <v>-2</v>
      </c>
      <c r="BC232" s="56">
        <f t="shared" si="116"/>
        <v>1</v>
      </c>
      <c r="BD232" s="56">
        <f t="shared" si="115"/>
        <v>4</v>
      </c>
      <c r="BE232" s="56">
        <f t="shared" si="115"/>
        <v>1</v>
      </c>
      <c r="BF232" s="56">
        <f t="shared" si="115"/>
        <v>22</v>
      </c>
      <c r="BH232">
        <f t="shared" si="97"/>
        <v>1</v>
      </c>
      <c r="BI232">
        <f t="shared" si="106"/>
        <v>0</v>
      </c>
      <c r="BJ232" s="154">
        <v>405860.04</v>
      </c>
      <c r="BK232" s="155">
        <f t="shared" si="98"/>
        <v>405860.04</v>
      </c>
      <c r="BL232" s="156">
        <v>1187553.2066666665</v>
      </c>
      <c r="BM232" s="155">
        <f t="shared" si="99"/>
        <v>1187553.2066666665</v>
      </c>
      <c r="BN232" s="158">
        <v>797038.21222222236</v>
      </c>
      <c r="BO232" s="155">
        <f t="shared" si="100"/>
        <v>797038.21222222236</v>
      </c>
      <c r="BP232" s="158">
        <v>226129.46666666662</v>
      </c>
      <c r="BQ232" s="155">
        <f t="shared" si="101"/>
        <v>226129.46666666662</v>
      </c>
      <c r="BR232" s="158">
        <v>632192.7888888889</v>
      </c>
      <c r="BS232" s="155">
        <f t="shared" si="102"/>
        <v>632192.7888888889</v>
      </c>
      <c r="BT232" s="194">
        <v>749888.81333333335</v>
      </c>
      <c r="BU232" s="194"/>
      <c r="BV232" s="348">
        <f t="shared" si="107"/>
        <v>749888.81333333335</v>
      </c>
      <c r="BW232" s="195">
        <f t="shared" si="103"/>
        <v>515561.15555555548</v>
      </c>
      <c r="BX232" s="157" t="str">
        <f t="shared" si="108"/>
        <v>0</v>
      </c>
      <c r="BY232" s="157">
        <f>IF(E232*$CJ$10*'Year 7 Payments'!$L$20*IF(B232="",1,0.8)&lt;=(BW232-(J232*350)),E232*$CJ$10*'Year 7 Payments'!$L$20*IF(B232="",1,0.8),BW232-(IF(B232="",1,0.8)*J232*350))</f>
        <v>482661.15555555548</v>
      </c>
      <c r="BZ232" s="157" t="str">
        <f t="shared" si="109"/>
        <v>0</v>
      </c>
      <c r="CA232" s="157">
        <f t="shared" si="110"/>
        <v>32900</v>
      </c>
      <c r="CB232" s="157">
        <f t="shared" si="111"/>
        <v>0</v>
      </c>
      <c r="CC232" s="157">
        <f t="shared" si="112"/>
        <v>131600</v>
      </c>
      <c r="CD232" s="201">
        <f t="shared" si="113"/>
        <v>0</v>
      </c>
      <c r="CE232" s="155">
        <f t="shared" si="114"/>
        <v>32900</v>
      </c>
    </row>
    <row r="233" spans="1:83" x14ac:dyDescent="0.2">
      <c r="A233" s="147" t="s">
        <v>704</v>
      </c>
      <c r="B233" s="57" t="s">
        <v>538</v>
      </c>
      <c r="C233" s="57" t="s">
        <v>464</v>
      </c>
      <c r="D233" s="148" t="s">
        <v>261</v>
      </c>
      <c r="E233" s="197">
        <v>34445.888888888891</v>
      </c>
      <c r="F233" s="147">
        <f t="shared" si="104"/>
        <v>38103</v>
      </c>
      <c r="G233" s="342">
        <v>387</v>
      </c>
      <c r="H233" s="149">
        <f t="shared" si="89"/>
        <v>457</v>
      </c>
      <c r="I233" s="346">
        <v>325.88311111111108</v>
      </c>
      <c r="J233" s="150">
        <v>20</v>
      </c>
      <c r="K233"/>
      <c r="L233" s="151">
        <v>8772</v>
      </c>
      <c r="M233" s="151">
        <v>7940</v>
      </c>
      <c r="N233" s="151">
        <v>7919</v>
      </c>
      <c r="O233" s="151">
        <v>5673</v>
      </c>
      <c r="P233" s="151">
        <v>4408</v>
      </c>
      <c r="Q233" s="151">
        <v>2421</v>
      </c>
      <c r="R233" s="151">
        <v>915</v>
      </c>
      <c r="S233" s="151">
        <v>55</v>
      </c>
      <c r="T233" s="151">
        <v>38103</v>
      </c>
      <c r="U233" s="147"/>
      <c r="V233" s="152">
        <f t="shared" si="105"/>
        <v>0.2302180930635383</v>
      </c>
      <c r="W233" s="152">
        <f t="shared" si="90"/>
        <v>0.20838254205705586</v>
      </c>
      <c r="X233" s="152">
        <f t="shared" si="91"/>
        <v>0.20783140435136341</v>
      </c>
      <c r="Y233" s="152">
        <f t="shared" si="92"/>
        <v>0.14888591449492167</v>
      </c>
      <c r="Z233" s="152">
        <f t="shared" si="93"/>
        <v>0.11568642889011364</v>
      </c>
      <c r="AA233" s="152">
        <f t="shared" si="94"/>
        <v>6.3538304070545629E-2</v>
      </c>
      <c r="AB233" s="152">
        <f t="shared" si="95"/>
        <v>2.4013857176600269E-2</v>
      </c>
      <c r="AC233" s="152">
        <f t="shared" si="96"/>
        <v>1.4434558958612183E-3</v>
      </c>
      <c r="AD233" s="152"/>
      <c r="AE233" s="221">
        <v>37</v>
      </c>
      <c r="AF233" s="221">
        <v>99</v>
      </c>
      <c r="AG233" s="221">
        <v>130</v>
      </c>
      <c r="AH233" s="221">
        <v>112</v>
      </c>
      <c r="AI233" s="221">
        <v>96</v>
      </c>
      <c r="AJ233" s="221">
        <v>54</v>
      </c>
      <c r="AK233" s="221">
        <v>8</v>
      </c>
      <c r="AL233" s="221">
        <v>0</v>
      </c>
      <c r="AM233" s="221">
        <v>536</v>
      </c>
      <c r="AN233" s="147"/>
      <c r="AO233" s="221">
        <v>19</v>
      </c>
      <c r="AP233" s="221">
        <v>13</v>
      </c>
      <c r="AQ233" s="221">
        <v>14</v>
      </c>
      <c r="AR233" s="221">
        <v>16</v>
      </c>
      <c r="AS233" s="221">
        <v>10</v>
      </c>
      <c r="AT233" s="221">
        <v>4</v>
      </c>
      <c r="AU233" s="221">
        <v>3</v>
      </c>
      <c r="AV233" s="221">
        <v>0</v>
      </c>
      <c r="AW233" s="221">
        <v>79</v>
      </c>
      <c r="AX233" s="56">
        <f t="shared" si="116"/>
        <v>-19</v>
      </c>
      <c r="AY233" s="56">
        <f t="shared" si="116"/>
        <v>-13</v>
      </c>
      <c r="AZ233" s="56">
        <f t="shared" si="116"/>
        <v>-14</v>
      </c>
      <c r="BA233" s="56">
        <f t="shared" si="116"/>
        <v>-16</v>
      </c>
      <c r="BB233" s="56">
        <f t="shared" si="116"/>
        <v>-10</v>
      </c>
      <c r="BC233" s="56">
        <f t="shared" si="116"/>
        <v>-4</v>
      </c>
      <c r="BD233" s="56">
        <f t="shared" si="115"/>
        <v>-3</v>
      </c>
      <c r="BE233" s="56">
        <f t="shared" si="115"/>
        <v>0</v>
      </c>
      <c r="BF233" s="56">
        <f t="shared" si="115"/>
        <v>-79</v>
      </c>
      <c r="BH233">
        <f t="shared" si="97"/>
        <v>0.8</v>
      </c>
      <c r="BI233">
        <f t="shared" si="106"/>
        <v>0.19999999999999996</v>
      </c>
      <c r="BJ233" s="154">
        <v>445326.65066666668</v>
      </c>
      <c r="BK233" s="155">
        <f t="shared" si="98"/>
        <v>445326.65066666668</v>
      </c>
      <c r="BL233" s="156">
        <v>435095.97333333327</v>
      </c>
      <c r="BM233" s="155">
        <f t="shared" si="99"/>
        <v>435095.97333333327</v>
      </c>
      <c r="BN233" s="158">
        <v>302764.18755555555</v>
      </c>
      <c r="BO233" s="155">
        <f t="shared" si="100"/>
        <v>302764.18755555555</v>
      </c>
      <c r="BP233" s="158">
        <v>541922.88</v>
      </c>
      <c r="BQ233" s="155">
        <f t="shared" si="101"/>
        <v>541922.88</v>
      </c>
      <c r="BR233" s="158">
        <v>353258.40888888895</v>
      </c>
      <c r="BS233" s="155">
        <f t="shared" si="102"/>
        <v>353258.40888888895</v>
      </c>
      <c r="BT233" s="194">
        <v>368281.68533333333</v>
      </c>
      <c r="BU233" s="194"/>
      <c r="BV233" s="348">
        <f t="shared" si="107"/>
        <v>368281.68533333333</v>
      </c>
      <c r="BW233" s="195">
        <f t="shared" si="103"/>
        <v>572964.78933333314</v>
      </c>
      <c r="BX233" s="157">
        <f t="shared" si="108"/>
        <v>143241.19733333329</v>
      </c>
      <c r="BY233" s="157">
        <f>IF(E233*$CJ$10*'Year 7 Payments'!$L$20*IF(B233="",1,0.8)&lt;=(BW233-(J233*350)),E233*$CJ$10*'Year 7 Payments'!$L$20*IF(B233="",1,0.8),BW233-(IF(B233="",1,0.8)*J233*350))</f>
        <v>168598.57218844446</v>
      </c>
      <c r="BZ233" s="157">
        <f t="shared" si="109"/>
        <v>42149.643047111116</v>
      </c>
      <c r="CA233" s="157">
        <f t="shared" si="110"/>
        <v>404366.21714488871</v>
      </c>
      <c r="CB233" s="157">
        <f t="shared" si="111"/>
        <v>101091.55428622218</v>
      </c>
      <c r="CC233" s="157">
        <f t="shared" si="112"/>
        <v>1617464.8685795548</v>
      </c>
      <c r="CD233" s="201">
        <f t="shared" si="113"/>
        <v>404366.21714488871</v>
      </c>
      <c r="CE233" s="155">
        <f t="shared" si="114"/>
        <v>404366.21714488871</v>
      </c>
    </row>
    <row r="234" spans="1:83" x14ac:dyDescent="0.2">
      <c r="A234" s="147" t="s">
        <v>705</v>
      </c>
      <c r="B234" s="57" t="s">
        <v>454</v>
      </c>
      <c r="C234" s="57" t="s">
        <v>443</v>
      </c>
      <c r="D234" s="148" t="s">
        <v>262</v>
      </c>
      <c r="E234" s="197">
        <v>57000.333333333328</v>
      </c>
      <c r="F234" s="147">
        <f t="shared" si="104"/>
        <v>49642</v>
      </c>
      <c r="G234" s="342">
        <v>379</v>
      </c>
      <c r="H234" s="149">
        <f t="shared" si="89"/>
        <v>315</v>
      </c>
      <c r="I234" s="346">
        <v>134.10977777777782</v>
      </c>
      <c r="J234" s="150">
        <v>108</v>
      </c>
      <c r="K234"/>
      <c r="L234" s="151">
        <v>1689</v>
      </c>
      <c r="M234" s="151">
        <v>3173</v>
      </c>
      <c r="N234" s="151">
        <v>10927</v>
      </c>
      <c r="O234" s="151">
        <v>11719</v>
      </c>
      <c r="P234" s="151">
        <v>7368</v>
      </c>
      <c r="Q234" s="151">
        <v>5841</v>
      </c>
      <c r="R234" s="151">
        <v>7568</v>
      </c>
      <c r="S234" s="151">
        <v>1357</v>
      </c>
      <c r="T234" s="151">
        <v>49642</v>
      </c>
      <c r="U234" s="147"/>
      <c r="V234" s="152">
        <f t="shared" si="105"/>
        <v>3.4023609040731637E-2</v>
      </c>
      <c r="W234" s="152">
        <f t="shared" si="90"/>
        <v>6.3917650376697152E-2</v>
      </c>
      <c r="X234" s="152">
        <f t="shared" si="91"/>
        <v>0.22011603078038758</v>
      </c>
      <c r="Y234" s="152">
        <f t="shared" si="92"/>
        <v>0.23607026308367915</v>
      </c>
      <c r="Z234" s="152">
        <f t="shared" si="93"/>
        <v>0.14842270657910639</v>
      </c>
      <c r="AA234" s="152">
        <f t="shared" si="94"/>
        <v>0.11766246323677532</v>
      </c>
      <c r="AB234" s="152">
        <f t="shared" si="95"/>
        <v>0.15245155312034164</v>
      </c>
      <c r="AC234" s="152">
        <f t="shared" si="96"/>
        <v>2.7335723782281132E-2</v>
      </c>
      <c r="AD234" s="152"/>
      <c r="AE234" s="221">
        <v>7</v>
      </c>
      <c r="AF234" s="221">
        <v>25</v>
      </c>
      <c r="AG234" s="221">
        <v>155</v>
      </c>
      <c r="AH234" s="221">
        <v>70</v>
      </c>
      <c r="AI234" s="221">
        <v>38</v>
      </c>
      <c r="AJ234" s="221">
        <v>56</v>
      </c>
      <c r="AK234" s="221">
        <v>29</v>
      </c>
      <c r="AL234" s="221">
        <v>23</v>
      </c>
      <c r="AM234" s="221">
        <v>403</v>
      </c>
      <c r="AN234" s="147"/>
      <c r="AO234" s="221">
        <v>-2</v>
      </c>
      <c r="AP234" s="221">
        <v>-6</v>
      </c>
      <c r="AQ234" s="221">
        <v>42</v>
      </c>
      <c r="AR234" s="221">
        <v>34</v>
      </c>
      <c r="AS234" s="221">
        <v>16</v>
      </c>
      <c r="AT234" s="221">
        <v>2</v>
      </c>
      <c r="AU234" s="221">
        <v>1</v>
      </c>
      <c r="AV234" s="221">
        <v>1</v>
      </c>
      <c r="AW234" s="221">
        <v>88</v>
      </c>
      <c r="AX234" s="56">
        <f t="shared" si="116"/>
        <v>2</v>
      </c>
      <c r="AY234" s="56">
        <f t="shared" si="116"/>
        <v>6</v>
      </c>
      <c r="AZ234" s="56">
        <f t="shared" si="116"/>
        <v>-42</v>
      </c>
      <c r="BA234" s="56">
        <f t="shared" si="116"/>
        <v>-34</v>
      </c>
      <c r="BB234" s="56">
        <f t="shared" si="116"/>
        <v>-16</v>
      </c>
      <c r="BC234" s="56">
        <f t="shared" si="116"/>
        <v>-2</v>
      </c>
      <c r="BD234" s="56">
        <f t="shared" si="115"/>
        <v>-1</v>
      </c>
      <c r="BE234" s="56">
        <f t="shared" si="115"/>
        <v>-1</v>
      </c>
      <c r="BF234" s="56">
        <f t="shared" si="115"/>
        <v>-88</v>
      </c>
      <c r="BH234">
        <f t="shared" si="97"/>
        <v>0.8</v>
      </c>
      <c r="BI234">
        <f t="shared" si="106"/>
        <v>0.19999999999999996</v>
      </c>
      <c r="BJ234" s="154">
        <v>282342.98133333336</v>
      </c>
      <c r="BK234" s="155">
        <f t="shared" si="98"/>
        <v>282342.98133333336</v>
      </c>
      <c r="BL234" s="156">
        <v>363653.88977777772</v>
      </c>
      <c r="BM234" s="155">
        <f t="shared" si="99"/>
        <v>363653.88977777772</v>
      </c>
      <c r="BN234" s="158">
        <v>329575.3226666667</v>
      </c>
      <c r="BO234" s="155">
        <f t="shared" si="100"/>
        <v>329575.3226666667</v>
      </c>
      <c r="BP234" s="158">
        <v>413401.4933333334</v>
      </c>
      <c r="BQ234" s="155">
        <f t="shared" si="101"/>
        <v>413401.4933333334</v>
      </c>
      <c r="BR234" s="158">
        <v>429460.01600000006</v>
      </c>
      <c r="BS234" s="155">
        <f t="shared" si="102"/>
        <v>429460.01600000006</v>
      </c>
      <c r="BT234" s="194">
        <v>384079.5964444445</v>
      </c>
      <c r="BU234" s="194"/>
      <c r="BV234" s="348">
        <f t="shared" si="107"/>
        <v>384079.5964444445</v>
      </c>
      <c r="BW234" s="195">
        <f t="shared" si="103"/>
        <v>473336.53688888898</v>
      </c>
      <c r="BX234" s="157">
        <f t="shared" si="108"/>
        <v>118334.13422222224</v>
      </c>
      <c r="BY234" s="157">
        <f>IF(E234*$CJ$10*'Year 7 Payments'!$L$20*IF(B234="",1,0.8)&lt;=(BW234-(J234*350)),E234*$CJ$10*'Year 7 Payments'!$L$20*IF(B234="",1,0.8),BW234-(IF(B234="",1,0.8)*J234*350))</f>
        <v>278993.37553066661</v>
      </c>
      <c r="BZ234" s="157">
        <f t="shared" si="109"/>
        <v>69748.343882666653</v>
      </c>
      <c r="CA234" s="157">
        <f t="shared" si="110"/>
        <v>194343.16135822237</v>
      </c>
      <c r="CB234" s="157">
        <f t="shared" si="111"/>
        <v>48585.790339555591</v>
      </c>
      <c r="CC234" s="157">
        <f t="shared" si="112"/>
        <v>777372.64543288946</v>
      </c>
      <c r="CD234" s="201">
        <f t="shared" si="113"/>
        <v>194343.16135822237</v>
      </c>
      <c r="CE234" s="155">
        <f t="shared" si="114"/>
        <v>194343.16135822237</v>
      </c>
    </row>
    <row r="235" spans="1:83" x14ac:dyDescent="0.2">
      <c r="A235" s="147" t="s">
        <v>706</v>
      </c>
      <c r="B235" s="57"/>
      <c r="C235" s="57" t="s">
        <v>464</v>
      </c>
      <c r="D235" s="148" t="s">
        <v>263</v>
      </c>
      <c r="E235" s="197">
        <v>187199.11111111112</v>
      </c>
      <c r="F235" s="147">
        <f t="shared" si="104"/>
        <v>243729</v>
      </c>
      <c r="G235" s="342">
        <v>1995</v>
      </c>
      <c r="H235" s="149">
        <f t="shared" si="89"/>
        <v>1781</v>
      </c>
      <c r="I235" s="346">
        <v>636.6479999999998</v>
      </c>
      <c r="J235" s="150">
        <v>305</v>
      </c>
      <c r="K235"/>
      <c r="L235" s="151">
        <v>142246</v>
      </c>
      <c r="M235" s="151">
        <v>38938</v>
      </c>
      <c r="N235" s="151">
        <v>30860</v>
      </c>
      <c r="O235" s="151">
        <v>15624</v>
      </c>
      <c r="P235" s="151">
        <v>8981</v>
      </c>
      <c r="Q235" s="151">
        <v>4166</v>
      </c>
      <c r="R235" s="151">
        <v>2731</v>
      </c>
      <c r="S235" s="151">
        <v>183</v>
      </c>
      <c r="T235" s="151">
        <v>243729</v>
      </c>
      <c r="U235" s="147"/>
      <c r="V235" s="152">
        <f t="shared" si="105"/>
        <v>0.5836236147524505</v>
      </c>
      <c r="W235" s="152">
        <f t="shared" si="90"/>
        <v>0.15975940491283352</v>
      </c>
      <c r="X235" s="152">
        <f t="shared" si="91"/>
        <v>0.12661603666367155</v>
      </c>
      <c r="Y235" s="152">
        <f t="shared" si="92"/>
        <v>6.4103984343266501E-2</v>
      </c>
      <c r="Z235" s="152">
        <f t="shared" si="93"/>
        <v>3.684830282814109E-2</v>
      </c>
      <c r="AA235" s="152">
        <f t="shared" si="94"/>
        <v>1.7092754657837189E-2</v>
      </c>
      <c r="AB235" s="152">
        <f t="shared" si="95"/>
        <v>1.1205067923800615E-2</v>
      </c>
      <c r="AC235" s="152">
        <f t="shared" si="96"/>
        <v>7.5083391799908919E-4</v>
      </c>
      <c r="AD235" s="152"/>
      <c r="AE235" s="221">
        <v>1011</v>
      </c>
      <c r="AF235" s="221">
        <v>311</v>
      </c>
      <c r="AG235" s="221">
        <v>117</v>
      </c>
      <c r="AH235" s="221">
        <v>85</v>
      </c>
      <c r="AI235" s="221">
        <v>93</v>
      </c>
      <c r="AJ235" s="221">
        <v>41</v>
      </c>
      <c r="AK235" s="221">
        <v>18</v>
      </c>
      <c r="AL235" s="221">
        <v>5</v>
      </c>
      <c r="AM235" s="221">
        <v>1681</v>
      </c>
      <c r="AN235" s="147"/>
      <c r="AO235" s="221">
        <v>-94</v>
      </c>
      <c r="AP235" s="221">
        <v>4</v>
      </c>
      <c r="AQ235" s="221">
        <v>3</v>
      </c>
      <c r="AR235" s="221">
        <v>-15</v>
      </c>
      <c r="AS235" s="221">
        <v>-3</v>
      </c>
      <c r="AT235" s="221">
        <v>2</v>
      </c>
      <c r="AU235" s="221">
        <v>3</v>
      </c>
      <c r="AV235" s="221">
        <v>0</v>
      </c>
      <c r="AW235" s="221">
        <v>-100</v>
      </c>
      <c r="AX235" s="56">
        <f t="shared" si="116"/>
        <v>94</v>
      </c>
      <c r="AY235" s="56">
        <f t="shared" si="116"/>
        <v>-4</v>
      </c>
      <c r="AZ235" s="56">
        <f t="shared" si="116"/>
        <v>-3</v>
      </c>
      <c r="BA235" s="56">
        <f t="shared" si="116"/>
        <v>15</v>
      </c>
      <c r="BB235" s="56">
        <f t="shared" si="116"/>
        <v>3</v>
      </c>
      <c r="BC235" s="56">
        <f t="shared" si="116"/>
        <v>-2</v>
      </c>
      <c r="BD235" s="56">
        <f t="shared" si="115"/>
        <v>-3</v>
      </c>
      <c r="BE235" s="56">
        <f t="shared" si="115"/>
        <v>0</v>
      </c>
      <c r="BF235" s="56">
        <f t="shared" si="115"/>
        <v>100</v>
      </c>
      <c r="BH235">
        <f t="shared" si="97"/>
        <v>1</v>
      </c>
      <c r="BI235">
        <f t="shared" si="106"/>
        <v>0</v>
      </c>
      <c r="BJ235" s="154">
        <v>1957818.94</v>
      </c>
      <c r="BK235" s="155">
        <f t="shared" si="98"/>
        <v>1957818.94</v>
      </c>
      <c r="BL235" s="156">
        <v>1417553.698888889</v>
      </c>
      <c r="BM235" s="155">
        <f t="shared" si="99"/>
        <v>1417553.698888889</v>
      </c>
      <c r="BN235" s="158">
        <v>1219646.6966666668</v>
      </c>
      <c r="BO235" s="155">
        <f t="shared" si="100"/>
        <v>1219646.6966666668</v>
      </c>
      <c r="BP235" s="158">
        <v>1358946.5333333334</v>
      </c>
      <c r="BQ235" s="155">
        <f t="shared" si="101"/>
        <v>1358946.5333333334</v>
      </c>
      <c r="BR235" s="158">
        <v>1354761.1533333331</v>
      </c>
      <c r="BS235" s="155">
        <f t="shared" si="102"/>
        <v>1354761.1533333331</v>
      </c>
      <c r="BT235" s="194">
        <v>2014643.2911111107</v>
      </c>
      <c r="BU235" s="194"/>
      <c r="BV235" s="348">
        <f t="shared" si="107"/>
        <v>2014643.2911111107</v>
      </c>
      <c r="BW235" s="195">
        <f t="shared" si="103"/>
        <v>2225870.4044444449</v>
      </c>
      <c r="BX235" s="157" t="str">
        <f t="shared" si="108"/>
        <v>0</v>
      </c>
      <c r="BY235" s="157">
        <f>IF(E235*$CJ$10*'Year 7 Payments'!$L$20*IF(B235="",1,0.8)&lt;=(BW235-(J235*350)),E235*$CJ$10*'Year 7 Payments'!$L$20*IF(B235="",1,0.8),BW235-(IF(B235="",1,0.8)*J235*350))</f>
        <v>1145329.0895644445</v>
      </c>
      <c r="BZ235" s="157" t="str">
        <f t="shared" si="109"/>
        <v>0</v>
      </c>
      <c r="CA235" s="157">
        <f t="shared" si="110"/>
        <v>1080541.3148800004</v>
      </c>
      <c r="CB235" s="157">
        <f t="shared" si="111"/>
        <v>0</v>
      </c>
      <c r="CC235" s="157">
        <f t="shared" si="112"/>
        <v>4322165.2595200017</v>
      </c>
      <c r="CD235" s="201">
        <f t="shared" si="113"/>
        <v>0</v>
      </c>
      <c r="CE235" s="155">
        <f t="shared" si="114"/>
        <v>1080541.3148800004</v>
      </c>
    </row>
    <row r="236" spans="1:83" x14ac:dyDescent="0.2">
      <c r="A236" s="147" t="s">
        <v>707</v>
      </c>
      <c r="B236" s="57" t="s">
        <v>454</v>
      </c>
      <c r="C236" s="57" t="s">
        <v>443</v>
      </c>
      <c r="D236" s="148" t="s">
        <v>264</v>
      </c>
      <c r="E236" s="197">
        <v>46293.111111111109</v>
      </c>
      <c r="F236" s="147">
        <f t="shared" si="104"/>
        <v>50316</v>
      </c>
      <c r="G236" s="342">
        <v>547</v>
      </c>
      <c r="H236" s="149">
        <f t="shared" si="89"/>
        <v>503</v>
      </c>
      <c r="I236" s="346">
        <v>276.04977777777776</v>
      </c>
      <c r="J236" s="150">
        <v>99</v>
      </c>
      <c r="K236"/>
      <c r="L236" s="151">
        <v>6955</v>
      </c>
      <c r="M236" s="151">
        <v>12400</v>
      </c>
      <c r="N236" s="151">
        <v>13849</v>
      </c>
      <c r="O236" s="151">
        <v>7760</v>
      </c>
      <c r="P236" s="151">
        <v>4800</v>
      </c>
      <c r="Q236" s="151">
        <v>2618</v>
      </c>
      <c r="R236" s="151">
        <v>1841</v>
      </c>
      <c r="S236" s="151">
        <v>93</v>
      </c>
      <c r="T236" s="151">
        <v>50316</v>
      </c>
      <c r="U236" s="147"/>
      <c r="V236" s="152">
        <f t="shared" si="105"/>
        <v>0.13822640909452261</v>
      </c>
      <c r="W236" s="152">
        <f t="shared" si="90"/>
        <v>0.24644248350425313</v>
      </c>
      <c r="X236" s="152">
        <f t="shared" si="91"/>
        <v>0.27524048016535496</v>
      </c>
      <c r="Y236" s="152">
        <f t="shared" si="92"/>
        <v>0.15422529612846808</v>
      </c>
      <c r="Z236" s="152">
        <f t="shared" si="93"/>
        <v>9.5397090388743139E-2</v>
      </c>
      <c r="AA236" s="152">
        <f t="shared" si="94"/>
        <v>5.2031163049526992E-2</v>
      </c>
      <c r="AB236" s="152">
        <f t="shared" si="95"/>
        <v>3.6588759042849195E-2</v>
      </c>
      <c r="AC236" s="152">
        <f t="shared" si="96"/>
        <v>1.8483186262818984E-3</v>
      </c>
      <c r="AD236" s="152"/>
      <c r="AE236" s="221">
        <v>70</v>
      </c>
      <c r="AF236" s="221">
        <v>61</v>
      </c>
      <c r="AG236" s="221">
        <v>75</v>
      </c>
      <c r="AH236" s="221">
        <v>99</v>
      </c>
      <c r="AI236" s="221">
        <v>66</v>
      </c>
      <c r="AJ236" s="221">
        <v>24</v>
      </c>
      <c r="AK236" s="221">
        <v>13</v>
      </c>
      <c r="AL236" s="221">
        <v>1</v>
      </c>
      <c r="AM236" s="221">
        <v>409</v>
      </c>
      <c r="AN236" s="147"/>
      <c r="AO236" s="221">
        <v>-65</v>
      </c>
      <c r="AP236" s="221">
        <v>-41</v>
      </c>
      <c r="AQ236" s="221">
        <v>3</v>
      </c>
      <c r="AR236" s="221">
        <v>2</v>
      </c>
      <c r="AS236" s="221">
        <v>0</v>
      </c>
      <c r="AT236" s="221">
        <v>10</v>
      </c>
      <c r="AU236" s="221">
        <v>1</v>
      </c>
      <c r="AV236" s="221">
        <v>-4</v>
      </c>
      <c r="AW236" s="221">
        <v>-94</v>
      </c>
      <c r="AX236" s="56">
        <f t="shared" si="116"/>
        <v>65</v>
      </c>
      <c r="AY236" s="56">
        <f t="shared" si="116"/>
        <v>41</v>
      </c>
      <c r="AZ236" s="56">
        <f t="shared" si="116"/>
        <v>-3</v>
      </c>
      <c r="BA236" s="56">
        <f t="shared" si="116"/>
        <v>-2</v>
      </c>
      <c r="BB236" s="56">
        <f t="shared" si="116"/>
        <v>0</v>
      </c>
      <c r="BC236" s="56">
        <f t="shared" si="116"/>
        <v>-10</v>
      </c>
      <c r="BD236" s="56">
        <f t="shared" si="115"/>
        <v>-1</v>
      </c>
      <c r="BE236" s="56">
        <f t="shared" si="115"/>
        <v>4</v>
      </c>
      <c r="BF236" s="56">
        <f t="shared" si="115"/>
        <v>94</v>
      </c>
      <c r="BH236">
        <f t="shared" si="97"/>
        <v>0.8</v>
      </c>
      <c r="BI236">
        <f t="shared" si="106"/>
        <v>0.19999999999999996</v>
      </c>
      <c r="BJ236" s="154">
        <v>372278.24</v>
      </c>
      <c r="BK236" s="155">
        <f t="shared" si="98"/>
        <v>372278.24</v>
      </c>
      <c r="BL236" s="156">
        <v>379569.91911111114</v>
      </c>
      <c r="BM236" s="155">
        <f t="shared" si="99"/>
        <v>379569.91911111114</v>
      </c>
      <c r="BN236" s="158">
        <v>284925.21244444448</v>
      </c>
      <c r="BO236" s="155">
        <f t="shared" si="100"/>
        <v>284925.21244444448</v>
      </c>
      <c r="BP236" s="158">
        <v>253579.62666666668</v>
      </c>
      <c r="BQ236" s="155">
        <f t="shared" si="101"/>
        <v>253579.62666666668</v>
      </c>
      <c r="BR236" s="158">
        <v>312198.4071111111</v>
      </c>
      <c r="BS236" s="155">
        <f t="shared" si="102"/>
        <v>312198.4071111111</v>
      </c>
      <c r="BT236" s="194">
        <v>347063.96977777779</v>
      </c>
      <c r="BU236" s="194"/>
      <c r="BV236" s="348">
        <f t="shared" si="107"/>
        <v>347063.96977777779</v>
      </c>
      <c r="BW236" s="195">
        <f t="shared" si="103"/>
        <v>592093.64977777784</v>
      </c>
      <c r="BX236" s="157">
        <f t="shared" si="108"/>
        <v>148023.41244444446</v>
      </c>
      <c r="BY236" s="157">
        <f>IF(E236*$CJ$10*'Year 7 Payments'!$L$20*IF(B236="",1,0.8)&lt;=(BW236-(J236*350)),E236*$CJ$10*'Year 7 Payments'!$L$20*IF(B236="",1,0.8),BW236-(IF(B236="",1,0.8)*J236*350))</f>
        <v>226585.89129955554</v>
      </c>
      <c r="BZ236" s="157">
        <f t="shared" si="109"/>
        <v>56646.472824888886</v>
      </c>
      <c r="CA236" s="157">
        <f t="shared" si="110"/>
        <v>365507.7584782223</v>
      </c>
      <c r="CB236" s="157">
        <f t="shared" si="111"/>
        <v>91376.939619555575</v>
      </c>
      <c r="CC236" s="157">
        <f t="shared" si="112"/>
        <v>1462031.0339128892</v>
      </c>
      <c r="CD236" s="201">
        <f t="shared" si="113"/>
        <v>365507.7584782223</v>
      </c>
      <c r="CE236" s="155">
        <f t="shared" si="114"/>
        <v>365507.7584782223</v>
      </c>
    </row>
    <row r="237" spans="1:83" x14ac:dyDescent="0.2">
      <c r="A237" s="147" t="s">
        <v>708</v>
      </c>
      <c r="B237" s="57"/>
      <c r="C237" s="57" t="s">
        <v>476</v>
      </c>
      <c r="D237" s="148" t="s">
        <v>265</v>
      </c>
      <c r="E237" s="197">
        <v>126759.33333333336</v>
      </c>
      <c r="F237" s="147">
        <f t="shared" si="104"/>
        <v>139098</v>
      </c>
      <c r="G237" s="342">
        <v>1535</v>
      </c>
      <c r="H237" s="149">
        <f t="shared" si="89"/>
        <v>1346</v>
      </c>
      <c r="I237" s="346">
        <v>799.18488888888874</v>
      </c>
      <c r="J237" s="150">
        <v>181</v>
      </c>
      <c r="K237"/>
      <c r="L237" s="151">
        <v>26234</v>
      </c>
      <c r="M237" s="151">
        <v>35995</v>
      </c>
      <c r="N237" s="151">
        <v>28832</v>
      </c>
      <c r="O237" s="151">
        <v>20003</v>
      </c>
      <c r="P237" s="151">
        <v>15169</v>
      </c>
      <c r="Q237" s="151">
        <v>8072</v>
      </c>
      <c r="R237" s="151">
        <v>4456</v>
      </c>
      <c r="S237" s="151">
        <v>337</v>
      </c>
      <c r="T237" s="151">
        <v>139098</v>
      </c>
      <c r="U237" s="147"/>
      <c r="V237" s="152">
        <f t="shared" si="105"/>
        <v>0.18860084257142445</v>
      </c>
      <c r="W237" s="152">
        <f t="shared" si="90"/>
        <v>0.2587743892795008</v>
      </c>
      <c r="X237" s="152">
        <f t="shared" si="91"/>
        <v>0.20727832175876001</v>
      </c>
      <c r="Y237" s="152">
        <f t="shared" si="92"/>
        <v>0.14380508706092107</v>
      </c>
      <c r="Z237" s="152">
        <f t="shared" si="93"/>
        <v>0.10905261038979712</v>
      </c>
      <c r="AA237" s="152">
        <f t="shared" si="94"/>
        <v>5.8031028483515219E-2</v>
      </c>
      <c r="AB237" s="152">
        <f t="shared" si="95"/>
        <v>3.2034968151950421E-2</v>
      </c>
      <c r="AC237" s="152">
        <f t="shared" si="96"/>
        <v>2.4227523041309004E-3</v>
      </c>
      <c r="AD237" s="152"/>
      <c r="AE237" s="221">
        <v>184</v>
      </c>
      <c r="AF237" s="221">
        <v>320</v>
      </c>
      <c r="AG237" s="221">
        <v>278</v>
      </c>
      <c r="AH237" s="221">
        <v>195</v>
      </c>
      <c r="AI237" s="221">
        <v>241</v>
      </c>
      <c r="AJ237" s="221">
        <v>87</v>
      </c>
      <c r="AK237" s="221">
        <v>50</v>
      </c>
      <c r="AL237" s="221">
        <v>0</v>
      </c>
      <c r="AM237" s="221">
        <v>1355</v>
      </c>
      <c r="AN237" s="147"/>
      <c r="AO237" s="221">
        <v>-7</v>
      </c>
      <c r="AP237" s="221">
        <v>-25</v>
      </c>
      <c r="AQ237" s="221">
        <v>44</v>
      </c>
      <c r="AR237" s="221">
        <v>-1</v>
      </c>
      <c r="AS237" s="221">
        <v>0</v>
      </c>
      <c r="AT237" s="221">
        <v>-3</v>
      </c>
      <c r="AU237" s="221">
        <v>2</v>
      </c>
      <c r="AV237" s="221">
        <v>-1</v>
      </c>
      <c r="AW237" s="221">
        <v>9</v>
      </c>
      <c r="AX237" s="56">
        <f t="shared" si="116"/>
        <v>7</v>
      </c>
      <c r="AY237" s="56">
        <f t="shared" si="116"/>
        <v>25</v>
      </c>
      <c r="AZ237" s="56">
        <f t="shared" si="116"/>
        <v>-44</v>
      </c>
      <c r="BA237" s="56">
        <f t="shared" si="116"/>
        <v>1</v>
      </c>
      <c r="BB237" s="56">
        <f t="shared" si="116"/>
        <v>0</v>
      </c>
      <c r="BC237" s="56">
        <f t="shared" si="116"/>
        <v>3</v>
      </c>
      <c r="BD237" s="56">
        <f t="shared" si="115"/>
        <v>-2</v>
      </c>
      <c r="BE237" s="56">
        <f t="shared" si="115"/>
        <v>1</v>
      </c>
      <c r="BF237" s="56">
        <f t="shared" si="115"/>
        <v>-9</v>
      </c>
      <c r="BH237">
        <f t="shared" si="97"/>
        <v>1</v>
      </c>
      <c r="BI237">
        <f t="shared" si="106"/>
        <v>0</v>
      </c>
      <c r="BJ237" s="154">
        <v>1791668.9866666668</v>
      </c>
      <c r="BK237" s="155">
        <f t="shared" si="98"/>
        <v>1791668.9866666668</v>
      </c>
      <c r="BL237" s="156">
        <v>1037913.88</v>
      </c>
      <c r="BM237" s="155">
        <f t="shared" si="99"/>
        <v>1037913.88</v>
      </c>
      <c r="BN237" s="158">
        <v>1373791.7033333336</v>
      </c>
      <c r="BO237" s="155">
        <f t="shared" si="100"/>
        <v>1373791.7033333336</v>
      </c>
      <c r="BP237" s="158">
        <v>1554573.0666666669</v>
      </c>
      <c r="BQ237" s="155">
        <f t="shared" si="101"/>
        <v>1554573.0666666669</v>
      </c>
      <c r="BR237" s="158">
        <v>1595231.2199999997</v>
      </c>
      <c r="BS237" s="155">
        <f t="shared" si="102"/>
        <v>1595231.2199999997</v>
      </c>
      <c r="BT237" s="194">
        <v>1866106.4022222222</v>
      </c>
      <c r="BU237" s="194">
        <v>9450</v>
      </c>
      <c r="BV237" s="349">
        <f t="shared" si="107"/>
        <v>1875556.4022222222</v>
      </c>
      <c r="BW237" s="195">
        <f t="shared" si="103"/>
        <v>2061295.2622222221</v>
      </c>
      <c r="BX237" s="157" t="str">
        <f t="shared" si="108"/>
        <v>0</v>
      </c>
      <c r="BY237" s="157">
        <f>IF(E237*$CJ$10*'Year 7 Payments'!$L$20*IF(B237="",1,0.8)&lt;=(BW237-(J237*350)),E237*$CJ$10*'Year 7 Payments'!$L$20*IF(B237="",1,0.8),BW237-(IF(B237="",1,0.8)*J237*350))</f>
        <v>775544.02357333351</v>
      </c>
      <c r="BZ237" s="157" t="str">
        <f t="shared" si="109"/>
        <v>0</v>
      </c>
      <c r="CA237" s="157">
        <f t="shared" si="110"/>
        <v>1285751.2386488887</v>
      </c>
      <c r="CB237" s="157">
        <f t="shared" si="111"/>
        <v>0</v>
      </c>
      <c r="CC237" s="157">
        <f t="shared" si="112"/>
        <v>5143004.9545955546</v>
      </c>
      <c r="CD237" s="201">
        <f t="shared" si="113"/>
        <v>0</v>
      </c>
      <c r="CE237" s="155">
        <f t="shared" si="114"/>
        <v>1285751.2386488887</v>
      </c>
    </row>
    <row r="238" spans="1:83" x14ac:dyDescent="0.2">
      <c r="A238" s="147" t="s">
        <v>709</v>
      </c>
      <c r="B238" s="57"/>
      <c r="C238" s="57" t="s">
        <v>443</v>
      </c>
      <c r="D238" s="148" t="s">
        <v>266</v>
      </c>
      <c r="E238" s="197">
        <v>48872.555555555555</v>
      </c>
      <c r="F238" s="147">
        <f t="shared" si="104"/>
        <v>52924</v>
      </c>
      <c r="G238" s="342">
        <v>205</v>
      </c>
      <c r="H238" s="149">
        <f t="shared" si="89"/>
        <v>788</v>
      </c>
      <c r="I238" s="346">
        <v>531.95422222222226</v>
      </c>
      <c r="J238" s="150">
        <v>88</v>
      </c>
      <c r="K238"/>
      <c r="L238" s="151">
        <v>1439</v>
      </c>
      <c r="M238" s="151">
        <v>9679</v>
      </c>
      <c r="N238" s="151">
        <v>22425</v>
      </c>
      <c r="O238" s="151">
        <v>12889</v>
      </c>
      <c r="P238" s="151">
        <v>4461</v>
      </c>
      <c r="Q238" s="151">
        <v>1691</v>
      </c>
      <c r="R238" s="151">
        <v>332</v>
      </c>
      <c r="S238" s="151">
        <v>8</v>
      </c>
      <c r="T238" s="151">
        <v>52924</v>
      </c>
      <c r="U238" s="147"/>
      <c r="V238" s="152">
        <f t="shared" si="105"/>
        <v>2.7189932733731388E-2</v>
      </c>
      <c r="W238" s="152">
        <f t="shared" si="90"/>
        <v>0.18288489154258938</v>
      </c>
      <c r="X238" s="152">
        <f t="shared" si="91"/>
        <v>0.42372080719522331</v>
      </c>
      <c r="Y238" s="152">
        <f t="shared" si="92"/>
        <v>0.24353790340866147</v>
      </c>
      <c r="Z238" s="152">
        <f t="shared" si="93"/>
        <v>8.42906809764946E-2</v>
      </c>
      <c r="AA238" s="152">
        <f t="shared" si="94"/>
        <v>3.1951477590507142E-2</v>
      </c>
      <c r="AB238" s="152">
        <f t="shared" si="95"/>
        <v>6.2731463986093264E-3</v>
      </c>
      <c r="AC238" s="152">
        <f t="shared" si="96"/>
        <v>1.5116015418335728E-4</v>
      </c>
      <c r="AD238" s="152"/>
      <c r="AE238" s="221">
        <v>78</v>
      </c>
      <c r="AF238" s="221">
        <v>264</v>
      </c>
      <c r="AG238" s="221">
        <v>304</v>
      </c>
      <c r="AH238" s="221">
        <v>91</v>
      </c>
      <c r="AI238" s="221">
        <v>80</v>
      </c>
      <c r="AJ238" s="221">
        <v>38</v>
      </c>
      <c r="AK238" s="221">
        <v>2</v>
      </c>
      <c r="AL238" s="221">
        <v>0</v>
      </c>
      <c r="AM238" s="221">
        <v>857</v>
      </c>
      <c r="AN238" s="147"/>
      <c r="AO238" s="221">
        <v>65</v>
      </c>
      <c r="AP238" s="221">
        <v>4</v>
      </c>
      <c r="AQ238" s="221">
        <v>-2</v>
      </c>
      <c r="AR238" s="221">
        <v>0</v>
      </c>
      <c r="AS238" s="221">
        <v>3</v>
      </c>
      <c r="AT238" s="221">
        <v>-2</v>
      </c>
      <c r="AU238" s="221">
        <v>1</v>
      </c>
      <c r="AV238" s="221">
        <v>0</v>
      </c>
      <c r="AW238" s="221">
        <v>69</v>
      </c>
      <c r="AX238" s="56">
        <f t="shared" si="116"/>
        <v>-65</v>
      </c>
      <c r="AY238" s="56">
        <f t="shared" si="116"/>
        <v>-4</v>
      </c>
      <c r="AZ238" s="56">
        <f t="shared" si="116"/>
        <v>2</v>
      </c>
      <c r="BA238" s="56">
        <f t="shared" si="116"/>
        <v>0</v>
      </c>
      <c r="BB238" s="56">
        <f t="shared" si="116"/>
        <v>-3</v>
      </c>
      <c r="BC238" s="56">
        <f t="shared" si="116"/>
        <v>2</v>
      </c>
      <c r="BD238" s="56">
        <f t="shared" si="115"/>
        <v>-1</v>
      </c>
      <c r="BE238" s="56">
        <f t="shared" si="115"/>
        <v>0</v>
      </c>
      <c r="BF238" s="56">
        <f t="shared" si="115"/>
        <v>-69</v>
      </c>
      <c r="BH238">
        <f t="shared" si="97"/>
        <v>1</v>
      </c>
      <c r="BI238">
        <f t="shared" si="106"/>
        <v>0</v>
      </c>
      <c r="BJ238" s="154">
        <v>453993.95333333331</v>
      </c>
      <c r="BK238" s="155">
        <f t="shared" si="98"/>
        <v>453993.95333333331</v>
      </c>
      <c r="BL238" s="156">
        <v>902965.74222222203</v>
      </c>
      <c r="BM238" s="155">
        <f t="shared" si="99"/>
        <v>902965.74222222203</v>
      </c>
      <c r="BN238" s="158">
        <v>402193.1688888889</v>
      </c>
      <c r="BO238" s="155">
        <f t="shared" si="100"/>
        <v>402193.1688888889</v>
      </c>
      <c r="BP238" s="158">
        <v>251942.53333333333</v>
      </c>
      <c r="BQ238" s="155">
        <f t="shared" si="101"/>
        <v>251942.53333333333</v>
      </c>
      <c r="BR238" s="158">
        <v>579494.93555555562</v>
      </c>
      <c r="BS238" s="155">
        <f t="shared" si="102"/>
        <v>579494.93555555562</v>
      </c>
      <c r="BT238" s="194">
        <v>1050053.1377777779</v>
      </c>
      <c r="BU238" s="194"/>
      <c r="BV238" s="348">
        <f t="shared" si="107"/>
        <v>1050053.1377777779</v>
      </c>
      <c r="BW238" s="195">
        <f t="shared" si="103"/>
        <v>1143469.9244444445</v>
      </c>
      <c r="BX238" s="157" t="str">
        <f t="shared" si="108"/>
        <v>0</v>
      </c>
      <c r="BY238" s="157">
        <f>IF(E238*$CJ$10*'Year 7 Payments'!$L$20*IF(B238="",1,0.8)&lt;=(BW238-(J238*350)),E238*$CJ$10*'Year 7 Payments'!$L$20*IF(B238="",1,0.8),BW238-(IF(B238="",1,0.8)*J238*350))</f>
        <v>299014.02430222218</v>
      </c>
      <c r="BZ238" s="157" t="str">
        <f t="shared" si="109"/>
        <v>0</v>
      </c>
      <c r="CA238" s="157">
        <f t="shared" si="110"/>
        <v>844455.90014222229</v>
      </c>
      <c r="CB238" s="157">
        <f t="shared" si="111"/>
        <v>0</v>
      </c>
      <c r="CC238" s="157">
        <f t="shared" si="112"/>
        <v>3377823.6005688892</v>
      </c>
      <c r="CD238" s="201">
        <f t="shared" si="113"/>
        <v>0</v>
      </c>
      <c r="CE238" s="155">
        <f t="shared" si="114"/>
        <v>844455.90014222229</v>
      </c>
    </row>
    <row r="239" spans="1:83" x14ac:dyDescent="0.2">
      <c r="A239" s="147" t="s">
        <v>710</v>
      </c>
      <c r="B239" s="57"/>
      <c r="C239" s="57" t="s">
        <v>476</v>
      </c>
      <c r="D239" s="148" t="s">
        <v>267</v>
      </c>
      <c r="E239" s="197">
        <v>90544.111111111124</v>
      </c>
      <c r="F239" s="147">
        <f t="shared" si="104"/>
        <v>90809</v>
      </c>
      <c r="G239" s="342">
        <v>148</v>
      </c>
      <c r="H239" s="149">
        <f t="shared" si="89"/>
        <v>737</v>
      </c>
      <c r="I239" s="346">
        <v>365.60133333333323</v>
      </c>
      <c r="J239" s="150">
        <v>202</v>
      </c>
      <c r="K239"/>
      <c r="L239" s="151">
        <v>14131</v>
      </c>
      <c r="M239" s="151">
        <v>11902</v>
      </c>
      <c r="N239" s="151">
        <v>22066</v>
      </c>
      <c r="O239" s="151">
        <v>16552</v>
      </c>
      <c r="P239" s="151">
        <v>11709</v>
      </c>
      <c r="Q239" s="151">
        <v>8745</v>
      </c>
      <c r="R239" s="151">
        <v>5328</v>
      </c>
      <c r="S239" s="151">
        <v>376</v>
      </c>
      <c r="T239" s="151">
        <v>90809</v>
      </c>
      <c r="U239" s="147"/>
      <c r="V239" s="152">
        <f t="shared" si="105"/>
        <v>0.15561232917442103</v>
      </c>
      <c r="W239" s="152">
        <f t="shared" si="90"/>
        <v>0.13106630400070476</v>
      </c>
      <c r="X239" s="152">
        <f t="shared" si="91"/>
        <v>0.24299353588300718</v>
      </c>
      <c r="Y239" s="152">
        <f t="shared" si="92"/>
        <v>0.18227268222312767</v>
      </c>
      <c r="Z239" s="152">
        <f t="shared" si="93"/>
        <v>0.12894096400136551</v>
      </c>
      <c r="AA239" s="152">
        <f t="shared" si="94"/>
        <v>9.6301027431201752E-2</v>
      </c>
      <c r="AB239" s="152">
        <f t="shared" si="95"/>
        <v>5.8672598530982611E-2</v>
      </c>
      <c r="AC239" s="152">
        <f t="shared" si="96"/>
        <v>4.1405587551894638E-3</v>
      </c>
      <c r="AD239" s="152"/>
      <c r="AE239" s="221">
        <v>176</v>
      </c>
      <c r="AF239" s="221">
        <v>94</v>
      </c>
      <c r="AG239" s="221">
        <v>143</v>
      </c>
      <c r="AH239" s="221">
        <v>125</v>
      </c>
      <c r="AI239" s="221">
        <v>144</v>
      </c>
      <c r="AJ239" s="221">
        <v>39</v>
      </c>
      <c r="AK239" s="221">
        <v>36</v>
      </c>
      <c r="AL239" s="221">
        <v>14</v>
      </c>
      <c r="AM239" s="221">
        <v>771</v>
      </c>
      <c r="AN239" s="147"/>
      <c r="AO239" s="221">
        <v>-5</v>
      </c>
      <c r="AP239" s="221">
        <v>4</v>
      </c>
      <c r="AQ239" s="221">
        <v>4</v>
      </c>
      <c r="AR239" s="221">
        <v>18</v>
      </c>
      <c r="AS239" s="221">
        <v>17</v>
      </c>
      <c r="AT239" s="221">
        <v>-3</v>
      </c>
      <c r="AU239" s="221">
        <v>2</v>
      </c>
      <c r="AV239" s="221">
        <v>-3</v>
      </c>
      <c r="AW239" s="221">
        <v>34</v>
      </c>
      <c r="AX239" s="56">
        <f t="shared" si="116"/>
        <v>5</v>
      </c>
      <c r="AY239" s="56">
        <f t="shared" si="116"/>
        <v>-4</v>
      </c>
      <c r="AZ239" s="56">
        <f t="shared" si="116"/>
        <v>-4</v>
      </c>
      <c r="BA239" s="56">
        <f t="shared" si="116"/>
        <v>-18</v>
      </c>
      <c r="BB239" s="56">
        <f t="shared" si="116"/>
        <v>-17</v>
      </c>
      <c r="BC239" s="56">
        <f t="shared" si="116"/>
        <v>3</v>
      </c>
      <c r="BD239" s="56">
        <f t="shared" si="115"/>
        <v>-2</v>
      </c>
      <c r="BE239" s="56">
        <f t="shared" si="115"/>
        <v>3</v>
      </c>
      <c r="BF239" s="56">
        <f t="shared" si="115"/>
        <v>-34</v>
      </c>
      <c r="BH239">
        <f t="shared" si="97"/>
        <v>1</v>
      </c>
      <c r="BI239">
        <f t="shared" si="106"/>
        <v>0</v>
      </c>
      <c r="BJ239" s="154">
        <v>925418.46</v>
      </c>
      <c r="BK239" s="155">
        <f t="shared" si="98"/>
        <v>925418.46</v>
      </c>
      <c r="BL239" s="156">
        <v>536218.35444444441</v>
      </c>
      <c r="BM239" s="155">
        <f t="shared" si="99"/>
        <v>536218.35444444441</v>
      </c>
      <c r="BN239" s="158">
        <v>413185.54</v>
      </c>
      <c r="BO239" s="155">
        <f t="shared" si="100"/>
        <v>413185.54</v>
      </c>
      <c r="BP239" s="158">
        <v>196077.46666666662</v>
      </c>
      <c r="BQ239" s="155">
        <f t="shared" si="101"/>
        <v>196077.46666666662</v>
      </c>
      <c r="BR239" s="158">
        <v>893475.96444444428</v>
      </c>
      <c r="BS239" s="155">
        <f t="shared" si="102"/>
        <v>893475.96444444428</v>
      </c>
      <c r="BT239" s="194">
        <v>1022986.02</v>
      </c>
      <c r="BU239" s="194"/>
      <c r="BV239" s="348">
        <f t="shared" si="107"/>
        <v>1022986.02</v>
      </c>
      <c r="BW239" s="195">
        <f t="shared" si="103"/>
        <v>1183879.7777777778</v>
      </c>
      <c r="BX239" s="157" t="str">
        <f t="shared" si="108"/>
        <v>0</v>
      </c>
      <c r="BY239" s="157">
        <f>IF(E239*$CJ$10*'Year 7 Payments'!$L$20*IF(B239="",1,0.8)&lt;=(BW239-(J239*350)),E239*$CJ$10*'Year 7 Payments'!$L$20*IF(B239="",1,0.8),BW239-(IF(B239="",1,0.8)*J239*350))</f>
        <v>553970.60236444452</v>
      </c>
      <c r="BZ239" s="157" t="str">
        <f t="shared" si="109"/>
        <v>0</v>
      </c>
      <c r="CA239" s="157">
        <f t="shared" si="110"/>
        <v>629909.17541333323</v>
      </c>
      <c r="CB239" s="157">
        <f t="shared" si="111"/>
        <v>0</v>
      </c>
      <c r="CC239" s="157">
        <f t="shared" si="112"/>
        <v>2519636.7016533329</v>
      </c>
      <c r="CD239" s="201">
        <f t="shared" si="113"/>
        <v>0</v>
      </c>
      <c r="CE239" s="155">
        <f t="shared" si="114"/>
        <v>629909.17541333323</v>
      </c>
    </row>
    <row r="240" spans="1:83" x14ac:dyDescent="0.2">
      <c r="A240" s="147" t="s">
        <v>711</v>
      </c>
      <c r="B240" s="57" t="s">
        <v>456</v>
      </c>
      <c r="C240" s="57" t="s">
        <v>443</v>
      </c>
      <c r="D240" s="148" t="s">
        <v>268</v>
      </c>
      <c r="E240" s="197">
        <v>36506.111111111109</v>
      </c>
      <c r="F240" s="147">
        <f t="shared" si="104"/>
        <v>28587</v>
      </c>
      <c r="G240" s="342">
        <v>317</v>
      </c>
      <c r="H240" s="149">
        <f t="shared" si="89"/>
        <v>202</v>
      </c>
      <c r="I240" s="346">
        <v>129.64222222222224</v>
      </c>
      <c r="J240" s="150">
        <v>0</v>
      </c>
      <c r="K240"/>
      <c r="L240" s="151">
        <v>708</v>
      </c>
      <c r="M240" s="151">
        <v>886</v>
      </c>
      <c r="N240" s="151">
        <v>3600</v>
      </c>
      <c r="O240" s="151">
        <v>5744</v>
      </c>
      <c r="P240" s="151">
        <v>5030</v>
      </c>
      <c r="Q240" s="151">
        <v>3462</v>
      </c>
      <c r="R240" s="151">
        <v>7077</v>
      </c>
      <c r="S240" s="151">
        <v>2080</v>
      </c>
      <c r="T240" s="151">
        <v>28587</v>
      </c>
      <c r="U240" s="147"/>
      <c r="V240" s="152">
        <f t="shared" si="105"/>
        <v>2.4766502256270334E-2</v>
      </c>
      <c r="W240" s="152">
        <f t="shared" si="90"/>
        <v>3.0993108755728128E-2</v>
      </c>
      <c r="X240" s="152">
        <f t="shared" si="91"/>
        <v>0.1259313674047644</v>
      </c>
      <c r="Y240" s="152">
        <f t="shared" si="92"/>
        <v>0.20093049288137965</v>
      </c>
      <c r="Z240" s="152">
        <f t="shared" si="93"/>
        <v>0.17595410501276804</v>
      </c>
      <c r="AA240" s="152">
        <f t="shared" si="94"/>
        <v>0.1211039983209151</v>
      </c>
      <c r="AB240" s="152">
        <f t="shared" si="95"/>
        <v>0.24756007975653269</v>
      </c>
      <c r="AC240" s="152">
        <f t="shared" si="96"/>
        <v>7.2760345611641658E-2</v>
      </c>
      <c r="AD240" s="152"/>
      <c r="AE240" s="221">
        <v>20</v>
      </c>
      <c r="AF240" s="221">
        <v>8</v>
      </c>
      <c r="AG240" s="221">
        <v>34</v>
      </c>
      <c r="AH240" s="221">
        <v>11</v>
      </c>
      <c r="AI240" s="221">
        <v>11</v>
      </c>
      <c r="AJ240" s="221">
        <v>5</v>
      </c>
      <c r="AK240" s="221">
        <v>42</v>
      </c>
      <c r="AL240" s="221">
        <v>27</v>
      </c>
      <c r="AM240" s="221">
        <v>158</v>
      </c>
      <c r="AN240" s="147"/>
      <c r="AO240" s="221">
        <v>1</v>
      </c>
      <c r="AP240" s="221">
        <v>-1</v>
      </c>
      <c r="AQ240" s="221">
        <v>18</v>
      </c>
      <c r="AR240" s="221">
        <v>-15</v>
      </c>
      <c r="AS240" s="221">
        <v>-24</v>
      </c>
      <c r="AT240" s="221">
        <v>-1</v>
      </c>
      <c r="AU240" s="221">
        <v>-11</v>
      </c>
      <c r="AV240" s="221">
        <v>-11</v>
      </c>
      <c r="AW240" s="221">
        <v>-44</v>
      </c>
      <c r="AX240" s="56">
        <f t="shared" si="116"/>
        <v>-1</v>
      </c>
      <c r="AY240" s="56">
        <f t="shared" si="116"/>
        <v>1</v>
      </c>
      <c r="AZ240" s="56">
        <f t="shared" si="116"/>
        <v>-18</v>
      </c>
      <c r="BA240" s="56">
        <f t="shared" si="116"/>
        <v>15</v>
      </c>
      <c r="BB240" s="56">
        <f t="shared" si="116"/>
        <v>24</v>
      </c>
      <c r="BC240" s="56">
        <f t="shared" si="116"/>
        <v>1</v>
      </c>
      <c r="BD240" s="56">
        <f t="shared" si="115"/>
        <v>11</v>
      </c>
      <c r="BE240" s="56">
        <f t="shared" si="115"/>
        <v>11</v>
      </c>
      <c r="BF240" s="56">
        <f t="shared" si="115"/>
        <v>44</v>
      </c>
      <c r="BH240">
        <f t="shared" si="97"/>
        <v>0.8</v>
      </c>
      <c r="BI240">
        <f t="shared" si="106"/>
        <v>0.19999999999999996</v>
      </c>
      <c r="BJ240" s="154">
        <v>346180.38400000002</v>
      </c>
      <c r="BK240" s="155">
        <f t="shared" si="98"/>
        <v>346180.38400000002</v>
      </c>
      <c r="BL240" s="156">
        <v>189233.34666666668</v>
      </c>
      <c r="BM240" s="155">
        <f t="shared" si="99"/>
        <v>189233.34666666668</v>
      </c>
      <c r="BN240" s="158">
        <v>159194.43022222223</v>
      </c>
      <c r="BO240" s="155">
        <f t="shared" si="100"/>
        <v>159194.43022222223</v>
      </c>
      <c r="BP240" s="158">
        <v>387564.58666666667</v>
      </c>
      <c r="BQ240" s="155">
        <f t="shared" si="101"/>
        <v>387564.58666666667</v>
      </c>
      <c r="BR240" s="158">
        <v>248172.84622222223</v>
      </c>
      <c r="BS240" s="155">
        <f t="shared" si="102"/>
        <v>248172.84622222223</v>
      </c>
      <c r="BT240" s="194">
        <v>148983.0097777778</v>
      </c>
      <c r="BU240" s="194"/>
      <c r="BV240" s="348">
        <f t="shared" si="107"/>
        <v>148983.0097777778</v>
      </c>
      <c r="BW240" s="195">
        <f t="shared" si="103"/>
        <v>337318.96533333336</v>
      </c>
      <c r="BX240" s="157">
        <f t="shared" si="108"/>
        <v>84329.741333333339</v>
      </c>
      <c r="BY240" s="157">
        <f>IF(E240*$CJ$10*'Year 7 Payments'!$L$20*IF(B240="",1,0.8)&lt;=(BW240-(J240*350)),E240*$CJ$10*'Year 7 Payments'!$L$20*IF(B240="",1,0.8),BW240-(IF(B240="",1,0.8)*J240*350))</f>
        <v>178682.51939555557</v>
      </c>
      <c r="BZ240" s="157">
        <f t="shared" si="109"/>
        <v>44670.629848888893</v>
      </c>
      <c r="CA240" s="157">
        <f t="shared" si="110"/>
        <v>158636.44593777778</v>
      </c>
      <c r="CB240" s="157">
        <f t="shared" si="111"/>
        <v>39659.111484444446</v>
      </c>
      <c r="CC240" s="157">
        <f t="shared" si="112"/>
        <v>634545.78375111113</v>
      </c>
      <c r="CD240" s="201">
        <f t="shared" si="113"/>
        <v>158636.44593777778</v>
      </c>
      <c r="CE240" s="155">
        <f t="shared" si="114"/>
        <v>158636.44593777778</v>
      </c>
    </row>
    <row r="241" spans="1:83" x14ac:dyDescent="0.2">
      <c r="A241" s="147" t="s">
        <v>712</v>
      </c>
      <c r="B241" s="57" t="s">
        <v>507</v>
      </c>
      <c r="C241" s="57" t="s">
        <v>459</v>
      </c>
      <c r="D241" s="148" t="s">
        <v>269</v>
      </c>
      <c r="E241" s="197">
        <v>68340.666666666657</v>
      </c>
      <c r="F241" s="147">
        <f t="shared" si="104"/>
        <v>65212</v>
      </c>
      <c r="G241" s="342">
        <v>522</v>
      </c>
      <c r="H241" s="149">
        <f t="shared" si="89"/>
        <v>525</v>
      </c>
      <c r="I241" s="346">
        <v>325.19288888888889</v>
      </c>
      <c r="J241" s="150">
        <v>56</v>
      </c>
      <c r="K241"/>
      <c r="L241" s="151">
        <v>2422</v>
      </c>
      <c r="M241" s="151">
        <v>7312</v>
      </c>
      <c r="N241" s="151">
        <v>20222</v>
      </c>
      <c r="O241" s="151">
        <v>12267</v>
      </c>
      <c r="P241" s="151">
        <v>10958</v>
      </c>
      <c r="Q241" s="151">
        <v>7433</v>
      </c>
      <c r="R241" s="151">
        <v>4214</v>
      </c>
      <c r="S241" s="151">
        <v>384</v>
      </c>
      <c r="T241" s="151">
        <v>65212</v>
      </c>
      <c r="U241" s="147"/>
      <c r="V241" s="152">
        <f t="shared" si="105"/>
        <v>3.7140403606698152E-2</v>
      </c>
      <c r="W241" s="152">
        <f t="shared" si="90"/>
        <v>0.11212660246580385</v>
      </c>
      <c r="X241" s="152">
        <f t="shared" si="91"/>
        <v>0.31009630129424032</v>
      </c>
      <c r="Y241" s="152">
        <f t="shared" si="92"/>
        <v>0.18810955038949886</v>
      </c>
      <c r="Z241" s="152">
        <f t="shared" si="93"/>
        <v>0.16803655768876893</v>
      </c>
      <c r="AA241" s="152">
        <f t="shared" si="94"/>
        <v>0.11398208918603937</v>
      </c>
      <c r="AB241" s="152">
        <f t="shared" si="95"/>
        <v>6.4620008587376557E-2</v>
      </c>
      <c r="AC241" s="152">
        <f t="shared" si="96"/>
        <v>5.8884867815739437E-3</v>
      </c>
      <c r="AD241" s="152"/>
      <c r="AE241" s="221">
        <v>20</v>
      </c>
      <c r="AF241" s="221">
        <v>11</v>
      </c>
      <c r="AG241" s="221">
        <v>140</v>
      </c>
      <c r="AH241" s="221">
        <v>92</v>
      </c>
      <c r="AI241" s="221">
        <v>85</v>
      </c>
      <c r="AJ241" s="221">
        <v>98</v>
      </c>
      <c r="AK241" s="221">
        <v>50</v>
      </c>
      <c r="AL241" s="221">
        <v>5</v>
      </c>
      <c r="AM241" s="221">
        <v>501</v>
      </c>
      <c r="AN241" s="147"/>
      <c r="AO241" s="221">
        <v>-25</v>
      </c>
      <c r="AP241" s="221">
        <v>2</v>
      </c>
      <c r="AQ241" s="221">
        <v>0</v>
      </c>
      <c r="AR241" s="221">
        <v>9</v>
      </c>
      <c r="AS241" s="221">
        <v>-1</v>
      </c>
      <c r="AT241" s="221">
        <v>-4</v>
      </c>
      <c r="AU241" s="221">
        <v>-5</v>
      </c>
      <c r="AV241" s="221">
        <v>0</v>
      </c>
      <c r="AW241" s="221">
        <v>-24</v>
      </c>
      <c r="AX241" s="56">
        <f t="shared" si="116"/>
        <v>25</v>
      </c>
      <c r="AY241" s="56">
        <f t="shared" si="116"/>
        <v>-2</v>
      </c>
      <c r="AZ241" s="56">
        <f t="shared" si="116"/>
        <v>0</v>
      </c>
      <c r="BA241" s="56">
        <f t="shared" si="116"/>
        <v>-9</v>
      </c>
      <c r="BB241" s="56">
        <f t="shared" si="116"/>
        <v>1</v>
      </c>
      <c r="BC241" s="56">
        <f t="shared" si="116"/>
        <v>4</v>
      </c>
      <c r="BD241" s="56">
        <f t="shared" si="115"/>
        <v>5</v>
      </c>
      <c r="BE241" s="56">
        <f t="shared" si="115"/>
        <v>0</v>
      </c>
      <c r="BF241" s="56">
        <f t="shared" si="115"/>
        <v>24</v>
      </c>
      <c r="BH241">
        <f t="shared" si="97"/>
        <v>0.8</v>
      </c>
      <c r="BI241">
        <f t="shared" si="106"/>
        <v>0.19999999999999996</v>
      </c>
      <c r="BJ241" s="154">
        <v>868649.2266666668</v>
      </c>
      <c r="BK241" s="155">
        <f t="shared" si="98"/>
        <v>868649.2266666668</v>
      </c>
      <c r="BL241" s="156">
        <v>878273.23644444463</v>
      </c>
      <c r="BM241" s="155">
        <f t="shared" si="99"/>
        <v>878273.23644444463</v>
      </c>
      <c r="BN241" s="158">
        <v>899375.9733333335</v>
      </c>
      <c r="BO241" s="155">
        <f t="shared" si="100"/>
        <v>899375.9733333335</v>
      </c>
      <c r="BP241" s="158">
        <v>546805.12</v>
      </c>
      <c r="BQ241" s="155">
        <f t="shared" si="101"/>
        <v>546805.12</v>
      </c>
      <c r="BR241" s="158">
        <v>1015058.5475555555</v>
      </c>
      <c r="BS241" s="155">
        <f t="shared" si="102"/>
        <v>1015058.5475555555</v>
      </c>
      <c r="BT241" s="194">
        <v>1051341.4986666667</v>
      </c>
      <c r="BU241" s="194"/>
      <c r="BV241" s="348">
        <f t="shared" si="107"/>
        <v>1051341.4986666667</v>
      </c>
      <c r="BW241" s="195">
        <f t="shared" si="103"/>
        <v>748101.30844444456</v>
      </c>
      <c r="BX241" s="157">
        <f t="shared" si="108"/>
        <v>187025.32711111114</v>
      </c>
      <c r="BY241" s="157">
        <f>IF(E241*$CJ$10*'Year 7 Payments'!$L$20*IF(B241="",1,0.8)&lt;=(BW241-(J241*350)),E241*$CJ$10*'Year 7 Payments'!$L$20*IF(B241="",1,0.8),BW241-(IF(B241="",1,0.8)*J241*350))</f>
        <v>334499.68034133333</v>
      </c>
      <c r="BZ241" s="157">
        <f t="shared" si="109"/>
        <v>83624.920085333331</v>
      </c>
      <c r="CA241" s="157">
        <f t="shared" si="110"/>
        <v>413601.62810311123</v>
      </c>
      <c r="CB241" s="157">
        <f t="shared" si="111"/>
        <v>103400.40702577781</v>
      </c>
      <c r="CC241" s="157">
        <f t="shared" si="112"/>
        <v>1654406.5124124449</v>
      </c>
      <c r="CD241" s="201">
        <f t="shared" si="113"/>
        <v>413601.62810311123</v>
      </c>
      <c r="CE241" s="155">
        <f t="shared" si="114"/>
        <v>413601.62810311123</v>
      </c>
    </row>
    <row r="242" spans="1:83" x14ac:dyDescent="0.2">
      <c r="A242" s="147" t="s">
        <v>713</v>
      </c>
      <c r="B242" s="57" t="s">
        <v>448</v>
      </c>
      <c r="C242" s="57" t="s">
        <v>449</v>
      </c>
      <c r="D242" s="148" t="s">
        <v>270</v>
      </c>
      <c r="E242" s="197">
        <v>36760.222222222219</v>
      </c>
      <c r="F242" s="147">
        <f t="shared" si="104"/>
        <v>42131</v>
      </c>
      <c r="G242" s="342">
        <v>297</v>
      </c>
      <c r="H242" s="149">
        <f t="shared" si="89"/>
        <v>777</v>
      </c>
      <c r="I242" s="346">
        <v>584.84800000000007</v>
      </c>
      <c r="J242" s="150">
        <v>64</v>
      </c>
      <c r="K242"/>
      <c r="L242" s="151">
        <v>11409</v>
      </c>
      <c r="M242" s="151">
        <v>9785</v>
      </c>
      <c r="N242" s="151">
        <v>7408</v>
      </c>
      <c r="O242" s="151">
        <v>6755</v>
      </c>
      <c r="P242" s="151">
        <v>3829</v>
      </c>
      <c r="Q242" s="151">
        <v>1930</v>
      </c>
      <c r="R242" s="151">
        <v>928</v>
      </c>
      <c r="S242" s="151">
        <v>87</v>
      </c>
      <c r="T242" s="151">
        <v>42131</v>
      </c>
      <c r="U242" s="147"/>
      <c r="V242" s="152">
        <f t="shared" si="105"/>
        <v>0.27079822458522229</v>
      </c>
      <c r="W242" s="152">
        <f t="shared" si="90"/>
        <v>0.23225178609574898</v>
      </c>
      <c r="X242" s="152">
        <f t="shared" si="91"/>
        <v>0.17583252237070091</v>
      </c>
      <c r="Y242" s="152">
        <f t="shared" si="92"/>
        <v>0.16033324630319717</v>
      </c>
      <c r="Z242" s="152">
        <f t="shared" si="93"/>
        <v>9.0883197645439229E-2</v>
      </c>
      <c r="AA242" s="152">
        <f t="shared" si="94"/>
        <v>4.5809498943770621E-2</v>
      </c>
      <c r="AB242" s="152">
        <f t="shared" si="95"/>
        <v>2.2026536279699034E-2</v>
      </c>
      <c r="AC242" s="152">
        <f t="shared" si="96"/>
        <v>2.0649877762217842E-3</v>
      </c>
      <c r="AD242" s="152"/>
      <c r="AE242" s="221">
        <v>75</v>
      </c>
      <c r="AF242" s="221">
        <v>197</v>
      </c>
      <c r="AG242" s="221">
        <v>198</v>
      </c>
      <c r="AH242" s="221">
        <v>153</v>
      </c>
      <c r="AI242" s="221">
        <v>90</v>
      </c>
      <c r="AJ242" s="221">
        <v>34</v>
      </c>
      <c r="AK242" s="221">
        <v>8</v>
      </c>
      <c r="AL242" s="221">
        <v>0</v>
      </c>
      <c r="AM242" s="221">
        <v>755</v>
      </c>
      <c r="AN242" s="147"/>
      <c r="AO242" s="221">
        <v>-9</v>
      </c>
      <c r="AP242" s="221">
        <v>5</v>
      </c>
      <c r="AQ242" s="221">
        <v>-6</v>
      </c>
      <c r="AR242" s="221">
        <v>5</v>
      </c>
      <c r="AS242" s="221">
        <v>-5</v>
      </c>
      <c r="AT242" s="221">
        <v>-6</v>
      </c>
      <c r="AU242" s="221">
        <v>-6</v>
      </c>
      <c r="AV242" s="221">
        <v>0</v>
      </c>
      <c r="AW242" s="221">
        <v>-22</v>
      </c>
      <c r="AX242" s="56">
        <f t="shared" si="116"/>
        <v>9</v>
      </c>
      <c r="AY242" s="56">
        <f t="shared" si="116"/>
        <v>-5</v>
      </c>
      <c r="AZ242" s="56">
        <f t="shared" si="116"/>
        <v>6</v>
      </c>
      <c r="BA242" s="56">
        <f t="shared" si="116"/>
        <v>-5</v>
      </c>
      <c r="BB242" s="56">
        <f t="shared" si="116"/>
        <v>5</v>
      </c>
      <c r="BC242" s="56">
        <f t="shared" si="116"/>
        <v>6</v>
      </c>
      <c r="BD242" s="56">
        <f t="shared" si="115"/>
        <v>6</v>
      </c>
      <c r="BE242" s="56">
        <f t="shared" si="115"/>
        <v>0</v>
      </c>
      <c r="BF242" s="56">
        <f t="shared" si="115"/>
        <v>22</v>
      </c>
      <c r="BH242">
        <f t="shared" si="97"/>
        <v>0.8</v>
      </c>
      <c r="BI242">
        <f t="shared" si="106"/>
        <v>0.19999999999999996</v>
      </c>
      <c r="BJ242" s="154">
        <v>382768.55466666672</v>
      </c>
      <c r="BK242" s="155">
        <f t="shared" si="98"/>
        <v>382768.55466666672</v>
      </c>
      <c r="BL242" s="156">
        <v>587036.81422222219</v>
      </c>
      <c r="BM242" s="155">
        <f t="shared" si="99"/>
        <v>587036.81422222219</v>
      </c>
      <c r="BN242" s="158">
        <v>377193.84622222232</v>
      </c>
      <c r="BO242" s="155">
        <f t="shared" si="100"/>
        <v>377193.84622222232</v>
      </c>
      <c r="BP242" s="158">
        <v>432757.86666666664</v>
      </c>
      <c r="BQ242" s="155">
        <f t="shared" si="101"/>
        <v>432757.86666666664</v>
      </c>
      <c r="BR242" s="158">
        <v>542646.89777777786</v>
      </c>
      <c r="BS242" s="155">
        <f t="shared" si="102"/>
        <v>542646.89777777786</v>
      </c>
      <c r="BT242" s="194">
        <v>527472.86044444435</v>
      </c>
      <c r="BU242" s="194"/>
      <c r="BV242" s="348">
        <f t="shared" si="107"/>
        <v>527472.86044444435</v>
      </c>
      <c r="BW242" s="195">
        <f t="shared" si="103"/>
        <v>913494.37511111109</v>
      </c>
      <c r="BX242" s="157">
        <f t="shared" si="108"/>
        <v>228373.59377777777</v>
      </c>
      <c r="BY242" s="157">
        <f>IF(E242*$CJ$10*'Year 7 Payments'!$L$20*IF(B242="",1,0.8)&lt;=(BW242-(J242*350)),E242*$CJ$10*'Year 7 Payments'!$L$20*IF(B242="",1,0.8),BW242-(IF(B242="",1,0.8)*J242*350))</f>
        <v>179926.28960711113</v>
      </c>
      <c r="BZ242" s="157">
        <f t="shared" si="109"/>
        <v>44981.572401777783</v>
      </c>
      <c r="CA242" s="157">
        <f t="shared" si="110"/>
        <v>733568.08550399996</v>
      </c>
      <c r="CB242" s="157">
        <f t="shared" si="111"/>
        <v>183392.02137599999</v>
      </c>
      <c r="CC242" s="157">
        <f t="shared" si="112"/>
        <v>2934272.3420159998</v>
      </c>
      <c r="CD242" s="201">
        <f t="shared" si="113"/>
        <v>733568.08550399996</v>
      </c>
      <c r="CE242" s="155">
        <f t="shared" si="114"/>
        <v>733568.08550399996</v>
      </c>
    </row>
    <row r="243" spans="1:83" x14ac:dyDescent="0.2">
      <c r="A243" s="147" t="s">
        <v>714</v>
      </c>
      <c r="B243" s="57"/>
      <c r="C243" s="57" t="s">
        <v>472</v>
      </c>
      <c r="D243" s="148" t="s">
        <v>271</v>
      </c>
      <c r="E243" s="197">
        <v>105101.55555555555</v>
      </c>
      <c r="F243" s="147">
        <f t="shared" si="104"/>
        <v>114810</v>
      </c>
      <c r="G243" s="342">
        <v>321</v>
      </c>
      <c r="H243" s="149">
        <f t="shared" si="89"/>
        <v>1133</v>
      </c>
      <c r="I243" s="346">
        <v>657.14933333333329</v>
      </c>
      <c r="J243" s="150">
        <v>274</v>
      </c>
      <c r="K243"/>
      <c r="L243" s="151">
        <v>12869</v>
      </c>
      <c r="M243" s="151">
        <v>34408</v>
      </c>
      <c r="N243" s="151">
        <v>27148</v>
      </c>
      <c r="O243" s="151">
        <v>20838</v>
      </c>
      <c r="P243" s="151">
        <v>11774</v>
      </c>
      <c r="Q243" s="151">
        <v>5631</v>
      </c>
      <c r="R243" s="151">
        <v>1963</v>
      </c>
      <c r="S243" s="151">
        <v>179</v>
      </c>
      <c r="T243" s="151">
        <v>114810</v>
      </c>
      <c r="U243" s="147"/>
      <c r="V243" s="152">
        <f t="shared" si="105"/>
        <v>0.11208953923874226</v>
      </c>
      <c r="W243" s="152">
        <f t="shared" si="90"/>
        <v>0.29969514850622769</v>
      </c>
      <c r="X243" s="152">
        <f t="shared" si="91"/>
        <v>0.23646023865516941</v>
      </c>
      <c r="Y243" s="152">
        <f t="shared" si="92"/>
        <v>0.1814998693493598</v>
      </c>
      <c r="Z243" s="152">
        <f t="shared" si="93"/>
        <v>0.10255204250500828</v>
      </c>
      <c r="AA243" s="152">
        <f t="shared" si="94"/>
        <v>4.90462503266266E-2</v>
      </c>
      <c r="AB243" s="152">
        <f t="shared" si="95"/>
        <v>1.709781377928752E-2</v>
      </c>
      <c r="AC243" s="152">
        <f t="shared" si="96"/>
        <v>1.559097639578434E-3</v>
      </c>
      <c r="AD243" s="152"/>
      <c r="AE243" s="221">
        <v>93</v>
      </c>
      <c r="AF243" s="221">
        <v>201</v>
      </c>
      <c r="AG243" s="221">
        <v>293</v>
      </c>
      <c r="AH243" s="221">
        <v>260</v>
      </c>
      <c r="AI243" s="221">
        <v>128</v>
      </c>
      <c r="AJ243" s="221">
        <v>43</v>
      </c>
      <c r="AK243" s="221">
        <v>10</v>
      </c>
      <c r="AL243" s="221">
        <v>1</v>
      </c>
      <c r="AM243" s="221">
        <v>1029</v>
      </c>
      <c r="AN243" s="147"/>
      <c r="AO243" s="221">
        <v>-15</v>
      </c>
      <c r="AP243" s="221">
        <v>-33</v>
      </c>
      <c r="AQ243" s="221">
        <v>-11</v>
      </c>
      <c r="AR243" s="221">
        <v>-20</v>
      </c>
      <c r="AS243" s="221">
        <v>-19</v>
      </c>
      <c r="AT243" s="221">
        <v>4</v>
      </c>
      <c r="AU243" s="221">
        <v>-4</v>
      </c>
      <c r="AV243" s="221">
        <v>-6</v>
      </c>
      <c r="AW243" s="221">
        <v>-104</v>
      </c>
      <c r="AX243" s="56">
        <f t="shared" si="116"/>
        <v>15</v>
      </c>
      <c r="AY243" s="56">
        <f t="shared" si="116"/>
        <v>33</v>
      </c>
      <c r="AZ243" s="56">
        <f t="shared" si="116"/>
        <v>11</v>
      </c>
      <c r="BA243" s="56">
        <f t="shared" si="116"/>
        <v>20</v>
      </c>
      <c r="BB243" s="56">
        <f t="shared" si="116"/>
        <v>19</v>
      </c>
      <c r="BC243" s="56">
        <f t="shared" si="116"/>
        <v>-4</v>
      </c>
      <c r="BD243" s="56">
        <f t="shared" si="115"/>
        <v>4</v>
      </c>
      <c r="BE243" s="56">
        <f t="shared" si="115"/>
        <v>6</v>
      </c>
      <c r="BF243" s="56">
        <f t="shared" si="115"/>
        <v>104</v>
      </c>
      <c r="BH243">
        <f t="shared" si="97"/>
        <v>1</v>
      </c>
      <c r="BI243">
        <f t="shared" si="106"/>
        <v>0</v>
      </c>
      <c r="BJ243" s="154">
        <v>883361.2533333333</v>
      </c>
      <c r="BK243" s="155">
        <f t="shared" si="98"/>
        <v>883361.2533333333</v>
      </c>
      <c r="BL243" s="156">
        <v>1251220.4522222222</v>
      </c>
      <c r="BM243" s="155">
        <f t="shared" si="99"/>
        <v>1251220.4522222222</v>
      </c>
      <c r="BN243" s="158">
        <v>1305962.5844444444</v>
      </c>
      <c r="BO243" s="155">
        <f t="shared" si="100"/>
        <v>1305962.5844444444</v>
      </c>
      <c r="BP243" s="158">
        <v>1318425.8666666665</v>
      </c>
      <c r="BQ243" s="155">
        <f t="shared" si="101"/>
        <v>1318425.8666666665</v>
      </c>
      <c r="BR243" s="158">
        <v>1522025.4133333336</v>
      </c>
      <c r="BS243" s="155">
        <f t="shared" si="102"/>
        <v>1522025.4133333336</v>
      </c>
      <c r="BT243" s="194">
        <v>1903749.0577777773</v>
      </c>
      <c r="BU243" s="194"/>
      <c r="BV243" s="348">
        <f t="shared" si="107"/>
        <v>1903749.0577777773</v>
      </c>
      <c r="BW243" s="195">
        <f t="shared" si="103"/>
        <v>1744085.8755555556</v>
      </c>
      <c r="BX243" s="157" t="str">
        <f t="shared" si="108"/>
        <v>0</v>
      </c>
      <c r="BY243" s="157">
        <f>IF(E243*$CJ$10*'Year 7 Payments'!$L$20*IF(B243="",1,0.8)&lt;=(BW243-(J243*350)),E243*$CJ$10*'Year 7 Payments'!$L$20*IF(B243="",1,0.8),BW243-(IF(B243="",1,0.8)*J243*350))</f>
        <v>643036.54126222222</v>
      </c>
      <c r="BZ243" s="157" t="str">
        <f t="shared" si="109"/>
        <v>0</v>
      </c>
      <c r="CA243" s="157">
        <f t="shared" si="110"/>
        <v>1101049.3342933333</v>
      </c>
      <c r="CB243" s="157">
        <f t="shared" si="111"/>
        <v>0</v>
      </c>
      <c r="CC243" s="157">
        <f t="shared" si="112"/>
        <v>4404197.3371733334</v>
      </c>
      <c r="CD243" s="201">
        <f t="shared" si="113"/>
        <v>0</v>
      </c>
      <c r="CE243" s="155">
        <f t="shared" si="114"/>
        <v>1101049.3342933333</v>
      </c>
    </row>
    <row r="244" spans="1:83" x14ac:dyDescent="0.2">
      <c r="A244" s="147" t="s">
        <v>715</v>
      </c>
      <c r="B244" s="57" t="s">
        <v>555</v>
      </c>
      <c r="C244" s="57" t="s">
        <v>472</v>
      </c>
      <c r="D244" s="148" t="s">
        <v>272</v>
      </c>
      <c r="E244" s="197">
        <v>43982.888888888898</v>
      </c>
      <c r="F244" s="147">
        <f t="shared" si="104"/>
        <v>43575</v>
      </c>
      <c r="G244" s="342">
        <v>198</v>
      </c>
      <c r="H244" s="149">
        <f t="shared" si="89"/>
        <v>319</v>
      </c>
      <c r="I244" s="346">
        <v>152.73511111111108</v>
      </c>
      <c r="J244" s="150">
        <v>28</v>
      </c>
      <c r="K244"/>
      <c r="L244" s="151">
        <v>4954</v>
      </c>
      <c r="M244" s="151">
        <v>8571</v>
      </c>
      <c r="N244" s="151">
        <v>8524</v>
      </c>
      <c r="O244" s="151">
        <v>7914</v>
      </c>
      <c r="P244" s="151">
        <v>6619</v>
      </c>
      <c r="Q244" s="151">
        <v>3667</v>
      </c>
      <c r="R244" s="151">
        <v>2990</v>
      </c>
      <c r="S244" s="151">
        <v>336</v>
      </c>
      <c r="T244" s="151">
        <v>43575</v>
      </c>
      <c r="U244" s="147"/>
      <c r="V244" s="152">
        <f t="shared" si="105"/>
        <v>0.11368904188181296</v>
      </c>
      <c r="W244" s="152">
        <f t="shared" si="90"/>
        <v>0.19669535283993114</v>
      </c>
      <c r="X244" s="152">
        <f t="shared" si="91"/>
        <v>0.19561675272518647</v>
      </c>
      <c r="Y244" s="152">
        <f t="shared" si="92"/>
        <v>0.18161790017211704</v>
      </c>
      <c r="Z244" s="152">
        <f t="shared" si="93"/>
        <v>0.15189902467010902</v>
      </c>
      <c r="AA244" s="152">
        <f t="shared" si="94"/>
        <v>8.4153757888697653E-2</v>
      </c>
      <c r="AB244" s="152">
        <f t="shared" si="95"/>
        <v>6.8617326448651747E-2</v>
      </c>
      <c r="AC244" s="152">
        <f t="shared" si="96"/>
        <v>7.7108433734939755E-3</v>
      </c>
      <c r="AD244" s="152"/>
      <c r="AE244" s="221">
        <v>48</v>
      </c>
      <c r="AF244" s="221">
        <v>15</v>
      </c>
      <c r="AG244" s="221">
        <v>90</v>
      </c>
      <c r="AH244" s="221">
        <v>76</v>
      </c>
      <c r="AI244" s="221">
        <v>2</v>
      </c>
      <c r="AJ244" s="221">
        <v>44</v>
      </c>
      <c r="AK244" s="221">
        <v>20</v>
      </c>
      <c r="AL244" s="221">
        <v>5</v>
      </c>
      <c r="AM244" s="221">
        <v>300</v>
      </c>
      <c r="AN244" s="147"/>
      <c r="AO244" s="221">
        <v>-5</v>
      </c>
      <c r="AP244" s="221">
        <v>-7</v>
      </c>
      <c r="AQ244" s="221">
        <v>0</v>
      </c>
      <c r="AR244" s="221">
        <v>-6</v>
      </c>
      <c r="AS244" s="221">
        <v>2</v>
      </c>
      <c r="AT244" s="221">
        <v>6</v>
      </c>
      <c r="AU244" s="221">
        <v>-6</v>
      </c>
      <c r="AV244" s="221">
        <v>-3</v>
      </c>
      <c r="AW244" s="221">
        <v>-19</v>
      </c>
      <c r="AX244" s="56">
        <f t="shared" si="116"/>
        <v>5</v>
      </c>
      <c r="AY244" s="56">
        <f t="shared" si="116"/>
        <v>7</v>
      </c>
      <c r="AZ244" s="56">
        <f t="shared" si="116"/>
        <v>0</v>
      </c>
      <c r="BA244" s="56">
        <f t="shared" si="116"/>
        <v>6</v>
      </c>
      <c r="BB244" s="56">
        <f t="shared" si="116"/>
        <v>-2</v>
      </c>
      <c r="BC244" s="56">
        <f t="shared" si="116"/>
        <v>-6</v>
      </c>
      <c r="BD244" s="56">
        <f t="shared" si="115"/>
        <v>6</v>
      </c>
      <c r="BE244" s="56">
        <f t="shared" si="115"/>
        <v>3</v>
      </c>
      <c r="BF244" s="56">
        <f t="shared" si="115"/>
        <v>19</v>
      </c>
      <c r="BH244">
        <f t="shared" si="97"/>
        <v>0.8</v>
      </c>
      <c r="BI244">
        <f t="shared" si="106"/>
        <v>0.19999999999999996</v>
      </c>
      <c r="BJ244" s="154">
        <v>297566.73066666664</v>
      </c>
      <c r="BK244" s="155">
        <f t="shared" si="98"/>
        <v>297566.73066666664</v>
      </c>
      <c r="BL244" s="156">
        <v>528750.56177777785</v>
      </c>
      <c r="BM244" s="155">
        <f t="shared" si="99"/>
        <v>528750.56177777785</v>
      </c>
      <c r="BN244" s="158">
        <v>199700.67822222225</v>
      </c>
      <c r="BO244" s="155">
        <f t="shared" si="100"/>
        <v>199700.67822222225</v>
      </c>
      <c r="BP244" s="158">
        <v>339307.41333333333</v>
      </c>
      <c r="BQ244" s="155">
        <f t="shared" si="101"/>
        <v>339307.41333333333</v>
      </c>
      <c r="BR244" s="158">
        <v>328207.40444444446</v>
      </c>
      <c r="BS244" s="155">
        <f t="shared" si="102"/>
        <v>328207.40444444446</v>
      </c>
      <c r="BT244" s="194">
        <v>386375.33511111105</v>
      </c>
      <c r="BU244" s="194"/>
      <c r="BV244" s="348">
        <f t="shared" si="107"/>
        <v>386375.33511111105</v>
      </c>
      <c r="BW244" s="195">
        <f t="shared" si="103"/>
        <v>410012.30933333328</v>
      </c>
      <c r="BX244" s="157">
        <f t="shared" si="108"/>
        <v>102503.07733333332</v>
      </c>
      <c r="BY244" s="157">
        <f>IF(E244*$CJ$10*'Year 7 Payments'!$L$20*IF(B244="",1,0.8)&lt;=(BW244-(J244*350)),E244*$CJ$10*'Year 7 Payments'!$L$20*IF(B244="",1,0.8),BW244-(IF(B244="",1,0.8)*J244*350))</f>
        <v>215278.29609244448</v>
      </c>
      <c r="BZ244" s="157">
        <f t="shared" si="109"/>
        <v>53819.574023111119</v>
      </c>
      <c r="CA244" s="157">
        <f t="shared" si="110"/>
        <v>194734.0132408888</v>
      </c>
      <c r="CB244" s="157">
        <f t="shared" si="111"/>
        <v>48683.503310222201</v>
      </c>
      <c r="CC244" s="157">
        <f t="shared" si="112"/>
        <v>778936.05296355521</v>
      </c>
      <c r="CD244" s="201">
        <f t="shared" si="113"/>
        <v>194734.0132408888</v>
      </c>
      <c r="CE244" s="155">
        <f t="shared" si="114"/>
        <v>194734.0132408888</v>
      </c>
    </row>
    <row r="245" spans="1:83" x14ac:dyDescent="0.2">
      <c r="A245" s="147" t="s">
        <v>716</v>
      </c>
      <c r="B245" s="57" t="s">
        <v>484</v>
      </c>
      <c r="C245" s="57" t="s">
        <v>449</v>
      </c>
      <c r="D245" s="148" t="s">
        <v>273</v>
      </c>
      <c r="E245" s="197">
        <v>32043</v>
      </c>
      <c r="F245" s="147">
        <f t="shared" si="104"/>
        <v>39940</v>
      </c>
      <c r="G245" s="342">
        <v>232</v>
      </c>
      <c r="H245" s="149">
        <f t="shared" si="89"/>
        <v>349</v>
      </c>
      <c r="I245" s="346">
        <v>162.05022222222223</v>
      </c>
      <c r="J245" s="150">
        <v>96</v>
      </c>
      <c r="K245"/>
      <c r="L245" s="151">
        <v>15212</v>
      </c>
      <c r="M245" s="151">
        <v>8582</v>
      </c>
      <c r="N245" s="151">
        <v>9787</v>
      </c>
      <c r="O245" s="151">
        <v>4094</v>
      </c>
      <c r="P245" s="151">
        <v>1784</v>
      </c>
      <c r="Q245" s="151">
        <v>367</v>
      </c>
      <c r="R245" s="151">
        <v>101</v>
      </c>
      <c r="S245" s="151">
        <v>13</v>
      </c>
      <c r="T245" s="151">
        <v>39940</v>
      </c>
      <c r="U245" s="147"/>
      <c r="V245" s="152">
        <f t="shared" si="105"/>
        <v>0.38087130696044064</v>
      </c>
      <c r="W245" s="152">
        <f t="shared" si="90"/>
        <v>0.21487230846269403</v>
      </c>
      <c r="X245" s="152">
        <f t="shared" si="91"/>
        <v>0.24504256384576864</v>
      </c>
      <c r="Y245" s="152">
        <f t="shared" si="92"/>
        <v>0.10250375563345017</v>
      </c>
      <c r="Z245" s="152">
        <f t="shared" si="93"/>
        <v>4.4667000500751126E-2</v>
      </c>
      <c r="AA245" s="152">
        <f t="shared" si="94"/>
        <v>9.188783174762143E-3</v>
      </c>
      <c r="AB245" s="152">
        <f t="shared" si="95"/>
        <v>2.5287931897846772E-3</v>
      </c>
      <c r="AC245" s="152">
        <f t="shared" si="96"/>
        <v>3.2548823234852277E-4</v>
      </c>
      <c r="AD245" s="152"/>
      <c r="AE245" s="221">
        <v>120</v>
      </c>
      <c r="AF245" s="221">
        <v>73</v>
      </c>
      <c r="AG245" s="221">
        <v>71</v>
      </c>
      <c r="AH245" s="221">
        <v>29</v>
      </c>
      <c r="AI245" s="221">
        <v>21</v>
      </c>
      <c r="AJ245" s="221">
        <v>7</v>
      </c>
      <c r="AK245" s="221">
        <v>2</v>
      </c>
      <c r="AL245" s="221">
        <v>0</v>
      </c>
      <c r="AM245" s="221">
        <v>323</v>
      </c>
      <c r="AN245" s="147"/>
      <c r="AO245" s="221">
        <v>1</v>
      </c>
      <c r="AP245" s="221">
        <v>-14</v>
      </c>
      <c r="AQ245" s="221">
        <v>-15</v>
      </c>
      <c r="AR245" s="221">
        <v>2</v>
      </c>
      <c r="AS245" s="221">
        <v>3</v>
      </c>
      <c r="AT245" s="221">
        <v>-3</v>
      </c>
      <c r="AU245" s="221">
        <v>0</v>
      </c>
      <c r="AV245" s="221">
        <v>0</v>
      </c>
      <c r="AW245" s="221">
        <v>-26</v>
      </c>
      <c r="AX245" s="56">
        <f t="shared" si="116"/>
        <v>-1</v>
      </c>
      <c r="AY245" s="56">
        <f t="shared" si="116"/>
        <v>14</v>
      </c>
      <c r="AZ245" s="56">
        <f t="shared" si="116"/>
        <v>15</v>
      </c>
      <c r="BA245" s="56">
        <f t="shared" si="116"/>
        <v>-2</v>
      </c>
      <c r="BB245" s="56">
        <f t="shared" si="116"/>
        <v>-3</v>
      </c>
      <c r="BC245" s="56">
        <f t="shared" si="116"/>
        <v>3</v>
      </c>
      <c r="BD245" s="56">
        <f t="shared" si="115"/>
        <v>0</v>
      </c>
      <c r="BE245" s="56">
        <f t="shared" si="115"/>
        <v>0</v>
      </c>
      <c r="BF245" s="56">
        <f t="shared" si="115"/>
        <v>26</v>
      </c>
      <c r="BH245">
        <f t="shared" si="97"/>
        <v>0.8</v>
      </c>
      <c r="BI245">
        <f t="shared" si="106"/>
        <v>0.19999999999999996</v>
      </c>
      <c r="BJ245" s="154">
        <v>354879.66933333338</v>
      </c>
      <c r="BK245" s="155">
        <f t="shared" si="98"/>
        <v>354879.66933333338</v>
      </c>
      <c r="BL245" s="156">
        <v>220101.53511111112</v>
      </c>
      <c r="BM245" s="155">
        <f t="shared" si="99"/>
        <v>220101.53511111112</v>
      </c>
      <c r="BN245" s="158">
        <v>186680.96177777782</v>
      </c>
      <c r="BO245" s="155">
        <f t="shared" si="100"/>
        <v>186680.96177777782</v>
      </c>
      <c r="BP245" s="158">
        <v>312066.34666666668</v>
      </c>
      <c r="BQ245" s="155">
        <f t="shared" si="101"/>
        <v>312066.34666666668</v>
      </c>
      <c r="BR245" s="158">
        <v>288147.86133333336</v>
      </c>
      <c r="BS245" s="155">
        <f t="shared" si="102"/>
        <v>288147.86133333336</v>
      </c>
      <c r="BT245" s="194">
        <v>364838.13333333336</v>
      </c>
      <c r="BU245" s="194"/>
      <c r="BV245" s="348">
        <f t="shared" si="107"/>
        <v>364838.13333333336</v>
      </c>
      <c r="BW245" s="195">
        <f t="shared" si="103"/>
        <v>382009.84177777776</v>
      </c>
      <c r="BX245" s="157">
        <f t="shared" si="108"/>
        <v>95502.460444444441</v>
      </c>
      <c r="BY245" s="157">
        <f>IF(E245*$CJ$10*'Year 7 Payments'!$L$20*IF(B245="",1,0.8)&lt;=(BW245-(J245*350)),E245*$CJ$10*'Year 7 Payments'!$L$20*IF(B245="",1,0.8),BW245-(IF(B245="",1,0.8)*J245*350))</f>
        <v>156837.411456</v>
      </c>
      <c r="BZ245" s="157">
        <f t="shared" si="109"/>
        <v>39209.352864</v>
      </c>
      <c r="CA245" s="157">
        <f t="shared" si="110"/>
        <v>225172.43032177776</v>
      </c>
      <c r="CB245" s="157">
        <f t="shared" si="111"/>
        <v>56293.107580444441</v>
      </c>
      <c r="CC245" s="157">
        <f t="shared" si="112"/>
        <v>900689.72128711105</v>
      </c>
      <c r="CD245" s="201">
        <f t="shared" si="113"/>
        <v>225172.43032177776</v>
      </c>
      <c r="CE245" s="155">
        <f t="shared" si="114"/>
        <v>225172.43032177776</v>
      </c>
    </row>
    <row r="246" spans="1:83" x14ac:dyDescent="0.2">
      <c r="A246" s="147" t="s">
        <v>717</v>
      </c>
      <c r="B246" s="57" t="s">
        <v>484</v>
      </c>
      <c r="C246" s="57" t="s">
        <v>449</v>
      </c>
      <c r="D246" s="148" t="s">
        <v>274</v>
      </c>
      <c r="E246" s="197">
        <v>54359.000000000007</v>
      </c>
      <c r="F246" s="147">
        <f t="shared" si="104"/>
        <v>62766</v>
      </c>
      <c r="G246" s="342">
        <v>480</v>
      </c>
      <c r="H246" s="149">
        <f t="shared" si="89"/>
        <v>639</v>
      </c>
      <c r="I246" s="346">
        <v>350.67511111111105</v>
      </c>
      <c r="J246" s="150">
        <v>180</v>
      </c>
      <c r="K246"/>
      <c r="L246" s="151">
        <v>18961</v>
      </c>
      <c r="M246" s="151">
        <v>14281</v>
      </c>
      <c r="N246" s="151">
        <v>11016</v>
      </c>
      <c r="O246" s="151">
        <v>8997</v>
      </c>
      <c r="P246" s="151">
        <v>5526</v>
      </c>
      <c r="Q246" s="151">
        <v>2838</v>
      </c>
      <c r="R246" s="151">
        <v>1052</v>
      </c>
      <c r="S246" s="151">
        <v>95</v>
      </c>
      <c r="T246" s="151">
        <v>62766</v>
      </c>
      <c r="U246" s="147"/>
      <c r="V246" s="152">
        <f t="shared" si="105"/>
        <v>0.30209030366759071</v>
      </c>
      <c r="W246" s="152">
        <f t="shared" si="90"/>
        <v>0.22752764235414077</v>
      </c>
      <c r="X246" s="152">
        <f t="shared" si="91"/>
        <v>0.17550903355319758</v>
      </c>
      <c r="Y246" s="152">
        <f t="shared" si="92"/>
        <v>0.14334193671733103</v>
      </c>
      <c r="Z246" s="152">
        <f t="shared" si="93"/>
        <v>8.8041296243188988E-2</v>
      </c>
      <c r="AA246" s="152">
        <f t="shared" si="94"/>
        <v>4.5215562565720298E-2</v>
      </c>
      <c r="AB246" s="152">
        <f t="shared" si="95"/>
        <v>1.6760666602937898E-2</v>
      </c>
      <c r="AC246" s="152">
        <f t="shared" si="96"/>
        <v>1.5135582958926807E-3</v>
      </c>
      <c r="AD246" s="152"/>
      <c r="AE246" s="221">
        <v>218</v>
      </c>
      <c r="AF246" s="221">
        <v>143</v>
      </c>
      <c r="AG246" s="221">
        <v>51</v>
      </c>
      <c r="AH246" s="221">
        <v>98</v>
      </c>
      <c r="AI246" s="221">
        <v>76</v>
      </c>
      <c r="AJ246" s="221">
        <v>49</v>
      </c>
      <c r="AK246" s="221">
        <v>4</v>
      </c>
      <c r="AL246" s="221">
        <v>1</v>
      </c>
      <c r="AM246" s="221">
        <v>640</v>
      </c>
      <c r="AN246" s="147"/>
      <c r="AO246" s="221">
        <v>-5</v>
      </c>
      <c r="AP246" s="221">
        <v>3</v>
      </c>
      <c r="AQ246" s="221">
        <v>4</v>
      </c>
      <c r="AR246" s="221">
        <v>-2</v>
      </c>
      <c r="AS246" s="221">
        <v>-2</v>
      </c>
      <c r="AT246" s="221">
        <v>-3</v>
      </c>
      <c r="AU246" s="221">
        <v>5</v>
      </c>
      <c r="AV246" s="221">
        <v>1</v>
      </c>
      <c r="AW246" s="221">
        <v>1</v>
      </c>
      <c r="AX246" s="56">
        <f t="shared" si="116"/>
        <v>5</v>
      </c>
      <c r="AY246" s="56">
        <f t="shared" si="116"/>
        <v>-3</v>
      </c>
      <c r="AZ246" s="56">
        <f t="shared" si="116"/>
        <v>-4</v>
      </c>
      <c r="BA246" s="56">
        <f t="shared" si="116"/>
        <v>2</v>
      </c>
      <c r="BB246" s="56">
        <f t="shared" si="116"/>
        <v>2</v>
      </c>
      <c r="BC246" s="56">
        <f t="shared" si="116"/>
        <v>3</v>
      </c>
      <c r="BD246" s="56">
        <f t="shared" si="115"/>
        <v>-5</v>
      </c>
      <c r="BE246" s="56">
        <f t="shared" si="115"/>
        <v>-1</v>
      </c>
      <c r="BF246" s="56">
        <f t="shared" si="115"/>
        <v>-1</v>
      </c>
      <c r="BH246">
        <f t="shared" si="97"/>
        <v>0.8</v>
      </c>
      <c r="BI246">
        <f t="shared" si="106"/>
        <v>0.19999999999999996</v>
      </c>
      <c r="BJ246" s="154">
        <v>665623.25866666669</v>
      </c>
      <c r="BK246" s="155">
        <f t="shared" si="98"/>
        <v>665623.25866666669</v>
      </c>
      <c r="BL246" s="156">
        <v>623398.00533333328</v>
      </c>
      <c r="BM246" s="155">
        <f t="shared" si="99"/>
        <v>623398.00533333328</v>
      </c>
      <c r="BN246" s="158">
        <v>759010.52977777796</v>
      </c>
      <c r="BO246" s="155">
        <f t="shared" si="100"/>
        <v>759010.52977777796</v>
      </c>
      <c r="BP246" s="158">
        <v>631279.46666666667</v>
      </c>
      <c r="BQ246" s="155">
        <f t="shared" si="101"/>
        <v>631279.46666666667</v>
      </c>
      <c r="BR246" s="158">
        <v>653264.26488888904</v>
      </c>
      <c r="BS246" s="155">
        <f t="shared" si="102"/>
        <v>653264.26488888904</v>
      </c>
      <c r="BT246" s="194">
        <v>645069.91111111117</v>
      </c>
      <c r="BU246" s="194"/>
      <c r="BV246" s="348">
        <f t="shared" si="107"/>
        <v>645069.91111111117</v>
      </c>
      <c r="BW246" s="195">
        <f t="shared" si="103"/>
        <v>745568.02488888893</v>
      </c>
      <c r="BX246" s="157">
        <f t="shared" si="108"/>
        <v>186392.00622222223</v>
      </c>
      <c r="BY246" s="157">
        <f>IF(E246*$CJ$10*'Year 7 Payments'!$L$20*IF(B246="",1,0.8)&lt;=(BW246-(J246*350)),E246*$CJ$10*'Year 7 Payments'!$L$20*IF(B246="",1,0.8),BW246-(IF(B246="",1,0.8)*J246*350))</f>
        <v>266065.12652800005</v>
      </c>
      <c r="BZ246" s="157">
        <f t="shared" si="109"/>
        <v>66516.281632000013</v>
      </c>
      <c r="CA246" s="157">
        <f t="shared" si="110"/>
        <v>479502.89836088888</v>
      </c>
      <c r="CB246" s="157">
        <f t="shared" si="111"/>
        <v>119875.72459022222</v>
      </c>
      <c r="CC246" s="157">
        <f t="shared" si="112"/>
        <v>1918011.5934435555</v>
      </c>
      <c r="CD246" s="201">
        <f t="shared" si="113"/>
        <v>479502.89836088888</v>
      </c>
      <c r="CE246" s="155">
        <f t="shared" si="114"/>
        <v>479502.89836088888</v>
      </c>
    </row>
    <row r="247" spans="1:83" x14ac:dyDescent="0.2">
      <c r="A247" s="147" t="s">
        <v>718</v>
      </c>
      <c r="B247" s="57" t="s">
        <v>445</v>
      </c>
      <c r="C247" s="57" t="s">
        <v>446</v>
      </c>
      <c r="D247" s="148" t="s">
        <v>275</v>
      </c>
      <c r="E247" s="197">
        <v>52221.777777777781</v>
      </c>
      <c r="F247" s="147">
        <f t="shared" si="104"/>
        <v>52967</v>
      </c>
      <c r="G247" s="342">
        <v>827</v>
      </c>
      <c r="H247" s="149">
        <f t="shared" si="89"/>
        <v>416</v>
      </c>
      <c r="I247" s="346">
        <v>201.3351111111111</v>
      </c>
      <c r="J247" s="150">
        <v>68</v>
      </c>
      <c r="K247"/>
      <c r="L247" s="151">
        <v>4802</v>
      </c>
      <c r="M247" s="151">
        <v>10905</v>
      </c>
      <c r="N247" s="151">
        <v>12238</v>
      </c>
      <c r="O247" s="151">
        <v>9969</v>
      </c>
      <c r="P247" s="151">
        <v>7277</v>
      </c>
      <c r="Q247" s="151">
        <v>4643</v>
      </c>
      <c r="R247" s="151">
        <v>2858</v>
      </c>
      <c r="S247" s="151">
        <v>275</v>
      </c>
      <c r="T247" s="151">
        <v>52967</v>
      </c>
      <c r="U247" s="147"/>
      <c r="V247" s="152">
        <f t="shared" si="105"/>
        <v>9.0660222402628055E-2</v>
      </c>
      <c r="W247" s="152">
        <f t="shared" si="90"/>
        <v>0.20588290822587649</v>
      </c>
      <c r="X247" s="152">
        <f t="shared" si="91"/>
        <v>0.23104952140011706</v>
      </c>
      <c r="Y247" s="152">
        <f t="shared" si="92"/>
        <v>0.18821152793248627</v>
      </c>
      <c r="Z247" s="152">
        <f t="shared" si="93"/>
        <v>0.13738742990918873</v>
      </c>
      <c r="AA247" s="152">
        <f t="shared" si="94"/>
        <v>8.7658353314327794E-2</v>
      </c>
      <c r="AB247" s="152">
        <f t="shared" si="95"/>
        <v>5.3958124870202198E-2</v>
      </c>
      <c r="AC247" s="152">
        <f t="shared" si="96"/>
        <v>5.1919119451734096E-3</v>
      </c>
      <c r="AD247" s="152"/>
      <c r="AE247" s="221">
        <v>24</v>
      </c>
      <c r="AF247" s="221">
        <v>79</v>
      </c>
      <c r="AG247" s="221">
        <v>94</v>
      </c>
      <c r="AH247" s="221">
        <v>12</v>
      </c>
      <c r="AI247" s="221">
        <v>15</v>
      </c>
      <c r="AJ247" s="221">
        <v>34</v>
      </c>
      <c r="AK247" s="221">
        <v>9</v>
      </c>
      <c r="AL247" s="221">
        <v>5</v>
      </c>
      <c r="AM247" s="221">
        <v>272</v>
      </c>
      <c r="AN247" s="147"/>
      <c r="AO247" s="221">
        <v>9</v>
      </c>
      <c r="AP247" s="221">
        <v>-12</v>
      </c>
      <c r="AQ247" s="221">
        <v>-52</v>
      </c>
      <c r="AR247" s="221">
        <v>-66</v>
      </c>
      <c r="AS247" s="221">
        <v>-15</v>
      </c>
      <c r="AT247" s="221">
        <v>-8</v>
      </c>
      <c r="AU247" s="221">
        <v>-2</v>
      </c>
      <c r="AV247" s="221">
        <v>2</v>
      </c>
      <c r="AW247" s="221">
        <v>-144</v>
      </c>
      <c r="AX247" s="56">
        <f t="shared" si="116"/>
        <v>-9</v>
      </c>
      <c r="AY247" s="56">
        <f t="shared" si="116"/>
        <v>12</v>
      </c>
      <c r="AZ247" s="56">
        <f t="shared" si="116"/>
        <v>52</v>
      </c>
      <c r="BA247" s="56">
        <f t="shared" si="116"/>
        <v>66</v>
      </c>
      <c r="BB247" s="56">
        <f t="shared" si="116"/>
        <v>15</v>
      </c>
      <c r="BC247" s="56">
        <f t="shared" si="116"/>
        <v>8</v>
      </c>
      <c r="BD247" s="56">
        <f t="shared" si="115"/>
        <v>2</v>
      </c>
      <c r="BE247" s="56">
        <f t="shared" si="115"/>
        <v>-2</v>
      </c>
      <c r="BF247" s="56">
        <f t="shared" si="115"/>
        <v>144</v>
      </c>
      <c r="BH247">
        <f t="shared" si="97"/>
        <v>0.8</v>
      </c>
      <c r="BI247">
        <f t="shared" si="106"/>
        <v>0.19999999999999996</v>
      </c>
      <c r="BJ247" s="154">
        <v>25841.994666666669</v>
      </c>
      <c r="BK247" s="155">
        <f t="shared" si="98"/>
        <v>25841.994666666669</v>
      </c>
      <c r="BL247" s="156">
        <v>48464.217777777769</v>
      </c>
      <c r="BM247" s="155">
        <f t="shared" si="99"/>
        <v>48464.217777777769</v>
      </c>
      <c r="BN247" s="158">
        <v>153802.20088888894</v>
      </c>
      <c r="BO247" s="155">
        <f t="shared" si="100"/>
        <v>153802.20088888894</v>
      </c>
      <c r="BP247" s="158">
        <v>129945.59999999998</v>
      </c>
      <c r="BQ247" s="155">
        <f t="shared" si="101"/>
        <v>129945.59999999998</v>
      </c>
      <c r="BR247" s="158">
        <v>379600.30044444447</v>
      </c>
      <c r="BS247" s="155">
        <f t="shared" si="102"/>
        <v>379600.30044444447</v>
      </c>
      <c r="BT247" s="194">
        <v>201483.71911111113</v>
      </c>
      <c r="BU247" s="194"/>
      <c r="BV247" s="348">
        <f t="shared" si="107"/>
        <v>201483.71911111113</v>
      </c>
      <c r="BW247" s="195">
        <f t="shared" si="103"/>
        <v>521007.60177777783</v>
      </c>
      <c r="BX247" s="157">
        <f t="shared" si="108"/>
        <v>130251.90044444446</v>
      </c>
      <c r="BY247" s="157">
        <f>IF(E247*$CJ$10*'Year 7 Payments'!$L$20*IF(B247="",1,0.8)&lt;=(BW247-(J247*350)),E247*$CJ$10*'Year 7 Payments'!$L$20*IF(B247="",1,0.8),BW247-(IF(B247="",1,0.8)*J247*350))</f>
        <v>255604.29573688889</v>
      </c>
      <c r="BZ247" s="157">
        <f t="shared" si="109"/>
        <v>63901.073934222222</v>
      </c>
      <c r="CA247" s="157">
        <f t="shared" si="110"/>
        <v>265403.30604088894</v>
      </c>
      <c r="CB247" s="157">
        <f t="shared" si="111"/>
        <v>66350.826510222236</v>
      </c>
      <c r="CC247" s="157">
        <f t="shared" si="112"/>
        <v>1061613.2241635558</v>
      </c>
      <c r="CD247" s="201">
        <f t="shared" si="113"/>
        <v>265403.30604088894</v>
      </c>
      <c r="CE247" s="155">
        <f t="shared" si="114"/>
        <v>265403.30604088894</v>
      </c>
    </row>
    <row r="248" spans="1:83" x14ac:dyDescent="0.2">
      <c r="A248" s="147" t="s">
        <v>719</v>
      </c>
      <c r="B248" s="57" t="s">
        <v>490</v>
      </c>
      <c r="C248" s="57" t="s">
        <v>459</v>
      </c>
      <c r="D248" s="148" t="s">
        <v>276</v>
      </c>
      <c r="E248" s="197">
        <v>54089.222222222226</v>
      </c>
      <c r="F248" s="147">
        <f t="shared" si="104"/>
        <v>58940</v>
      </c>
      <c r="G248" s="342">
        <v>279</v>
      </c>
      <c r="H248" s="149">
        <f t="shared" si="89"/>
        <v>844</v>
      </c>
      <c r="I248" s="346">
        <v>613.53199999999993</v>
      </c>
      <c r="J248" s="150">
        <v>45</v>
      </c>
      <c r="K248"/>
      <c r="L248" s="151">
        <v>6592</v>
      </c>
      <c r="M248" s="151">
        <v>16509</v>
      </c>
      <c r="N248" s="151">
        <v>14726</v>
      </c>
      <c r="O248" s="151">
        <v>10331</v>
      </c>
      <c r="P248" s="151">
        <v>6466</v>
      </c>
      <c r="Q248" s="151">
        <v>2772</v>
      </c>
      <c r="R248" s="151">
        <v>1430</v>
      </c>
      <c r="S248" s="151">
        <v>114</v>
      </c>
      <c r="T248" s="151">
        <v>58940</v>
      </c>
      <c r="U248" s="147"/>
      <c r="V248" s="152">
        <f t="shared" si="105"/>
        <v>0.11184255174753988</v>
      </c>
      <c r="W248" s="152">
        <f t="shared" si="90"/>
        <v>0.28009840515778756</v>
      </c>
      <c r="X248" s="152">
        <f t="shared" si="91"/>
        <v>0.2498473023413641</v>
      </c>
      <c r="Y248" s="152">
        <f t="shared" si="92"/>
        <v>0.17527994570749916</v>
      </c>
      <c r="Z248" s="152">
        <f t="shared" si="93"/>
        <v>0.10970478452663726</v>
      </c>
      <c r="AA248" s="152">
        <f t="shared" si="94"/>
        <v>4.7030878859857482E-2</v>
      </c>
      <c r="AB248" s="152">
        <f t="shared" si="95"/>
        <v>2.4261961316593146E-2</v>
      </c>
      <c r="AC248" s="152">
        <f t="shared" si="96"/>
        <v>1.9341703427214116E-3</v>
      </c>
      <c r="AD248" s="152"/>
      <c r="AE248" s="221">
        <v>107</v>
      </c>
      <c r="AF248" s="221">
        <v>114</v>
      </c>
      <c r="AG248" s="221">
        <v>215</v>
      </c>
      <c r="AH248" s="221">
        <v>143</v>
      </c>
      <c r="AI248" s="221">
        <v>160</v>
      </c>
      <c r="AJ248" s="221">
        <v>65</v>
      </c>
      <c r="AK248" s="221">
        <v>6</v>
      </c>
      <c r="AL248" s="221">
        <v>3</v>
      </c>
      <c r="AM248" s="221">
        <v>813</v>
      </c>
      <c r="AN248" s="147"/>
      <c r="AO248" s="221">
        <v>3</v>
      </c>
      <c r="AP248" s="221">
        <v>-1</v>
      </c>
      <c r="AQ248" s="221">
        <v>-7</v>
      </c>
      <c r="AR248" s="221">
        <v>-30</v>
      </c>
      <c r="AS248" s="221">
        <v>2</v>
      </c>
      <c r="AT248" s="221">
        <v>2</v>
      </c>
      <c r="AU248" s="221">
        <v>2</v>
      </c>
      <c r="AV248" s="221">
        <v>-2</v>
      </c>
      <c r="AW248" s="221">
        <v>-31</v>
      </c>
      <c r="AX248" s="56">
        <f t="shared" si="116"/>
        <v>-3</v>
      </c>
      <c r="AY248" s="56">
        <f t="shared" si="116"/>
        <v>1</v>
      </c>
      <c r="AZ248" s="56">
        <f t="shared" si="116"/>
        <v>7</v>
      </c>
      <c r="BA248" s="56">
        <f t="shared" si="116"/>
        <v>30</v>
      </c>
      <c r="BB248" s="56">
        <f t="shared" si="116"/>
        <v>-2</v>
      </c>
      <c r="BC248" s="56">
        <f t="shared" si="116"/>
        <v>-2</v>
      </c>
      <c r="BD248" s="56">
        <f t="shared" si="115"/>
        <v>-2</v>
      </c>
      <c r="BE248" s="56">
        <f t="shared" si="115"/>
        <v>2</v>
      </c>
      <c r="BF248" s="56">
        <f t="shared" si="115"/>
        <v>31</v>
      </c>
      <c r="BH248">
        <f t="shared" si="97"/>
        <v>0.8</v>
      </c>
      <c r="BI248">
        <f t="shared" si="106"/>
        <v>0.19999999999999996</v>
      </c>
      <c r="BJ248" s="154">
        <v>787157.39199999999</v>
      </c>
      <c r="BK248" s="155">
        <f t="shared" si="98"/>
        <v>787157.39199999999</v>
      </c>
      <c r="BL248" s="156">
        <v>920011.20088888891</v>
      </c>
      <c r="BM248" s="155">
        <f t="shared" si="99"/>
        <v>920011.20088888891</v>
      </c>
      <c r="BN248" s="158">
        <v>923153.51822222257</v>
      </c>
      <c r="BO248" s="155">
        <f t="shared" si="100"/>
        <v>923153.51822222257</v>
      </c>
      <c r="BP248" s="158">
        <v>835376.74666666659</v>
      </c>
      <c r="BQ248" s="155">
        <f t="shared" si="101"/>
        <v>835376.74666666659</v>
      </c>
      <c r="BR248" s="158">
        <v>1068009.2088888888</v>
      </c>
      <c r="BS248" s="155">
        <f t="shared" si="102"/>
        <v>1068009.2088888888</v>
      </c>
      <c r="BT248" s="194">
        <v>799893.43466666667</v>
      </c>
      <c r="BU248" s="194"/>
      <c r="BV248" s="348">
        <f t="shared" si="107"/>
        <v>799893.43466666667</v>
      </c>
      <c r="BW248" s="195">
        <f t="shared" si="103"/>
        <v>1028091.8791111112</v>
      </c>
      <c r="BX248" s="157">
        <f t="shared" si="108"/>
        <v>257022.96977777779</v>
      </c>
      <c r="BY248" s="157">
        <f>IF(E248*$CJ$10*'Year 7 Payments'!$L$20*IF(B248="",1,0.8)&lt;=(BW248-(J248*350)),E248*$CJ$10*'Year 7 Payments'!$L$20*IF(B248="",1,0.8),BW248-(IF(B248="",1,0.8)*J248*350))</f>
        <v>264744.67437511112</v>
      </c>
      <c r="BZ248" s="157">
        <f t="shared" si="109"/>
        <v>66186.16859377778</v>
      </c>
      <c r="CA248" s="157">
        <f t="shared" si="110"/>
        <v>763347.20473600004</v>
      </c>
      <c r="CB248" s="157">
        <f t="shared" si="111"/>
        <v>190836.80118400001</v>
      </c>
      <c r="CC248" s="157">
        <f t="shared" si="112"/>
        <v>3053388.8189440002</v>
      </c>
      <c r="CD248" s="201">
        <f t="shared" si="113"/>
        <v>763347.20473600004</v>
      </c>
      <c r="CE248" s="155">
        <f t="shared" si="114"/>
        <v>763347.20473600004</v>
      </c>
    </row>
    <row r="249" spans="1:83" x14ac:dyDescent="0.2">
      <c r="A249" s="147" t="s">
        <v>720</v>
      </c>
      <c r="B249" s="57" t="s">
        <v>533</v>
      </c>
      <c r="C249" s="57" t="s">
        <v>449</v>
      </c>
      <c r="D249" s="148" t="s">
        <v>277</v>
      </c>
      <c r="E249" s="197">
        <v>38291.444444444445</v>
      </c>
      <c r="F249" s="147">
        <f t="shared" si="104"/>
        <v>38070</v>
      </c>
      <c r="G249" s="342">
        <v>131</v>
      </c>
      <c r="H249" s="149">
        <f t="shared" si="89"/>
        <v>651</v>
      </c>
      <c r="I249" s="346">
        <v>549.61200000000008</v>
      </c>
      <c r="J249" s="150">
        <v>75</v>
      </c>
      <c r="K249"/>
      <c r="L249" s="151">
        <v>2022</v>
      </c>
      <c r="M249" s="151">
        <v>8496</v>
      </c>
      <c r="N249" s="151">
        <v>9576</v>
      </c>
      <c r="O249" s="151">
        <v>5984</v>
      </c>
      <c r="P249" s="151">
        <v>5645</v>
      </c>
      <c r="Q249" s="151">
        <v>3871</v>
      </c>
      <c r="R249" s="151">
        <v>2294</v>
      </c>
      <c r="S249" s="151">
        <v>182</v>
      </c>
      <c r="T249" s="151">
        <v>38070</v>
      </c>
      <c r="U249" s="147"/>
      <c r="V249" s="152">
        <f t="shared" si="105"/>
        <v>5.3112687155240347E-2</v>
      </c>
      <c r="W249" s="152">
        <f t="shared" si="90"/>
        <v>0.22316784869976358</v>
      </c>
      <c r="X249" s="152">
        <f t="shared" si="91"/>
        <v>0.2515366430260047</v>
      </c>
      <c r="Y249" s="152">
        <f t="shared" si="92"/>
        <v>0.15718413448909901</v>
      </c>
      <c r="Z249" s="152">
        <f t="shared" si="93"/>
        <v>0.14827948515891778</v>
      </c>
      <c r="AA249" s="152">
        <f t="shared" si="94"/>
        <v>0.10168111373785133</v>
      </c>
      <c r="AB249" s="152">
        <f t="shared" si="95"/>
        <v>6.0257420541108483E-2</v>
      </c>
      <c r="AC249" s="152">
        <f t="shared" si="96"/>
        <v>4.7806671920147094E-3</v>
      </c>
      <c r="AD249" s="152"/>
      <c r="AE249" s="221">
        <v>18</v>
      </c>
      <c r="AF249" s="221">
        <v>69</v>
      </c>
      <c r="AG249" s="221">
        <v>171</v>
      </c>
      <c r="AH249" s="221">
        <v>101</v>
      </c>
      <c r="AI249" s="221">
        <v>116</v>
      </c>
      <c r="AJ249" s="221">
        <v>114</v>
      </c>
      <c r="AK249" s="221">
        <v>46</v>
      </c>
      <c r="AL249" s="221">
        <v>0</v>
      </c>
      <c r="AM249" s="221">
        <v>635</v>
      </c>
      <c r="AN249" s="147"/>
      <c r="AO249" s="221">
        <v>-21</v>
      </c>
      <c r="AP249" s="221">
        <v>-10</v>
      </c>
      <c r="AQ249" s="221">
        <v>3</v>
      </c>
      <c r="AR249" s="221">
        <v>3</v>
      </c>
      <c r="AS249" s="221">
        <v>-1</v>
      </c>
      <c r="AT249" s="221">
        <v>0</v>
      </c>
      <c r="AU249" s="221">
        <v>11</v>
      </c>
      <c r="AV249" s="221">
        <v>-1</v>
      </c>
      <c r="AW249" s="221">
        <v>-16</v>
      </c>
      <c r="AX249" s="56">
        <f t="shared" si="116"/>
        <v>21</v>
      </c>
      <c r="AY249" s="56">
        <f t="shared" si="116"/>
        <v>10</v>
      </c>
      <c r="AZ249" s="56">
        <f t="shared" si="116"/>
        <v>-3</v>
      </c>
      <c r="BA249" s="56">
        <f t="shared" si="116"/>
        <v>-3</v>
      </c>
      <c r="BB249" s="56">
        <f t="shared" si="116"/>
        <v>1</v>
      </c>
      <c r="BC249" s="56">
        <f t="shared" si="116"/>
        <v>0</v>
      </c>
      <c r="BD249" s="56">
        <f t="shared" si="115"/>
        <v>-11</v>
      </c>
      <c r="BE249" s="56">
        <f t="shared" si="115"/>
        <v>1</v>
      </c>
      <c r="BF249" s="56">
        <f t="shared" si="115"/>
        <v>16</v>
      </c>
      <c r="BH249">
        <f t="shared" si="97"/>
        <v>0.8</v>
      </c>
      <c r="BI249">
        <f t="shared" si="106"/>
        <v>0.19999999999999996</v>
      </c>
      <c r="BJ249" s="154">
        <v>182940.85333333336</v>
      </c>
      <c r="BK249" s="155">
        <f t="shared" si="98"/>
        <v>182940.85333333336</v>
      </c>
      <c r="BL249" s="156">
        <v>468062.72177777789</v>
      </c>
      <c r="BM249" s="155">
        <f t="shared" si="99"/>
        <v>468062.72177777789</v>
      </c>
      <c r="BN249" s="158">
        <v>514858.71644444449</v>
      </c>
      <c r="BO249" s="155">
        <f t="shared" si="100"/>
        <v>514858.71644444449</v>
      </c>
      <c r="BP249" s="158">
        <v>246991.03999999995</v>
      </c>
      <c r="BQ249" s="155">
        <f t="shared" si="101"/>
        <v>246991.03999999995</v>
      </c>
      <c r="BR249" s="158">
        <v>517359.33155555552</v>
      </c>
      <c r="BS249" s="155">
        <f t="shared" si="102"/>
        <v>517359.33155555552</v>
      </c>
      <c r="BT249" s="194">
        <v>559133.25688888889</v>
      </c>
      <c r="BU249" s="194"/>
      <c r="BV249" s="348">
        <f t="shared" si="107"/>
        <v>559133.25688888889</v>
      </c>
      <c r="BW249" s="195">
        <f t="shared" si="103"/>
        <v>880952.62222222227</v>
      </c>
      <c r="BX249" s="157">
        <f t="shared" si="108"/>
        <v>220238.15555555557</v>
      </c>
      <c r="BY249" s="157">
        <f>IF(E249*$CJ$10*'Year 7 Payments'!$L$20*IF(B249="",1,0.8)&lt;=(BW249-(J249*350)),E249*$CJ$10*'Year 7 Payments'!$L$20*IF(B249="",1,0.8),BW249-(IF(B249="",1,0.8)*J249*350))</f>
        <v>187420.99764622224</v>
      </c>
      <c r="BZ249" s="157">
        <f t="shared" si="109"/>
        <v>46855.24941155556</v>
      </c>
      <c r="CA249" s="157">
        <f t="shared" si="110"/>
        <v>693531.62457600003</v>
      </c>
      <c r="CB249" s="157">
        <f t="shared" si="111"/>
        <v>173382.90614400001</v>
      </c>
      <c r="CC249" s="157">
        <f t="shared" si="112"/>
        <v>2774126.4983040001</v>
      </c>
      <c r="CD249" s="201">
        <f t="shared" si="113"/>
        <v>693531.62457600003</v>
      </c>
      <c r="CE249" s="155">
        <f t="shared" si="114"/>
        <v>693531.62457600003</v>
      </c>
    </row>
    <row r="250" spans="1:83" x14ac:dyDescent="0.2">
      <c r="A250" s="147" t="s">
        <v>721</v>
      </c>
      <c r="B250" s="57" t="s">
        <v>520</v>
      </c>
      <c r="C250" s="57" t="s">
        <v>443</v>
      </c>
      <c r="D250" s="148" t="s">
        <v>278</v>
      </c>
      <c r="E250" s="197">
        <v>64045.999999999993</v>
      </c>
      <c r="F250" s="147">
        <f t="shared" si="104"/>
        <v>59463</v>
      </c>
      <c r="G250" s="342">
        <v>383</v>
      </c>
      <c r="H250" s="149">
        <f t="shared" si="89"/>
        <v>671</v>
      </c>
      <c r="I250" s="346">
        <v>440.0382222222222</v>
      </c>
      <c r="J250" s="150">
        <v>151</v>
      </c>
      <c r="K250"/>
      <c r="L250" s="151">
        <v>2164</v>
      </c>
      <c r="M250" s="151">
        <v>5377</v>
      </c>
      <c r="N250" s="151">
        <v>16261</v>
      </c>
      <c r="O250" s="151">
        <v>13549</v>
      </c>
      <c r="P250" s="151">
        <v>9617</v>
      </c>
      <c r="Q250" s="151">
        <v>5988</v>
      </c>
      <c r="R250" s="151">
        <v>5671</v>
      </c>
      <c r="S250" s="151">
        <v>836</v>
      </c>
      <c r="T250" s="151">
        <v>59463</v>
      </c>
      <c r="U250" s="147"/>
      <c r="V250" s="152">
        <f t="shared" si="105"/>
        <v>3.6392378453828429E-2</v>
      </c>
      <c r="W250" s="152">
        <f t="shared" si="90"/>
        <v>9.0425979180330629E-2</v>
      </c>
      <c r="X250" s="152">
        <f t="shared" si="91"/>
        <v>0.27346417099709064</v>
      </c>
      <c r="Y250" s="152">
        <f t="shared" si="92"/>
        <v>0.22785597766678439</v>
      </c>
      <c r="Z250" s="152">
        <f t="shared" si="93"/>
        <v>0.16173082421001295</v>
      </c>
      <c r="AA250" s="152">
        <f t="shared" si="94"/>
        <v>0.10070127642399475</v>
      </c>
      <c r="AB250" s="152">
        <f t="shared" si="95"/>
        <v>9.5370230227200106E-2</v>
      </c>
      <c r="AC250" s="152">
        <f t="shared" si="96"/>
        <v>1.4059162840758118E-2</v>
      </c>
      <c r="AD250" s="152"/>
      <c r="AE250" s="221">
        <v>-6</v>
      </c>
      <c r="AF250" s="221">
        <v>126</v>
      </c>
      <c r="AG250" s="221">
        <v>263</v>
      </c>
      <c r="AH250" s="221">
        <v>132</v>
      </c>
      <c r="AI250" s="221">
        <v>68</v>
      </c>
      <c r="AJ250" s="221">
        <v>40</v>
      </c>
      <c r="AK250" s="221">
        <v>42</v>
      </c>
      <c r="AL250" s="221">
        <v>14</v>
      </c>
      <c r="AM250" s="221">
        <v>679</v>
      </c>
      <c r="AN250" s="147"/>
      <c r="AO250" s="221">
        <v>1</v>
      </c>
      <c r="AP250" s="221">
        <v>14</v>
      </c>
      <c r="AQ250" s="221">
        <v>11</v>
      </c>
      <c r="AR250" s="221">
        <v>-2</v>
      </c>
      <c r="AS250" s="221">
        <v>-14</v>
      </c>
      <c r="AT250" s="221">
        <v>-7</v>
      </c>
      <c r="AU250" s="221">
        <v>-1</v>
      </c>
      <c r="AV250" s="221">
        <v>6</v>
      </c>
      <c r="AW250" s="221">
        <v>8</v>
      </c>
      <c r="AX250" s="56">
        <f t="shared" si="116"/>
        <v>-1</v>
      </c>
      <c r="AY250" s="56">
        <f t="shared" si="116"/>
        <v>-14</v>
      </c>
      <c r="AZ250" s="56">
        <f t="shared" si="116"/>
        <v>-11</v>
      </c>
      <c r="BA250" s="56">
        <f t="shared" si="116"/>
        <v>2</v>
      </c>
      <c r="BB250" s="56">
        <f t="shared" si="116"/>
        <v>14</v>
      </c>
      <c r="BC250" s="56">
        <f t="shared" si="116"/>
        <v>7</v>
      </c>
      <c r="BD250" s="56">
        <f t="shared" si="115"/>
        <v>1</v>
      </c>
      <c r="BE250" s="56">
        <f t="shared" si="115"/>
        <v>-6</v>
      </c>
      <c r="BF250" s="56">
        <f t="shared" si="115"/>
        <v>-8</v>
      </c>
      <c r="BH250">
        <f t="shared" si="97"/>
        <v>0.8</v>
      </c>
      <c r="BI250">
        <f t="shared" si="106"/>
        <v>0.19999999999999996</v>
      </c>
      <c r="BJ250" s="154">
        <v>259699.25333333333</v>
      </c>
      <c r="BK250" s="155">
        <f t="shared" si="98"/>
        <v>259699.25333333333</v>
      </c>
      <c r="BL250" s="156">
        <v>346541.33422222221</v>
      </c>
      <c r="BM250" s="155">
        <f t="shared" si="99"/>
        <v>346541.33422222221</v>
      </c>
      <c r="BN250" s="158">
        <v>536990.75466666685</v>
      </c>
      <c r="BO250" s="155">
        <f t="shared" si="100"/>
        <v>536990.75466666685</v>
      </c>
      <c r="BP250" s="158">
        <v>763204.26666666672</v>
      </c>
      <c r="BQ250" s="155">
        <f t="shared" si="101"/>
        <v>763204.26666666672</v>
      </c>
      <c r="BR250" s="158">
        <v>971443.18755555549</v>
      </c>
      <c r="BS250" s="155">
        <f t="shared" si="102"/>
        <v>971443.18755555549</v>
      </c>
      <c r="BT250" s="194">
        <v>675302.92977777775</v>
      </c>
      <c r="BU250" s="194"/>
      <c r="BV250" s="348">
        <f t="shared" si="107"/>
        <v>675302.92977777775</v>
      </c>
      <c r="BW250" s="195">
        <f t="shared" si="103"/>
        <v>894210.92977777764</v>
      </c>
      <c r="BX250" s="157">
        <f t="shared" si="108"/>
        <v>223552.73244444441</v>
      </c>
      <c r="BY250" s="157">
        <f>IF(E250*$CJ$10*'Year 7 Payments'!$L$20*IF(B250="",1,0.8)&lt;=(BW250-(J250*350)),E250*$CJ$10*'Year 7 Payments'!$L$20*IF(B250="",1,0.8),BW250-(IF(B250="",1,0.8)*J250*350))</f>
        <v>313479.03923199995</v>
      </c>
      <c r="BZ250" s="157">
        <f t="shared" si="109"/>
        <v>78369.759807999988</v>
      </c>
      <c r="CA250" s="157">
        <f t="shared" si="110"/>
        <v>580731.89054577774</v>
      </c>
      <c r="CB250" s="157">
        <f t="shared" si="111"/>
        <v>145182.97263644444</v>
      </c>
      <c r="CC250" s="157">
        <f t="shared" si="112"/>
        <v>2322927.562183111</v>
      </c>
      <c r="CD250" s="201">
        <f t="shared" si="113"/>
        <v>580731.89054577774</v>
      </c>
      <c r="CE250" s="155">
        <f t="shared" si="114"/>
        <v>580731.89054577774</v>
      </c>
    </row>
    <row r="251" spans="1:83" x14ac:dyDescent="0.2">
      <c r="A251" s="147" t="s">
        <v>722</v>
      </c>
      <c r="B251" s="57" t="s">
        <v>503</v>
      </c>
      <c r="C251" s="57" t="s">
        <v>446</v>
      </c>
      <c r="D251" s="148" t="s">
        <v>279</v>
      </c>
      <c r="E251" s="197">
        <v>42705.000000000007</v>
      </c>
      <c r="F251" s="147">
        <f t="shared" si="104"/>
        <v>48967</v>
      </c>
      <c r="G251" s="342">
        <v>375</v>
      </c>
      <c r="H251" s="149">
        <f t="shared" si="89"/>
        <v>383</v>
      </c>
      <c r="I251" s="346">
        <v>184.84666666666666</v>
      </c>
      <c r="J251" s="150">
        <v>101</v>
      </c>
      <c r="K251"/>
      <c r="L251" s="151">
        <v>9953</v>
      </c>
      <c r="M251" s="151">
        <v>13010</v>
      </c>
      <c r="N251" s="151">
        <v>12084</v>
      </c>
      <c r="O251" s="151">
        <v>7854</v>
      </c>
      <c r="P251" s="151">
        <v>3939</v>
      </c>
      <c r="Q251" s="151">
        <v>1582</v>
      </c>
      <c r="R251" s="151">
        <v>517</v>
      </c>
      <c r="S251" s="151">
        <v>28</v>
      </c>
      <c r="T251" s="151">
        <v>48967</v>
      </c>
      <c r="U251" s="147"/>
      <c r="V251" s="152">
        <f t="shared" si="105"/>
        <v>0.20325933792145731</v>
      </c>
      <c r="W251" s="152">
        <f t="shared" si="90"/>
        <v>0.26568913758245349</v>
      </c>
      <c r="X251" s="152">
        <f t="shared" si="91"/>
        <v>0.24677844262462476</v>
      </c>
      <c r="Y251" s="152">
        <f t="shared" si="92"/>
        <v>0.16039373455592543</v>
      </c>
      <c r="Z251" s="152">
        <f t="shared" si="93"/>
        <v>8.0441930279576038E-2</v>
      </c>
      <c r="AA251" s="152">
        <f t="shared" si="94"/>
        <v>3.2307472379357528E-2</v>
      </c>
      <c r="AB251" s="152">
        <f t="shared" si="95"/>
        <v>1.0558130986174362E-2</v>
      </c>
      <c r="AC251" s="152">
        <f t="shared" si="96"/>
        <v>5.7181367043110669E-4</v>
      </c>
      <c r="AD251" s="152"/>
      <c r="AE251" s="221">
        <v>59</v>
      </c>
      <c r="AF251" s="221">
        <v>69</v>
      </c>
      <c r="AG251" s="221">
        <v>75</v>
      </c>
      <c r="AH251" s="221">
        <v>61</v>
      </c>
      <c r="AI251" s="221">
        <v>53</v>
      </c>
      <c r="AJ251" s="221">
        <v>17</v>
      </c>
      <c r="AK251" s="221">
        <v>8</v>
      </c>
      <c r="AL251" s="221">
        <v>-1</v>
      </c>
      <c r="AM251" s="221">
        <v>341</v>
      </c>
      <c r="AN251" s="147"/>
      <c r="AO251" s="221">
        <v>-12</v>
      </c>
      <c r="AP251" s="221">
        <v>-5</v>
      </c>
      <c r="AQ251" s="221">
        <v>-15</v>
      </c>
      <c r="AR251" s="221">
        <v>-14</v>
      </c>
      <c r="AS251" s="221">
        <v>1</v>
      </c>
      <c r="AT251" s="221">
        <v>6</v>
      </c>
      <c r="AU251" s="221">
        <v>-3</v>
      </c>
      <c r="AV251" s="221">
        <v>0</v>
      </c>
      <c r="AW251" s="221">
        <v>-42</v>
      </c>
      <c r="AX251" s="56">
        <f t="shared" si="116"/>
        <v>12</v>
      </c>
      <c r="AY251" s="56">
        <f t="shared" si="116"/>
        <v>5</v>
      </c>
      <c r="AZ251" s="56">
        <f t="shared" si="116"/>
        <v>15</v>
      </c>
      <c r="BA251" s="56">
        <f t="shared" si="116"/>
        <v>14</v>
      </c>
      <c r="BB251" s="56">
        <f t="shared" si="116"/>
        <v>-1</v>
      </c>
      <c r="BC251" s="56">
        <f t="shared" si="116"/>
        <v>-6</v>
      </c>
      <c r="BD251" s="56">
        <f t="shared" si="115"/>
        <v>3</v>
      </c>
      <c r="BE251" s="56">
        <f t="shared" si="115"/>
        <v>0</v>
      </c>
      <c r="BF251" s="56">
        <f t="shared" si="115"/>
        <v>42</v>
      </c>
      <c r="BH251">
        <f t="shared" si="97"/>
        <v>0.8</v>
      </c>
      <c r="BI251">
        <f t="shared" si="106"/>
        <v>0.19999999999999996</v>
      </c>
      <c r="BJ251" s="154">
        <v>165158.49066666668</v>
      </c>
      <c r="BK251" s="155">
        <f t="shared" si="98"/>
        <v>165158.49066666668</v>
      </c>
      <c r="BL251" s="156">
        <v>169300.8408888889</v>
      </c>
      <c r="BM251" s="155">
        <f t="shared" si="99"/>
        <v>169300.8408888889</v>
      </c>
      <c r="BN251" s="158">
        <v>177214.78933333338</v>
      </c>
      <c r="BO251" s="155">
        <f t="shared" si="100"/>
        <v>177214.78933333338</v>
      </c>
      <c r="BP251" s="158">
        <v>113570.13333333336</v>
      </c>
      <c r="BQ251" s="155">
        <f t="shared" si="101"/>
        <v>113570.13333333336</v>
      </c>
      <c r="BR251" s="158">
        <v>470868.04088888888</v>
      </c>
      <c r="BS251" s="155">
        <f t="shared" si="102"/>
        <v>470868.04088888888</v>
      </c>
      <c r="BT251" s="194">
        <v>647579.22133333329</v>
      </c>
      <c r="BU251" s="194"/>
      <c r="BV251" s="348">
        <f t="shared" si="107"/>
        <v>647579.22133333329</v>
      </c>
      <c r="BW251" s="195">
        <f t="shared" si="103"/>
        <v>463490.80533333338</v>
      </c>
      <c r="BX251" s="157">
        <f t="shared" si="108"/>
        <v>115872.70133333335</v>
      </c>
      <c r="BY251" s="157">
        <f>IF(E251*$CJ$10*'Year 7 Payments'!$L$20*IF(B251="",1,0.8)&lt;=(BW251-(J251*350)),E251*$CJ$10*'Year 7 Payments'!$L$20*IF(B251="",1,0.8),BW251-(IF(B251="",1,0.8)*J251*350))</f>
        <v>209023.55136000004</v>
      </c>
      <c r="BZ251" s="157">
        <f t="shared" si="109"/>
        <v>52255.88784000001</v>
      </c>
      <c r="CA251" s="157">
        <f t="shared" si="110"/>
        <v>254467.25397333334</v>
      </c>
      <c r="CB251" s="157">
        <f t="shared" si="111"/>
        <v>63616.813493333335</v>
      </c>
      <c r="CC251" s="157">
        <f t="shared" si="112"/>
        <v>1017869.0158933334</v>
      </c>
      <c r="CD251" s="201">
        <f t="shared" si="113"/>
        <v>254467.25397333334</v>
      </c>
      <c r="CE251" s="155">
        <f t="shared" si="114"/>
        <v>254467.25397333334</v>
      </c>
    </row>
    <row r="252" spans="1:83" x14ac:dyDescent="0.2">
      <c r="A252" s="147" t="s">
        <v>723</v>
      </c>
      <c r="B252" s="57" t="s">
        <v>639</v>
      </c>
      <c r="C252" s="57" t="s">
        <v>472</v>
      </c>
      <c r="D252" s="148" t="s">
        <v>280</v>
      </c>
      <c r="E252" s="197">
        <v>70182.111111111109</v>
      </c>
      <c r="F252" s="147">
        <f t="shared" si="104"/>
        <v>76171</v>
      </c>
      <c r="G252" s="342">
        <v>595</v>
      </c>
      <c r="H252" s="149">
        <f t="shared" si="89"/>
        <v>799</v>
      </c>
      <c r="I252" s="346">
        <v>480.82711111111109</v>
      </c>
      <c r="J252" s="150">
        <v>117</v>
      </c>
      <c r="K252"/>
      <c r="L252" s="151">
        <v>10362</v>
      </c>
      <c r="M252" s="151">
        <v>22536</v>
      </c>
      <c r="N252" s="151">
        <v>16213</v>
      </c>
      <c r="O252" s="151">
        <v>10992</v>
      </c>
      <c r="P252" s="151">
        <v>9305</v>
      </c>
      <c r="Q252" s="151">
        <v>4743</v>
      </c>
      <c r="R252" s="151">
        <v>1853</v>
      </c>
      <c r="S252" s="151">
        <v>167</v>
      </c>
      <c r="T252" s="151">
        <v>76171</v>
      </c>
      <c r="U252" s="147"/>
      <c r="V252" s="152">
        <f t="shared" si="105"/>
        <v>0.13603602420868835</v>
      </c>
      <c r="W252" s="152">
        <f t="shared" si="90"/>
        <v>0.29586062937338359</v>
      </c>
      <c r="X252" s="152">
        <f t="shared" si="91"/>
        <v>0.21285003479014322</v>
      </c>
      <c r="Y252" s="152">
        <f t="shared" si="92"/>
        <v>0.14430688844835962</v>
      </c>
      <c r="Z252" s="152">
        <f t="shared" si="93"/>
        <v>0.122159351984351</v>
      </c>
      <c r="AA252" s="152">
        <f t="shared" si="94"/>
        <v>6.2267792204382243E-2</v>
      </c>
      <c r="AB252" s="152">
        <f t="shared" si="95"/>
        <v>2.4326843549382311E-2</v>
      </c>
      <c r="AC252" s="152">
        <f t="shared" si="96"/>
        <v>2.1924354413096849E-3</v>
      </c>
      <c r="AD252" s="152"/>
      <c r="AE252" s="221">
        <v>152</v>
      </c>
      <c r="AF252" s="221">
        <v>119</v>
      </c>
      <c r="AG252" s="221">
        <v>102</v>
      </c>
      <c r="AH252" s="221">
        <v>63</v>
      </c>
      <c r="AI252" s="221">
        <v>141</v>
      </c>
      <c r="AJ252" s="221">
        <v>62</v>
      </c>
      <c r="AK252" s="221">
        <v>14</v>
      </c>
      <c r="AL252" s="221">
        <v>2</v>
      </c>
      <c r="AM252" s="221">
        <v>655</v>
      </c>
      <c r="AN252" s="147"/>
      <c r="AO252" s="221">
        <v>-12</v>
      </c>
      <c r="AP252" s="221">
        <v>-48</v>
      </c>
      <c r="AQ252" s="221">
        <v>-50</v>
      </c>
      <c r="AR252" s="221">
        <v>-25</v>
      </c>
      <c r="AS252" s="221">
        <v>-11</v>
      </c>
      <c r="AT252" s="221">
        <v>1</v>
      </c>
      <c r="AU252" s="221">
        <v>0</v>
      </c>
      <c r="AV252" s="221">
        <v>1</v>
      </c>
      <c r="AW252" s="221">
        <v>-144</v>
      </c>
      <c r="AX252" s="56">
        <f t="shared" si="116"/>
        <v>12</v>
      </c>
      <c r="AY252" s="56">
        <f t="shared" si="116"/>
        <v>48</v>
      </c>
      <c r="AZ252" s="56">
        <f t="shared" si="116"/>
        <v>50</v>
      </c>
      <c r="BA252" s="56">
        <f t="shared" si="116"/>
        <v>25</v>
      </c>
      <c r="BB252" s="56">
        <f t="shared" si="116"/>
        <v>11</v>
      </c>
      <c r="BC252" s="56">
        <f t="shared" si="116"/>
        <v>-1</v>
      </c>
      <c r="BD252" s="56">
        <f t="shared" si="115"/>
        <v>0</v>
      </c>
      <c r="BE252" s="56">
        <f t="shared" si="115"/>
        <v>-1</v>
      </c>
      <c r="BF252" s="56">
        <f t="shared" si="115"/>
        <v>144</v>
      </c>
      <c r="BH252">
        <f t="shared" si="97"/>
        <v>0.8</v>
      </c>
      <c r="BI252">
        <f t="shared" si="106"/>
        <v>0.19999999999999996</v>
      </c>
      <c r="BJ252" s="154">
        <v>601146.20266666671</v>
      </c>
      <c r="BK252" s="155">
        <f t="shared" si="98"/>
        <v>601146.20266666671</v>
      </c>
      <c r="BL252" s="156">
        <v>790317.11022222228</v>
      </c>
      <c r="BM252" s="155">
        <f t="shared" si="99"/>
        <v>790317.11022222228</v>
      </c>
      <c r="BN252" s="158">
        <v>915874.20711111138</v>
      </c>
      <c r="BO252" s="155">
        <f t="shared" si="100"/>
        <v>915874.20711111138</v>
      </c>
      <c r="BP252" s="158">
        <v>1243663.5733333332</v>
      </c>
      <c r="BQ252" s="155">
        <f t="shared" si="101"/>
        <v>1243663.5733333332</v>
      </c>
      <c r="BR252" s="158">
        <v>440091.41866666666</v>
      </c>
      <c r="BS252" s="155">
        <f t="shared" si="102"/>
        <v>440091.41866666666</v>
      </c>
      <c r="BT252" s="194">
        <v>667130.02844444453</v>
      </c>
      <c r="BU252" s="194"/>
      <c r="BV252" s="348">
        <f t="shared" si="107"/>
        <v>667130.02844444453</v>
      </c>
      <c r="BW252" s="195">
        <f t="shared" si="103"/>
        <v>964635.93244444451</v>
      </c>
      <c r="BX252" s="157">
        <f t="shared" si="108"/>
        <v>241158.98311111113</v>
      </c>
      <c r="BY252" s="157">
        <f>IF(E252*$CJ$10*'Year 7 Payments'!$L$20*IF(B252="",1,0.8)&lt;=(BW252-(J252*350)),E252*$CJ$10*'Year 7 Payments'!$L$20*IF(B252="",1,0.8),BW252-(IF(B252="",1,0.8)*J252*350))</f>
        <v>343512.79958755558</v>
      </c>
      <c r="BZ252" s="157">
        <f t="shared" si="109"/>
        <v>85878.199896888895</v>
      </c>
      <c r="CA252" s="157">
        <f t="shared" si="110"/>
        <v>621123.13285688893</v>
      </c>
      <c r="CB252" s="157">
        <f t="shared" si="111"/>
        <v>155280.78321422223</v>
      </c>
      <c r="CC252" s="157">
        <f t="shared" si="112"/>
        <v>2484492.5314275557</v>
      </c>
      <c r="CD252" s="201">
        <f t="shared" si="113"/>
        <v>621123.13285688893</v>
      </c>
      <c r="CE252" s="155">
        <f t="shared" si="114"/>
        <v>621123.13285688893</v>
      </c>
    </row>
    <row r="253" spans="1:83" x14ac:dyDescent="0.2">
      <c r="A253" s="147" t="s">
        <v>724</v>
      </c>
      <c r="B253" s="57" t="s">
        <v>510</v>
      </c>
      <c r="C253" s="57" t="s">
        <v>476</v>
      </c>
      <c r="D253" s="148" t="s">
        <v>281</v>
      </c>
      <c r="E253" s="197">
        <v>44695.555555555562</v>
      </c>
      <c r="F253" s="147">
        <f t="shared" si="104"/>
        <v>46617</v>
      </c>
      <c r="G253" s="342">
        <v>343</v>
      </c>
      <c r="H253" s="149">
        <f t="shared" si="89"/>
        <v>203</v>
      </c>
      <c r="I253" s="346">
        <v>21.995555555555541</v>
      </c>
      <c r="J253" s="150">
        <v>71</v>
      </c>
      <c r="K253"/>
      <c r="L253" s="151">
        <v>6820</v>
      </c>
      <c r="M253" s="151">
        <v>10465</v>
      </c>
      <c r="N253" s="151">
        <v>11069</v>
      </c>
      <c r="O253" s="151">
        <v>7103</v>
      </c>
      <c r="P253" s="151">
        <v>5221</v>
      </c>
      <c r="Q253" s="151">
        <v>3347</v>
      </c>
      <c r="R253" s="151">
        <v>2380</v>
      </c>
      <c r="S253" s="151">
        <v>212</v>
      </c>
      <c r="T253" s="151">
        <v>46617</v>
      </c>
      <c r="U253" s="147"/>
      <c r="V253" s="152">
        <f t="shared" si="105"/>
        <v>0.14629856061093593</v>
      </c>
      <c r="W253" s="152">
        <f t="shared" si="90"/>
        <v>0.22448892035094492</v>
      </c>
      <c r="X253" s="152">
        <f t="shared" si="91"/>
        <v>0.23744556706780789</v>
      </c>
      <c r="Y253" s="152">
        <f t="shared" si="92"/>
        <v>0.15236930733423429</v>
      </c>
      <c r="Z253" s="152">
        <f t="shared" si="93"/>
        <v>0.11199776905420769</v>
      </c>
      <c r="AA253" s="152">
        <f t="shared" si="94"/>
        <v>7.1797841988973973E-2</v>
      </c>
      <c r="AB253" s="152">
        <f t="shared" si="95"/>
        <v>5.1054336400883797E-2</v>
      </c>
      <c r="AC253" s="152">
        <f t="shared" si="96"/>
        <v>4.5476971920114977E-3</v>
      </c>
      <c r="AD253" s="152"/>
      <c r="AE253" s="221">
        <v>7</v>
      </c>
      <c r="AF253" s="221">
        <v>17</v>
      </c>
      <c r="AG253" s="221">
        <v>25</v>
      </c>
      <c r="AH253" s="221">
        <v>60</v>
      </c>
      <c r="AI253" s="221">
        <v>42</v>
      </c>
      <c r="AJ253" s="221">
        <v>14</v>
      </c>
      <c r="AK253" s="221">
        <v>29</v>
      </c>
      <c r="AL253" s="221">
        <v>-1</v>
      </c>
      <c r="AM253" s="221">
        <v>193</v>
      </c>
      <c r="AN253" s="147"/>
      <c r="AO253" s="221">
        <v>-56</v>
      </c>
      <c r="AP253" s="221">
        <v>4</v>
      </c>
      <c r="AQ253" s="221">
        <v>-4</v>
      </c>
      <c r="AR253" s="221">
        <v>33</v>
      </c>
      <c r="AS253" s="221">
        <v>-2</v>
      </c>
      <c r="AT253" s="221">
        <v>4</v>
      </c>
      <c r="AU253" s="221">
        <v>10</v>
      </c>
      <c r="AV253" s="221">
        <v>1</v>
      </c>
      <c r="AW253" s="221">
        <v>-10</v>
      </c>
      <c r="AX253" s="56">
        <f t="shared" si="116"/>
        <v>56</v>
      </c>
      <c r="AY253" s="56">
        <f t="shared" si="116"/>
        <v>-4</v>
      </c>
      <c r="AZ253" s="56">
        <f t="shared" si="116"/>
        <v>4</v>
      </c>
      <c r="BA253" s="56">
        <f t="shared" si="116"/>
        <v>-33</v>
      </c>
      <c r="BB253" s="56">
        <f t="shared" si="116"/>
        <v>2</v>
      </c>
      <c r="BC253" s="56">
        <f t="shared" si="116"/>
        <v>-4</v>
      </c>
      <c r="BD253" s="56">
        <f t="shared" si="115"/>
        <v>-10</v>
      </c>
      <c r="BE253" s="56">
        <f t="shared" si="115"/>
        <v>-1</v>
      </c>
      <c r="BF253" s="56">
        <f t="shared" si="115"/>
        <v>10</v>
      </c>
      <c r="BH253">
        <f t="shared" si="97"/>
        <v>0.8</v>
      </c>
      <c r="BI253">
        <f t="shared" si="106"/>
        <v>0.19999999999999996</v>
      </c>
      <c r="BJ253" s="154">
        <v>252279.27466666666</v>
      </c>
      <c r="BK253" s="155">
        <f t="shared" si="98"/>
        <v>252279.27466666666</v>
      </c>
      <c r="BL253" s="156">
        <v>256533.09777777779</v>
      </c>
      <c r="BM253" s="155">
        <f t="shared" si="99"/>
        <v>256533.09777777779</v>
      </c>
      <c r="BN253" s="158">
        <v>266216.48622222221</v>
      </c>
      <c r="BO253" s="155">
        <f t="shared" si="100"/>
        <v>266216.48622222221</v>
      </c>
      <c r="BP253" s="158">
        <v>406567.2533333333</v>
      </c>
      <c r="BQ253" s="155">
        <f t="shared" si="101"/>
        <v>406567.2533333333</v>
      </c>
      <c r="BR253" s="158">
        <v>276531.98755555553</v>
      </c>
      <c r="BS253" s="155">
        <f t="shared" si="102"/>
        <v>276531.98755555553</v>
      </c>
      <c r="BT253" s="194">
        <v>279750.31466666667</v>
      </c>
      <c r="BU253" s="194"/>
      <c r="BV253" s="348">
        <f t="shared" si="107"/>
        <v>279750.31466666667</v>
      </c>
      <c r="BW253" s="195">
        <f t="shared" si="103"/>
        <v>265561.32622222224</v>
      </c>
      <c r="BX253" s="157">
        <f t="shared" si="108"/>
        <v>66390.33155555556</v>
      </c>
      <c r="BY253" s="157">
        <f>IF(E253*$CJ$10*'Year 7 Payments'!$L$20*IF(B253="",1,0.8)&lt;=(BW253-(J253*350)),E253*$CJ$10*'Year 7 Payments'!$L$20*IF(B253="",1,0.8),BW253-(IF(B253="",1,0.8)*J253*350))</f>
        <v>218766.5086577778</v>
      </c>
      <c r="BZ253" s="157">
        <f t="shared" si="109"/>
        <v>54691.62716444445</v>
      </c>
      <c r="CA253" s="157">
        <f t="shared" si="110"/>
        <v>46794.817564444442</v>
      </c>
      <c r="CB253" s="157">
        <f t="shared" si="111"/>
        <v>11698.70439111111</v>
      </c>
      <c r="CC253" s="157">
        <f t="shared" si="112"/>
        <v>187179.27025777777</v>
      </c>
      <c r="CD253" s="201">
        <f t="shared" si="113"/>
        <v>46794.817564444442</v>
      </c>
      <c r="CE253" s="155">
        <f t="shared" si="114"/>
        <v>46794.817564444442</v>
      </c>
    </row>
    <row r="254" spans="1:83" x14ac:dyDescent="0.2">
      <c r="A254" s="147" t="s">
        <v>725</v>
      </c>
      <c r="B254" s="57"/>
      <c r="C254" s="57" t="s">
        <v>543</v>
      </c>
      <c r="D254" s="148" t="s">
        <v>282</v>
      </c>
      <c r="E254" s="197">
        <v>52850.777777777781</v>
      </c>
      <c r="F254" s="147">
        <f t="shared" si="104"/>
        <v>71141</v>
      </c>
      <c r="G254" s="342">
        <v>890</v>
      </c>
      <c r="H254" s="149">
        <f t="shared" si="89"/>
        <v>159</v>
      </c>
      <c r="I254" s="346">
        <v>4.5968888888888557</v>
      </c>
      <c r="J254" s="150">
        <v>113</v>
      </c>
      <c r="K254"/>
      <c r="L254" s="151">
        <v>45933</v>
      </c>
      <c r="M254" s="151">
        <v>9796</v>
      </c>
      <c r="N254" s="151">
        <v>8240</v>
      </c>
      <c r="O254" s="151">
        <v>4355</v>
      </c>
      <c r="P254" s="151">
        <v>1745</v>
      </c>
      <c r="Q254" s="151">
        <v>697</v>
      </c>
      <c r="R254" s="151">
        <v>331</v>
      </c>
      <c r="S254" s="151">
        <v>44</v>
      </c>
      <c r="T254" s="151">
        <v>71141</v>
      </c>
      <c r="U254" s="147"/>
      <c r="V254" s="152">
        <f t="shared" si="105"/>
        <v>0.64566143292897205</v>
      </c>
      <c r="W254" s="152">
        <f t="shared" si="90"/>
        <v>0.13769837365232426</v>
      </c>
      <c r="X254" s="152">
        <f t="shared" si="91"/>
        <v>0.1158263167512405</v>
      </c>
      <c r="Y254" s="152">
        <f t="shared" si="92"/>
        <v>6.1216457457724797E-2</v>
      </c>
      <c r="Z254" s="152">
        <f t="shared" si="93"/>
        <v>2.4528752758606148E-2</v>
      </c>
      <c r="AA254" s="152">
        <f t="shared" si="94"/>
        <v>9.7974445116037166E-3</v>
      </c>
      <c r="AB254" s="152">
        <f t="shared" si="95"/>
        <v>4.6527318986238596E-3</v>
      </c>
      <c r="AC254" s="152">
        <f t="shared" si="96"/>
        <v>6.1849004090468228E-4</v>
      </c>
      <c r="AD254" s="152"/>
      <c r="AE254" s="221">
        <v>-39</v>
      </c>
      <c r="AF254" s="221">
        <v>122</v>
      </c>
      <c r="AG254" s="221">
        <v>132</v>
      </c>
      <c r="AH254" s="221">
        <v>77</v>
      </c>
      <c r="AI254" s="221">
        <v>27</v>
      </c>
      <c r="AJ254" s="221">
        <v>14</v>
      </c>
      <c r="AK254" s="221">
        <v>5</v>
      </c>
      <c r="AL254" s="221">
        <v>-1</v>
      </c>
      <c r="AM254" s="221">
        <v>337</v>
      </c>
      <c r="AN254" s="147"/>
      <c r="AO254" s="221">
        <v>211</v>
      </c>
      <c r="AP254" s="221">
        <v>-7</v>
      </c>
      <c r="AQ254" s="221">
        <v>-16</v>
      </c>
      <c r="AR254" s="221">
        <v>-5</v>
      </c>
      <c r="AS254" s="221">
        <v>0</v>
      </c>
      <c r="AT254" s="221">
        <v>1</v>
      </c>
      <c r="AU254" s="221">
        <v>-4</v>
      </c>
      <c r="AV254" s="221">
        <v>-2</v>
      </c>
      <c r="AW254" s="221">
        <v>178</v>
      </c>
      <c r="AX254" s="56">
        <f t="shared" si="116"/>
        <v>-211</v>
      </c>
      <c r="AY254" s="56">
        <f t="shared" si="116"/>
        <v>7</v>
      </c>
      <c r="AZ254" s="56">
        <f t="shared" si="116"/>
        <v>16</v>
      </c>
      <c r="BA254" s="56">
        <f t="shared" si="116"/>
        <v>5</v>
      </c>
      <c r="BB254" s="56">
        <f t="shared" si="116"/>
        <v>0</v>
      </c>
      <c r="BC254" s="56">
        <f t="shared" si="116"/>
        <v>-1</v>
      </c>
      <c r="BD254" s="56">
        <f t="shared" si="115"/>
        <v>4</v>
      </c>
      <c r="BE254" s="56">
        <f t="shared" si="115"/>
        <v>2</v>
      </c>
      <c r="BF254" s="56">
        <f t="shared" si="115"/>
        <v>-178</v>
      </c>
      <c r="BH254">
        <f t="shared" si="97"/>
        <v>1</v>
      </c>
      <c r="BI254">
        <f t="shared" si="106"/>
        <v>0</v>
      </c>
      <c r="BJ254" s="154">
        <v>158314.20000000001</v>
      </c>
      <c r="BK254" s="155">
        <f t="shared" si="98"/>
        <v>158314.20000000001</v>
      </c>
      <c r="BL254" s="156">
        <v>251035.85222222219</v>
      </c>
      <c r="BM254" s="155">
        <f t="shared" si="99"/>
        <v>251035.85222222219</v>
      </c>
      <c r="BN254" s="158">
        <v>358085.9233333334</v>
      </c>
      <c r="BO254" s="155">
        <f t="shared" si="100"/>
        <v>358085.9233333334</v>
      </c>
      <c r="BP254" s="158">
        <v>574879.7333333334</v>
      </c>
      <c r="BQ254" s="155">
        <f t="shared" si="101"/>
        <v>574879.7333333334</v>
      </c>
      <c r="BR254" s="158">
        <v>697659.54</v>
      </c>
      <c r="BS254" s="155">
        <f t="shared" si="102"/>
        <v>697659.54</v>
      </c>
      <c r="BT254" s="194">
        <v>618950.6399999999</v>
      </c>
      <c r="BU254" s="194"/>
      <c r="BV254" s="348">
        <f t="shared" si="107"/>
        <v>618950.6399999999</v>
      </c>
      <c r="BW254" s="195">
        <f t="shared" si="103"/>
        <v>369934.95999999996</v>
      </c>
      <c r="BX254" s="157" t="str">
        <f t="shared" si="108"/>
        <v>0</v>
      </c>
      <c r="BY254" s="157">
        <f>IF(E254*$CJ$10*'Year 7 Payments'!$L$20*IF(B254="",1,0.8)&lt;=(BW254-(J254*350)),E254*$CJ$10*'Year 7 Payments'!$L$20*IF(B254="",1,0.8),BW254-(IF(B254="",1,0.8)*J254*350))</f>
        <v>323353.74263111118</v>
      </c>
      <c r="BZ254" s="157" t="str">
        <f t="shared" si="109"/>
        <v>0</v>
      </c>
      <c r="CA254" s="157">
        <f t="shared" si="110"/>
        <v>46581.217368888785</v>
      </c>
      <c r="CB254" s="157">
        <f t="shared" si="111"/>
        <v>0</v>
      </c>
      <c r="CC254" s="157">
        <f t="shared" si="112"/>
        <v>186324.86947555514</v>
      </c>
      <c r="CD254" s="201">
        <f t="shared" si="113"/>
        <v>0</v>
      </c>
      <c r="CE254" s="155">
        <f t="shared" si="114"/>
        <v>46581.217368888785</v>
      </c>
    </row>
    <row r="255" spans="1:83" x14ac:dyDescent="0.2">
      <c r="A255" s="147" t="s">
        <v>726</v>
      </c>
      <c r="B255" s="57"/>
      <c r="C255" s="57" t="s">
        <v>443</v>
      </c>
      <c r="D255" s="148" t="s">
        <v>283</v>
      </c>
      <c r="E255" s="197">
        <v>83909.555555555562</v>
      </c>
      <c r="F255" s="147">
        <f t="shared" si="104"/>
        <v>105737</v>
      </c>
      <c r="G255" s="342">
        <v>583</v>
      </c>
      <c r="H255" s="149">
        <f t="shared" si="89"/>
        <v>1785</v>
      </c>
      <c r="I255" s="346">
        <v>1077.0284444444444</v>
      </c>
      <c r="J255" s="150">
        <v>102</v>
      </c>
      <c r="K255"/>
      <c r="L255" s="151">
        <v>34217</v>
      </c>
      <c r="M255" s="151">
        <v>34415</v>
      </c>
      <c r="N255" s="151">
        <v>22753</v>
      </c>
      <c r="O255" s="151">
        <v>9372</v>
      </c>
      <c r="P255" s="151">
        <v>3124</v>
      </c>
      <c r="Q255" s="151">
        <v>1388</v>
      </c>
      <c r="R255" s="151">
        <v>435</v>
      </c>
      <c r="S255" s="151">
        <v>33</v>
      </c>
      <c r="T255" s="151">
        <v>105737</v>
      </c>
      <c r="U255" s="147"/>
      <c r="V255" s="152">
        <f t="shared" si="105"/>
        <v>0.32360479302420153</v>
      </c>
      <c r="W255" s="152">
        <f t="shared" si="90"/>
        <v>0.3254773636475406</v>
      </c>
      <c r="X255" s="152">
        <f t="shared" si="91"/>
        <v>0.21518484541834931</v>
      </c>
      <c r="Y255" s="152">
        <f t="shared" si="92"/>
        <v>8.8635009504714521E-2</v>
      </c>
      <c r="Z255" s="152">
        <f t="shared" si="93"/>
        <v>2.9545003168238177E-2</v>
      </c>
      <c r="AA255" s="152">
        <f t="shared" si="94"/>
        <v>1.3126909218154478E-2</v>
      </c>
      <c r="AB255" s="152">
        <f t="shared" si="95"/>
        <v>4.1139809149115256E-3</v>
      </c>
      <c r="AC255" s="152">
        <f t="shared" si="96"/>
        <v>3.120951038898399E-4</v>
      </c>
      <c r="AD255" s="152"/>
      <c r="AE255" s="221">
        <v>736</v>
      </c>
      <c r="AF255" s="221">
        <v>430</v>
      </c>
      <c r="AG255" s="221">
        <v>369</v>
      </c>
      <c r="AH255" s="221">
        <v>93</v>
      </c>
      <c r="AI255" s="221">
        <v>123</v>
      </c>
      <c r="AJ255" s="221">
        <v>2</v>
      </c>
      <c r="AK255" s="221">
        <v>-1</v>
      </c>
      <c r="AL255" s="221">
        <v>0</v>
      </c>
      <c r="AM255" s="221">
        <v>1752</v>
      </c>
      <c r="AN255" s="147"/>
      <c r="AO255" s="221">
        <v>-39</v>
      </c>
      <c r="AP255" s="221">
        <v>-6</v>
      </c>
      <c r="AQ255" s="221">
        <v>-11</v>
      </c>
      <c r="AR255" s="221">
        <v>11</v>
      </c>
      <c r="AS255" s="221">
        <v>12</v>
      </c>
      <c r="AT255" s="221">
        <v>1</v>
      </c>
      <c r="AU255" s="221">
        <v>-1</v>
      </c>
      <c r="AV255" s="221">
        <v>0</v>
      </c>
      <c r="AW255" s="221">
        <v>-33</v>
      </c>
      <c r="AX255" s="56">
        <f t="shared" si="116"/>
        <v>39</v>
      </c>
      <c r="AY255" s="56">
        <f t="shared" si="116"/>
        <v>6</v>
      </c>
      <c r="AZ255" s="56">
        <f t="shared" si="116"/>
        <v>11</v>
      </c>
      <c r="BA255" s="56">
        <f t="shared" si="116"/>
        <v>-11</v>
      </c>
      <c r="BB255" s="56">
        <f t="shared" si="116"/>
        <v>-12</v>
      </c>
      <c r="BC255" s="56">
        <f t="shared" si="116"/>
        <v>-1</v>
      </c>
      <c r="BD255" s="56">
        <f t="shared" si="115"/>
        <v>1</v>
      </c>
      <c r="BE255" s="56">
        <f t="shared" si="115"/>
        <v>0</v>
      </c>
      <c r="BF255" s="56">
        <f t="shared" si="115"/>
        <v>33</v>
      </c>
      <c r="BH255">
        <f t="shared" si="97"/>
        <v>1</v>
      </c>
      <c r="BI255">
        <f t="shared" si="106"/>
        <v>0</v>
      </c>
      <c r="BJ255" s="154">
        <v>793010.22</v>
      </c>
      <c r="BK255" s="155">
        <f t="shared" si="98"/>
        <v>793010.22</v>
      </c>
      <c r="BL255" s="156">
        <v>1071934.6000000001</v>
      </c>
      <c r="BM255" s="155">
        <f t="shared" si="99"/>
        <v>1071934.6000000001</v>
      </c>
      <c r="BN255" s="158">
        <v>716900.9288888888</v>
      </c>
      <c r="BO255" s="155">
        <f t="shared" si="100"/>
        <v>716900.9288888888</v>
      </c>
      <c r="BP255" s="158">
        <v>586951.46666666656</v>
      </c>
      <c r="BQ255" s="155">
        <f t="shared" si="101"/>
        <v>586951.46666666656</v>
      </c>
      <c r="BR255" s="158">
        <v>1172989.4399999999</v>
      </c>
      <c r="BS255" s="155">
        <f t="shared" si="102"/>
        <v>1172989.4399999999</v>
      </c>
      <c r="BT255" s="194">
        <v>1616378.6177777778</v>
      </c>
      <c r="BU255" s="194"/>
      <c r="BV255" s="348">
        <f t="shared" si="107"/>
        <v>1616378.6177777778</v>
      </c>
      <c r="BW255" s="195">
        <f t="shared" si="103"/>
        <v>2196458.4266666663</v>
      </c>
      <c r="BX255" s="157" t="str">
        <f t="shared" si="108"/>
        <v>0</v>
      </c>
      <c r="BY255" s="157">
        <f>IF(E255*$CJ$10*'Year 7 Payments'!$L$20*IF(B255="",1,0.8)&lt;=(BW255-(J255*350)),E255*$CJ$10*'Year 7 Payments'!$L$20*IF(B255="",1,0.8),BW255-(IF(B255="",1,0.8)*J255*350))</f>
        <v>513378.79918222228</v>
      </c>
      <c r="BZ255" s="157" t="str">
        <f t="shared" si="109"/>
        <v>0</v>
      </c>
      <c r="CA255" s="157">
        <f t="shared" si="110"/>
        <v>1683079.6274844441</v>
      </c>
      <c r="CB255" s="157">
        <f t="shared" si="111"/>
        <v>0</v>
      </c>
      <c r="CC255" s="157">
        <f t="shared" si="112"/>
        <v>6732318.5099377763</v>
      </c>
      <c r="CD255" s="201">
        <f t="shared" si="113"/>
        <v>0</v>
      </c>
      <c r="CE255" s="155">
        <f t="shared" si="114"/>
        <v>1683079.6274844441</v>
      </c>
    </row>
    <row r="256" spans="1:83" x14ac:dyDescent="0.2">
      <c r="A256" s="147" t="s">
        <v>727</v>
      </c>
      <c r="B256" s="57"/>
      <c r="C256" s="57" t="s">
        <v>459</v>
      </c>
      <c r="D256" s="148" t="s">
        <v>284</v>
      </c>
      <c r="E256" s="197">
        <v>71893.555555555547</v>
      </c>
      <c r="F256" s="147">
        <f t="shared" si="104"/>
        <v>80093</v>
      </c>
      <c r="G256" s="342">
        <v>701</v>
      </c>
      <c r="H256" s="149">
        <f t="shared" si="89"/>
        <v>308</v>
      </c>
      <c r="I256" s="346">
        <v>0</v>
      </c>
      <c r="J256" s="150">
        <v>86</v>
      </c>
      <c r="K256"/>
      <c r="L256" s="151">
        <v>16623</v>
      </c>
      <c r="M256" s="151">
        <v>15432</v>
      </c>
      <c r="N256" s="151">
        <v>23456</v>
      </c>
      <c r="O256" s="151">
        <v>12621</v>
      </c>
      <c r="P256" s="151">
        <v>6658</v>
      </c>
      <c r="Q256" s="151">
        <v>3621</v>
      </c>
      <c r="R256" s="151">
        <v>1560</v>
      </c>
      <c r="S256" s="151">
        <v>122</v>
      </c>
      <c r="T256" s="151">
        <v>80093</v>
      </c>
      <c r="U256" s="147"/>
      <c r="V256" s="152">
        <f t="shared" si="105"/>
        <v>0.20754622751051902</v>
      </c>
      <c r="W256" s="152">
        <f t="shared" si="90"/>
        <v>0.19267601413356972</v>
      </c>
      <c r="X256" s="152">
        <f t="shared" si="91"/>
        <v>0.29285955077222731</v>
      </c>
      <c r="Y256" s="152">
        <f t="shared" si="92"/>
        <v>0.15757931404741987</v>
      </c>
      <c r="Z256" s="152">
        <f t="shared" si="93"/>
        <v>8.3128363277689687E-2</v>
      </c>
      <c r="AA256" s="152">
        <f t="shared" si="94"/>
        <v>4.5209943440750126E-2</v>
      </c>
      <c r="AB256" s="152">
        <f t="shared" si="95"/>
        <v>1.9477357571822757E-2</v>
      </c>
      <c r="AC256" s="152">
        <f t="shared" si="96"/>
        <v>1.5232292460015233E-3</v>
      </c>
      <c r="AD256" s="152"/>
      <c r="AE256" s="221">
        <v>60</v>
      </c>
      <c r="AF256" s="221">
        <v>104</v>
      </c>
      <c r="AG256" s="221">
        <v>145</v>
      </c>
      <c r="AH256" s="221">
        <v>66</v>
      </c>
      <c r="AI256" s="221">
        <v>21</v>
      </c>
      <c r="AJ256" s="221">
        <v>15</v>
      </c>
      <c r="AK256" s="221">
        <v>5</v>
      </c>
      <c r="AL256" s="221">
        <v>0</v>
      </c>
      <c r="AM256" s="221">
        <v>416</v>
      </c>
      <c r="AN256" s="147"/>
      <c r="AO256" s="221">
        <v>13</v>
      </c>
      <c r="AP256" s="221">
        <v>5</v>
      </c>
      <c r="AQ256" s="221">
        <v>9</v>
      </c>
      <c r="AR256" s="221">
        <v>17</v>
      </c>
      <c r="AS256" s="221">
        <v>18</v>
      </c>
      <c r="AT256" s="221">
        <v>30</v>
      </c>
      <c r="AU256" s="221">
        <v>14</v>
      </c>
      <c r="AV256" s="221">
        <v>2</v>
      </c>
      <c r="AW256" s="221">
        <v>108</v>
      </c>
      <c r="AX256" s="56">
        <f t="shared" si="116"/>
        <v>-13</v>
      </c>
      <c r="AY256" s="56">
        <f t="shared" si="116"/>
        <v>-5</v>
      </c>
      <c r="AZ256" s="56">
        <f t="shared" si="116"/>
        <v>-9</v>
      </c>
      <c r="BA256" s="56">
        <f t="shared" si="116"/>
        <v>-17</v>
      </c>
      <c r="BB256" s="56">
        <f t="shared" si="116"/>
        <v>-18</v>
      </c>
      <c r="BC256" s="56">
        <f t="shared" si="116"/>
        <v>-30</v>
      </c>
      <c r="BD256" s="56">
        <f t="shared" si="115"/>
        <v>-14</v>
      </c>
      <c r="BE256" s="56">
        <f t="shared" si="115"/>
        <v>-2</v>
      </c>
      <c r="BF256" s="56">
        <f t="shared" si="115"/>
        <v>-108</v>
      </c>
      <c r="BH256">
        <f t="shared" si="97"/>
        <v>1</v>
      </c>
      <c r="BI256">
        <f t="shared" si="106"/>
        <v>0</v>
      </c>
      <c r="BJ256" s="154">
        <v>210605.86</v>
      </c>
      <c r="BK256" s="155">
        <f t="shared" si="98"/>
        <v>210605.86</v>
      </c>
      <c r="BL256" s="156">
        <v>420546.51888888894</v>
      </c>
      <c r="BM256" s="155">
        <f t="shared" si="99"/>
        <v>420546.51888888894</v>
      </c>
      <c r="BN256" s="158">
        <v>731263.24111111125</v>
      </c>
      <c r="BO256" s="155">
        <f t="shared" si="100"/>
        <v>731263.24111111125</v>
      </c>
      <c r="BP256" s="158">
        <v>568349.86666666658</v>
      </c>
      <c r="BQ256" s="155">
        <f t="shared" si="101"/>
        <v>568349.86666666658</v>
      </c>
      <c r="BR256" s="158">
        <v>42146.4911111111</v>
      </c>
      <c r="BS256" s="155">
        <f t="shared" si="102"/>
        <v>42146.4911111111</v>
      </c>
      <c r="BT256" s="194">
        <v>660653.40444444434</v>
      </c>
      <c r="BU256" s="194"/>
      <c r="BV256" s="348">
        <f t="shared" si="107"/>
        <v>660653.40444444434</v>
      </c>
      <c r="BW256" s="195">
        <f t="shared" si="103"/>
        <v>399063.86222222215</v>
      </c>
      <c r="BX256" s="157" t="str">
        <f t="shared" si="108"/>
        <v>0</v>
      </c>
      <c r="BY256" s="157">
        <f>IF(E256*$CJ$10*'Year 7 Payments'!$L$20*IF(B256="",1,0.8)&lt;=(BW256-(J256*350)),E256*$CJ$10*'Year 7 Payments'!$L$20*IF(B256="",1,0.8),BW256-(IF(B256="",1,0.8)*J256*350))</f>
        <v>368963.86222222215</v>
      </c>
      <c r="BZ256" s="157" t="str">
        <f t="shared" si="109"/>
        <v>0</v>
      </c>
      <c r="CA256" s="157">
        <f t="shared" si="110"/>
        <v>30100</v>
      </c>
      <c r="CB256" s="157">
        <f t="shared" si="111"/>
        <v>0</v>
      </c>
      <c r="CC256" s="157">
        <f t="shared" si="112"/>
        <v>120400</v>
      </c>
      <c r="CD256" s="201">
        <f t="shared" si="113"/>
        <v>0</v>
      </c>
      <c r="CE256" s="155">
        <f t="shared" si="114"/>
        <v>30100</v>
      </c>
    </row>
    <row r="257" spans="1:83" x14ac:dyDescent="0.2">
      <c r="A257" s="147" t="s">
        <v>728</v>
      </c>
      <c r="B257" s="57"/>
      <c r="C257" s="57" t="s">
        <v>461</v>
      </c>
      <c r="D257" s="148" t="s">
        <v>285</v>
      </c>
      <c r="E257" s="197">
        <v>126139.44444444445</v>
      </c>
      <c r="F257" s="147">
        <f t="shared" si="104"/>
        <v>134799</v>
      </c>
      <c r="G257" s="342">
        <v>926</v>
      </c>
      <c r="H257" s="149">
        <f t="shared" si="89"/>
        <v>1324</v>
      </c>
      <c r="I257" s="346">
        <v>997.6644444444446</v>
      </c>
      <c r="J257" s="150">
        <v>343</v>
      </c>
      <c r="K257"/>
      <c r="L257" s="151">
        <v>11655</v>
      </c>
      <c r="M257" s="151">
        <v>37978</v>
      </c>
      <c r="N257" s="151">
        <v>34242</v>
      </c>
      <c r="O257" s="151">
        <v>23313</v>
      </c>
      <c r="P257" s="151">
        <v>16368</v>
      </c>
      <c r="Q257" s="151">
        <v>6392</v>
      </c>
      <c r="R257" s="151">
        <v>4216</v>
      </c>
      <c r="S257" s="151">
        <v>635</v>
      </c>
      <c r="T257" s="151">
        <v>134799</v>
      </c>
      <c r="U257" s="147"/>
      <c r="V257" s="152">
        <f t="shared" si="105"/>
        <v>8.6462065742327468E-2</v>
      </c>
      <c r="W257" s="152">
        <f t="shared" si="90"/>
        <v>0.28173799508898434</v>
      </c>
      <c r="X257" s="152">
        <f t="shared" si="91"/>
        <v>0.25402265595442103</v>
      </c>
      <c r="Y257" s="152">
        <f t="shared" si="92"/>
        <v>0.17294638684263236</v>
      </c>
      <c r="Z257" s="152">
        <f t="shared" si="93"/>
        <v>0.12142523312487481</v>
      </c>
      <c r="AA257" s="152">
        <f t="shared" si="94"/>
        <v>4.7418749397250722E-2</v>
      </c>
      <c r="AB257" s="152">
        <f t="shared" si="95"/>
        <v>3.1276196410952604E-2</v>
      </c>
      <c r="AC257" s="152">
        <f t="shared" si="96"/>
        <v>4.7107174385566655E-3</v>
      </c>
      <c r="AD257" s="152"/>
      <c r="AE257" s="221">
        <v>-31</v>
      </c>
      <c r="AF257" s="221">
        <v>30</v>
      </c>
      <c r="AG257" s="221">
        <v>131</v>
      </c>
      <c r="AH257" s="221">
        <v>378</v>
      </c>
      <c r="AI257" s="221">
        <v>482</v>
      </c>
      <c r="AJ257" s="221">
        <v>180</v>
      </c>
      <c r="AK257" s="221">
        <v>122</v>
      </c>
      <c r="AL257" s="221">
        <v>28</v>
      </c>
      <c r="AM257" s="221">
        <v>1320</v>
      </c>
      <c r="AN257" s="147"/>
      <c r="AO257" s="221">
        <v>-64</v>
      </c>
      <c r="AP257" s="221">
        <v>-121</v>
      </c>
      <c r="AQ257" s="221">
        <v>44</v>
      </c>
      <c r="AR257" s="221">
        <v>39</v>
      </c>
      <c r="AS257" s="221">
        <v>7</v>
      </c>
      <c r="AT257" s="221">
        <v>22</v>
      </c>
      <c r="AU257" s="221">
        <v>49</v>
      </c>
      <c r="AV257" s="221">
        <v>20</v>
      </c>
      <c r="AW257" s="221">
        <v>-4</v>
      </c>
      <c r="AX257" s="56">
        <f t="shared" si="116"/>
        <v>64</v>
      </c>
      <c r="AY257" s="56">
        <f t="shared" si="116"/>
        <v>121</v>
      </c>
      <c r="AZ257" s="56">
        <f t="shared" si="116"/>
        <v>-44</v>
      </c>
      <c r="BA257" s="56">
        <f t="shared" ref="BA257:BF303" si="117">AR257*$AW$3</f>
        <v>-39</v>
      </c>
      <c r="BB257" s="56">
        <f t="shared" si="117"/>
        <v>-7</v>
      </c>
      <c r="BC257" s="56">
        <f t="shared" si="117"/>
        <v>-22</v>
      </c>
      <c r="BD257" s="56">
        <f t="shared" si="115"/>
        <v>-49</v>
      </c>
      <c r="BE257" s="56">
        <f t="shared" si="115"/>
        <v>-20</v>
      </c>
      <c r="BF257" s="56">
        <f t="shared" si="115"/>
        <v>4</v>
      </c>
      <c r="BH257">
        <f t="shared" si="97"/>
        <v>1</v>
      </c>
      <c r="BI257">
        <f t="shared" si="106"/>
        <v>0</v>
      </c>
      <c r="BJ257" s="154">
        <v>2590116.2599999998</v>
      </c>
      <c r="BK257" s="155">
        <f t="shared" si="98"/>
        <v>2590116.2599999998</v>
      </c>
      <c r="BL257" s="156">
        <v>2591675.3944444442</v>
      </c>
      <c r="BM257" s="155">
        <f t="shared" si="99"/>
        <v>2591675.3944444442</v>
      </c>
      <c r="BN257" s="158">
        <v>2879364.8411111115</v>
      </c>
      <c r="BO257" s="155">
        <f t="shared" si="100"/>
        <v>2879364.8411111115</v>
      </c>
      <c r="BP257" s="158">
        <v>2784094.8</v>
      </c>
      <c r="BQ257" s="155">
        <f t="shared" si="101"/>
        <v>2784094.8</v>
      </c>
      <c r="BR257" s="158">
        <v>2264801.7999999998</v>
      </c>
      <c r="BS257" s="155">
        <f t="shared" si="102"/>
        <v>2264801.7999999998</v>
      </c>
      <c r="BT257" s="194">
        <v>3216821.6733333329</v>
      </c>
      <c r="BU257" s="194"/>
      <c r="BV257" s="348">
        <f t="shared" si="107"/>
        <v>3216821.6733333329</v>
      </c>
      <c r="BW257" s="195">
        <f t="shared" si="103"/>
        <v>2417789.0222222223</v>
      </c>
      <c r="BX257" s="157" t="str">
        <f t="shared" si="108"/>
        <v>0</v>
      </c>
      <c r="BY257" s="157">
        <f>IF(E257*$CJ$10*'Year 7 Payments'!$L$20*IF(B257="",1,0.8)&lt;=(BW257-(J257*350)),E257*$CJ$10*'Year 7 Payments'!$L$20*IF(B257="",1,0.8),BW257-(IF(B257="",1,0.8)*J257*350))</f>
        <v>771751.39457777771</v>
      </c>
      <c r="BZ257" s="157" t="str">
        <f t="shared" si="109"/>
        <v>0</v>
      </c>
      <c r="CA257" s="157">
        <f t="shared" si="110"/>
        <v>1646037.6276444446</v>
      </c>
      <c r="CB257" s="157">
        <f t="shared" si="111"/>
        <v>0</v>
      </c>
      <c r="CC257" s="157">
        <f t="shared" si="112"/>
        <v>6584150.5105777783</v>
      </c>
      <c r="CD257" s="201">
        <f t="shared" si="113"/>
        <v>0</v>
      </c>
      <c r="CE257" s="155">
        <f t="shared" si="114"/>
        <v>1646037.6276444446</v>
      </c>
    </row>
    <row r="258" spans="1:83" x14ac:dyDescent="0.2">
      <c r="A258" s="147" t="s">
        <v>729</v>
      </c>
      <c r="B258" s="57" t="s">
        <v>568</v>
      </c>
      <c r="C258" s="57" t="s">
        <v>443</v>
      </c>
      <c r="D258" s="148" t="s">
        <v>286</v>
      </c>
      <c r="E258" s="197">
        <v>45773.222222222226</v>
      </c>
      <c r="F258" s="147">
        <f t="shared" si="104"/>
        <v>42063</v>
      </c>
      <c r="G258" s="342">
        <v>220</v>
      </c>
      <c r="H258" s="149">
        <f t="shared" si="89"/>
        <v>287</v>
      </c>
      <c r="I258" s="346">
        <v>116.79599999999994</v>
      </c>
      <c r="J258" s="150">
        <v>118</v>
      </c>
      <c r="K258"/>
      <c r="L258" s="151">
        <v>440</v>
      </c>
      <c r="M258" s="151">
        <v>1621</v>
      </c>
      <c r="N258" s="151">
        <v>8777</v>
      </c>
      <c r="O258" s="151">
        <v>14492</v>
      </c>
      <c r="P258" s="151">
        <v>9961</v>
      </c>
      <c r="Q258" s="151">
        <v>4561</v>
      </c>
      <c r="R258" s="151">
        <v>2102</v>
      </c>
      <c r="S258" s="151">
        <v>109</v>
      </c>
      <c r="T258" s="151">
        <v>42063</v>
      </c>
      <c r="U258" s="147"/>
      <c r="V258" s="152">
        <f t="shared" si="105"/>
        <v>1.0460499726600575E-2</v>
      </c>
      <c r="W258" s="152">
        <f t="shared" si="90"/>
        <v>3.8537431947317118E-2</v>
      </c>
      <c r="X258" s="152">
        <f t="shared" si="91"/>
        <v>0.20866319568266647</v>
      </c>
      <c r="Y258" s="152">
        <f t="shared" si="92"/>
        <v>0.34453082281339897</v>
      </c>
      <c r="Z258" s="152">
        <f t="shared" si="93"/>
        <v>0.23681144949242802</v>
      </c>
      <c r="AA258" s="152">
        <f t="shared" si="94"/>
        <v>0.10843258921142096</v>
      </c>
      <c r="AB258" s="152">
        <f t="shared" si="95"/>
        <v>4.9972660057532751E-2</v>
      </c>
      <c r="AC258" s="152">
        <f t="shared" si="96"/>
        <v>2.5913510686351427E-3</v>
      </c>
      <c r="AD258" s="152"/>
      <c r="AE258" s="221">
        <v>8</v>
      </c>
      <c r="AF258" s="221">
        <v>6</v>
      </c>
      <c r="AG258" s="221">
        <v>129</v>
      </c>
      <c r="AH258" s="221">
        <v>70</v>
      </c>
      <c r="AI258" s="221">
        <v>42</v>
      </c>
      <c r="AJ258" s="221">
        <v>25</v>
      </c>
      <c r="AK258" s="221">
        <v>36</v>
      </c>
      <c r="AL258" s="221">
        <v>0</v>
      </c>
      <c r="AM258" s="221">
        <v>316</v>
      </c>
      <c r="AN258" s="147"/>
      <c r="AO258" s="221">
        <v>-1</v>
      </c>
      <c r="AP258" s="221">
        <v>0</v>
      </c>
      <c r="AQ258" s="221">
        <v>-15</v>
      </c>
      <c r="AR258" s="221">
        <v>23</v>
      </c>
      <c r="AS258" s="221">
        <v>3</v>
      </c>
      <c r="AT258" s="221">
        <v>11</v>
      </c>
      <c r="AU258" s="221">
        <v>7</v>
      </c>
      <c r="AV258" s="221">
        <v>1</v>
      </c>
      <c r="AW258" s="221">
        <v>29</v>
      </c>
      <c r="AX258" s="56">
        <f t="shared" ref="AX258:BC321" si="118">AO258*$AW$3</f>
        <v>1</v>
      </c>
      <c r="AY258" s="56">
        <f t="shared" si="118"/>
        <v>0</v>
      </c>
      <c r="AZ258" s="56">
        <f t="shared" si="118"/>
        <v>15</v>
      </c>
      <c r="BA258" s="56">
        <f t="shared" si="117"/>
        <v>-23</v>
      </c>
      <c r="BB258" s="56">
        <f t="shared" si="117"/>
        <v>-3</v>
      </c>
      <c r="BC258" s="56">
        <f t="shared" si="117"/>
        <v>-11</v>
      </c>
      <c r="BD258" s="56">
        <f t="shared" si="115"/>
        <v>-7</v>
      </c>
      <c r="BE258" s="56">
        <f t="shared" si="115"/>
        <v>-1</v>
      </c>
      <c r="BF258" s="56">
        <f t="shared" si="115"/>
        <v>-29</v>
      </c>
      <c r="BH258">
        <f t="shared" si="97"/>
        <v>0.8</v>
      </c>
      <c r="BI258">
        <f t="shared" si="106"/>
        <v>0.19999999999999996</v>
      </c>
      <c r="BJ258" s="154">
        <v>230275.20000000001</v>
      </c>
      <c r="BK258" s="155">
        <f t="shared" si="98"/>
        <v>230275.20000000001</v>
      </c>
      <c r="BL258" s="156">
        <v>310417.96088888886</v>
      </c>
      <c r="BM258" s="155">
        <f t="shared" si="99"/>
        <v>310417.96088888886</v>
      </c>
      <c r="BN258" s="158">
        <v>355381.85422222223</v>
      </c>
      <c r="BO258" s="155">
        <f t="shared" si="100"/>
        <v>355381.85422222223</v>
      </c>
      <c r="BP258" s="158">
        <v>322520.42666666664</v>
      </c>
      <c r="BQ258" s="155">
        <f t="shared" si="101"/>
        <v>322520.42666666664</v>
      </c>
      <c r="BR258" s="158">
        <v>345809.87022222229</v>
      </c>
      <c r="BS258" s="155">
        <f t="shared" si="102"/>
        <v>345809.87022222229</v>
      </c>
      <c r="BT258" s="194">
        <v>331225.1537777778</v>
      </c>
      <c r="BU258" s="194"/>
      <c r="BV258" s="348">
        <f t="shared" si="107"/>
        <v>331225.1537777778</v>
      </c>
      <c r="BW258" s="195">
        <f t="shared" si="103"/>
        <v>399998.43911111116</v>
      </c>
      <c r="BX258" s="157">
        <f t="shared" si="108"/>
        <v>99999.60977777779</v>
      </c>
      <c r="BY258" s="157">
        <f>IF(E258*$CJ$10*'Year 7 Payments'!$L$20*IF(B258="",1,0.8)&lt;=(BW258-(J258*350)),E258*$CJ$10*'Year 7 Payments'!$L$20*IF(B258="",1,0.8),BW258-(IF(B258="",1,0.8)*J258*350))</f>
        <v>224041.24730311113</v>
      </c>
      <c r="BZ258" s="157">
        <f t="shared" si="109"/>
        <v>56010.311825777782</v>
      </c>
      <c r="CA258" s="157">
        <f t="shared" si="110"/>
        <v>175957.19180800003</v>
      </c>
      <c r="CB258" s="157">
        <f t="shared" si="111"/>
        <v>43989.297952000008</v>
      </c>
      <c r="CC258" s="157">
        <f t="shared" si="112"/>
        <v>703828.76723200013</v>
      </c>
      <c r="CD258" s="201">
        <f t="shared" si="113"/>
        <v>175957.19180800003</v>
      </c>
      <c r="CE258" s="155">
        <f t="shared" si="114"/>
        <v>175957.19180800003</v>
      </c>
    </row>
    <row r="259" spans="1:83" x14ac:dyDescent="0.2">
      <c r="A259" s="147" t="s">
        <v>730</v>
      </c>
      <c r="B259" s="57" t="s">
        <v>500</v>
      </c>
      <c r="C259" s="57" t="s">
        <v>459</v>
      </c>
      <c r="D259" s="148" t="s">
        <v>287</v>
      </c>
      <c r="E259" s="197">
        <v>70437.222222222219</v>
      </c>
      <c r="F259" s="147">
        <f t="shared" si="104"/>
        <v>59981</v>
      </c>
      <c r="G259" s="342">
        <v>247</v>
      </c>
      <c r="H259" s="149">
        <f t="shared" si="89"/>
        <v>315</v>
      </c>
      <c r="I259" s="346">
        <v>92.473333333333358</v>
      </c>
      <c r="J259" s="150">
        <v>101</v>
      </c>
      <c r="K259"/>
      <c r="L259" s="151">
        <v>908</v>
      </c>
      <c r="M259" s="151">
        <v>3057</v>
      </c>
      <c r="N259" s="151">
        <v>9480</v>
      </c>
      <c r="O259" s="151">
        <v>15996</v>
      </c>
      <c r="P259" s="151">
        <v>12693</v>
      </c>
      <c r="Q259" s="151">
        <v>9053</v>
      </c>
      <c r="R259" s="151">
        <v>7549</v>
      </c>
      <c r="S259" s="151">
        <v>1245</v>
      </c>
      <c r="T259" s="151">
        <v>59981</v>
      </c>
      <c r="U259" s="147"/>
      <c r="V259" s="152">
        <f t="shared" si="105"/>
        <v>1.5138127073573298E-2</v>
      </c>
      <c r="W259" s="152">
        <f t="shared" si="90"/>
        <v>5.0966139277437858E-2</v>
      </c>
      <c r="X259" s="152">
        <f t="shared" si="91"/>
        <v>0.15805004918224105</v>
      </c>
      <c r="Y259" s="152">
        <f t="shared" si="92"/>
        <v>0.26668445007585734</v>
      </c>
      <c r="Z259" s="152">
        <f t="shared" si="93"/>
        <v>0.21161701205381706</v>
      </c>
      <c r="AA259" s="152">
        <f t="shared" si="94"/>
        <v>0.15093112819059368</v>
      </c>
      <c r="AB259" s="152">
        <f t="shared" si="95"/>
        <v>0.12585652123172339</v>
      </c>
      <c r="AC259" s="152">
        <f t="shared" si="96"/>
        <v>2.0756572914756341E-2</v>
      </c>
      <c r="AD259" s="152"/>
      <c r="AE259" s="221">
        <v>18</v>
      </c>
      <c r="AF259" s="221">
        <v>35</v>
      </c>
      <c r="AG259" s="221">
        <v>130</v>
      </c>
      <c r="AH259" s="221">
        <v>23</v>
      </c>
      <c r="AI259" s="221">
        <v>70</v>
      </c>
      <c r="AJ259" s="221">
        <v>44</v>
      </c>
      <c r="AK259" s="221">
        <v>51</v>
      </c>
      <c r="AL259" s="221">
        <v>19</v>
      </c>
      <c r="AM259" s="221">
        <v>390</v>
      </c>
      <c r="AN259" s="147"/>
      <c r="AO259" s="221">
        <v>20</v>
      </c>
      <c r="AP259" s="221">
        <v>11</v>
      </c>
      <c r="AQ259" s="221">
        <v>0</v>
      </c>
      <c r="AR259" s="221">
        <v>16</v>
      </c>
      <c r="AS259" s="221">
        <v>17</v>
      </c>
      <c r="AT259" s="221">
        <v>9</v>
      </c>
      <c r="AU259" s="221">
        <v>0</v>
      </c>
      <c r="AV259" s="221">
        <v>2</v>
      </c>
      <c r="AW259" s="221">
        <v>75</v>
      </c>
      <c r="AX259" s="56">
        <f t="shared" si="118"/>
        <v>-20</v>
      </c>
      <c r="AY259" s="56">
        <f t="shared" si="118"/>
        <v>-11</v>
      </c>
      <c r="AZ259" s="56">
        <f t="shared" si="118"/>
        <v>0</v>
      </c>
      <c r="BA259" s="56">
        <f t="shared" si="117"/>
        <v>-16</v>
      </c>
      <c r="BB259" s="56">
        <f t="shared" si="117"/>
        <v>-17</v>
      </c>
      <c r="BC259" s="56">
        <f t="shared" si="117"/>
        <v>-9</v>
      </c>
      <c r="BD259" s="56">
        <f t="shared" si="115"/>
        <v>0</v>
      </c>
      <c r="BE259" s="56">
        <f t="shared" si="115"/>
        <v>-2</v>
      </c>
      <c r="BF259" s="56">
        <f t="shared" si="115"/>
        <v>-75</v>
      </c>
      <c r="BH259">
        <f t="shared" si="97"/>
        <v>0.8</v>
      </c>
      <c r="BI259">
        <f t="shared" si="106"/>
        <v>0.19999999999999996</v>
      </c>
      <c r="BJ259" s="154">
        <v>391467.84</v>
      </c>
      <c r="BK259" s="155">
        <f t="shared" si="98"/>
        <v>391467.84</v>
      </c>
      <c r="BL259" s="156">
        <v>552454.08533333323</v>
      </c>
      <c r="BM259" s="155">
        <f t="shared" si="99"/>
        <v>552454.08533333323</v>
      </c>
      <c r="BN259" s="158">
        <v>620392.57333333325</v>
      </c>
      <c r="BO259" s="155">
        <f t="shared" si="100"/>
        <v>620392.57333333325</v>
      </c>
      <c r="BP259" s="158">
        <v>790169.38666666672</v>
      </c>
      <c r="BQ259" s="155">
        <f t="shared" si="101"/>
        <v>790169.38666666672</v>
      </c>
      <c r="BR259" s="158">
        <v>639304.83733333333</v>
      </c>
      <c r="BS259" s="155">
        <f t="shared" si="102"/>
        <v>639304.83733333333</v>
      </c>
      <c r="BT259" s="194">
        <v>533152.2684444444</v>
      </c>
      <c r="BU259" s="194"/>
      <c r="BV259" s="348">
        <f t="shared" si="107"/>
        <v>533152.2684444444</v>
      </c>
      <c r="BW259" s="195">
        <f t="shared" si="103"/>
        <v>486196.27377777779</v>
      </c>
      <c r="BX259" s="157">
        <f t="shared" si="108"/>
        <v>121549.06844444445</v>
      </c>
      <c r="BY259" s="157">
        <f>IF(E259*$CJ$10*'Year 7 Payments'!$L$20*IF(B259="",1,0.8)&lt;=(BW259-(J259*350)),E259*$CJ$10*'Year 7 Payments'!$L$20*IF(B259="",1,0.8),BW259-(IF(B259="",1,0.8)*J259*350))</f>
        <v>344761.46439111116</v>
      </c>
      <c r="BZ259" s="157">
        <f t="shared" si="109"/>
        <v>86190.366097777791</v>
      </c>
      <c r="CA259" s="157">
        <f t="shared" si="110"/>
        <v>141434.80938666663</v>
      </c>
      <c r="CB259" s="157">
        <f t="shared" si="111"/>
        <v>35358.702346666658</v>
      </c>
      <c r="CC259" s="157">
        <f t="shared" si="112"/>
        <v>565739.23754666653</v>
      </c>
      <c r="CD259" s="201">
        <f t="shared" si="113"/>
        <v>141434.80938666663</v>
      </c>
      <c r="CE259" s="155">
        <f t="shared" si="114"/>
        <v>141434.80938666663</v>
      </c>
    </row>
    <row r="260" spans="1:83" x14ac:dyDescent="0.2">
      <c r="A260" s="147" t="s">
        <v>731</v>
      </c>
      <c r="B260" s="57" t="s">
        <v>458</v>
      </c>
      <c r="C260" s="57" t="s">
        <v>459</v>
      </c>
      <c r="D260" s="148" t="s">
        <v>288</v>
      </c>
      <c r="E260" s="197">
        <v>43863.444444444445</v>
      </c>
      <c r="F260" s="147">
        <f t="shared" si="104"/>
        <v>48361</v>
      </c>
      <c r="G260" s="342">
        <v>265</v>
      </c>
      <c r="H260" s="149">
        <f t="shared" si="89"/>
        <v>486</v>
      </c>
      <c r="I260" s="346">
        <v>268.10177777777778</v>
      </c>
      <c r="J260" s="150">
        <v>107</v>
      </c>
      <c r="K260"/>
      <c r="L260" s="151">
        <v>5452</v>
      </c>
      <c r="M260" s="151">
        <v>17784</v>
      </c>
      <c r="N260" s="151">
        <v>9622</v>
      </c>
      <c r="O260" s="151">
        <v>7394</v>
      </c>
      <c r="P260" s="151">
        <v>4490</v>
      </c>
      <c r="Q260" s="151">
        <v>1974</v>
      </c>
      <c r="R260" s="151">
        <v>1511</v>
      </c>
      <c r="S260" s="151">
        <v>134</v>
      </c>
      <c r="T260" s="151">
        <v>48361</v>
      </c>
      <c r="U260" s="147"/>
      <c r="V260" s="152">
        <f t="shared" si="105"/>
        <v>0.11273546866276545</v>
      </c>
      <c r="W260" s="152">
        <f t="shared" si="90"/>
        <v>0.36773433138272577</v>
      </c>
      <c r="X260" s="152">
        <f t="shared" si="91"/>
        <v>0.19896197349103617</v>
      </c>
      <c r="Y260" s="152">
        <f t="shared" si="92"/>
        <v>0.15289179297367714</v>
      </c>
      <c r="Z260" s="152">
        <f t="shared" si="93"/>
        <v>9.2843406877442566E-2</v>
      </c>
      <c r="AA260" s="152">
        <f t="shared" si="94"/>
        <v>4.0818014515828872E-2</v>
      </c>
      <c r="AB260" s="152">
        <f t="shared" si="95"/>
        <v>3.1244184363433344E-2</v>
      </c>
      <c r="AC260" s="152">
        <f t="shared" si="96"/>
        <v>2.7708277330907136E-3</v>
      </c>
      <c r="AD260" s="152"/>
      <c r="AE260" s="221">
        <v>94</v>
      </c>
      <c r="AF260" s="221">
        <v>111</v>
      </c>
      <c r="AG260" s="221">
        <v>114</v>
      </c>
      <c r="AH260" s="221">
        <v>46</v>
      </c>
      <c r="AI260" s="221">
        <v>54</v>
      </c>
      <c r="AJ260" s="221">
        <v>28</v>
      </c>
      <c r="AK260" s="221">
        <v>5</v>
      </c>
      <c r="AL260" s="221">
        <v>1</v>
      </c>
      <c r="AM260" s="221">
        <v>453</v>
      </c>
      <c r="AN260" s="147"/>
      <c r="AO260" s="221">
        <v>-15</v>
      </c>
      <c r="AP260" s="221">
        <v>2</v>
      </c>
      <c r="AQ260" s="221">
        <v>-4</v>
      </c>
      <c r="AR260" s="221">
        <v>-11</v>
      </c>
      <c r="AS260" s="221">
        <v>-1</v>
      </c>
      <c r="AT260" s="221">
        <v>1</v>
      </c>
      <c r="AU260" s="221">
        <v>-7</v>
      </c>
      <c r="AV260" s="221">
        <v>2</v>
      </c>
      <c r="AW260" s="221">
        <v>-33</v>
      </c>
      <c r="AX260" s="56">
        <f t="shared" si="118"/>
        <v>15</v>
      </c>
      <c r="AY260" s="56">
        <f t="shared" si="118"/>
        <v>-2</v>
      </c>
      <c r="AZ260" s="56">
        <f t="shared" si="118"/>
        <v>4</v>
      </c>
      <c r="BA260" s="56">
        <f t="shared" si="117"/>
        <v>11</v>
      </c>
      <c r="BB260" s="56">
        <f t="shared" si="117"/>
        <v>1</v>
      </c>
      <c r="BC260" s="56">
        <f t="shared" si="117"/>
        <v>-1</v>
      </c>
      <c r="BD260" s="56">
        <f t="shared" si="115"/>
        <v>7</v>
      </c>
      <c r="BE260" s="56">
        <f t="shared" si="115"/>
        <v>-2</v>
      </c>
      <c r="BF260" s="56">
        <f t="shared" si="115"/>
        <v>33</v>
      </c>
      <c r="BH260">
        <f t="shared" si="97"/>
        <v>0.8</v>
      </c>
      <c r="BI260">
        <f t="shared" si="106"/>
        <v>0.19999999999999996</v>
      </c>
      <c r="BJ260" s="154">
        <v>267503.02399999998</v>
      </c>
      <c r="BK260" s="155">
        <f t="shared" si="98"/>
        <v>267503.02399999998</v>
      </c>
      <c r="BL260" s="156">
        <v>291493.29600000003</v>
      </c>
      <c r="BM260" s="155">
        <f t="shared" si="99"/>
        <v>291493.29600000003</v>
      </c>
      <c r="BN260" s="158">
        <v>179501.32088888893</v>
      </c>
      <c r="BO260" s="155">
        <f t="shared" si="100"/>
        <v>179501.32088888893</v>
      </c>
      <c r="BP260" s="158">
        <v>133296.53333333333</v>
      </c>
      <c r="BQ260" s="155">
        <f t="shared" si="101"/>
        <v>133296.53333333333</v>
      </c>
      <c r="BR260" s="158">
        <v>347291.1875555556</v>
      </c>
      <c r="BS260" s="155">
        <f t="shared" si="102"/>
        <v>347291.1875555556</v>
      </c>
      <c r="BT260" s="194">
        <v>534935.34577777784</v>
      </c>
      <c r="BU260" s="194"/>
      <c r="BV260" s="348">
        <f t="shared" si="107"/>
        <v>534935.34577777784</v>
      </c>
      <c r="BW260" s="195">
        <f t="shared" si="103"/>
        <v>572715.8684444445</v>
      </c>
      <c r="BX260" s="157">
        <f t="shared" si="108"/>
        <v>143178.96711111112</v>
      </c>
      <c r="BY260" s="157">
        <f>IF(E260*$CJ$10*'Year 7 Payments'!$L$20*IF(B260="",1,0.8)&lt;=(BW260-(J260*350)),E260*$CJ$10*'Year 7 Payments'!$L$20*IF(B260="",1,0.8),BW260-(IF(B260="",1,0.8)*J260*350))</f>
        <v>214693.66427022225</v>
      </c>
      <c r="BZ260" s="157">
        <f t="shared" si="109"/>
        <v>53673.416067555561</v>
      </c>
      <c r="CA260" s="157">
        <f t="shared" si="110"/>
        <v>358022.20417422225</v>
      </c>
      <c r="CB260" s="157">
        <f t="shared" si="111"/>
        <v>89505.551043555563</v>
      </c>
      <c r="CC260" s="157">
        <f t="shared" si="112"/>
        <v>1432088.816696889</v>
      </c>
      <c r="CD260" s="201">
        <f t="shared" si="113"/>
        <v>358022.20417422225</v>
      </c>
      <c r="CE260" s="155">
        <f t="shared" si="114"/>
        <v>358022.20417422225</v>
      </c>
    </row>
    <row r="261" spans="1:83" x14ac:dyDescent="0.2">
      <c r="A261" s="147" t="s">
        <v>732</v>
      </c>
      <c r="B261" s="57"/>
      <c r="C261" s="57" t="s">
        <v>446</v>
      </c>
      <c r="D261" s="148" t="s">
        <v>289</v>
      </c>
      <c r="E261" s="197">
        <v>64662.555555555562</v>
      </c>
      <c r="F261" s="147">
        <f t="shared" si="104"/>
        <v>82087</v>
      </c>
      <c r="G261" s="342">
        <v>935</v>
      </c>
      <c r="H261" s="149">
        <f t="shared" si="89"/>
        <v>646</v>
      </c>
      <c r="I261" s="346">
        <v>302.9053333333332</v>
      </c>
      <c r="J261" s="150">
        <v>29</v>
      </c>
      <c r="K261"/>
      <c r="L261" s="151">
        <v>37005</v>
      </c>
      <c r="M261" s="151">
        <v>18087</v>
      </c>
      <c r="N261" s="151">
        <v>14915</v>
      </c>
      <c r="O261" s="151">
        <v>6532</v>
      </c>
      <c r="P261" s="151">
        <v>3375</v>
      </c>
      <c r="Q261" s="151">
        <v>1586</v>
      </c>
      <c r="R261" s="151">
        <v>551</v>
      </c>
      <c r="S261" s="151">
        <v>36</v>
      </c>
      <c r="T261" s="151">
        <v>82087</v>
      </c>
      <c r="U261" s="147"/>
      <c r="V261" s="152">
        <f t="shared" si="105"/>
        <v>0.45080219766832752</v>
      </c>
      <c r="W261" s="152">
        <f t="shared" si="90"/>
        <v>0.22033939600667585</v>
      </c>
      <c r="X261" s="152">
        <f t="shared" si="91"/>
        <v>0.18169746732125672</v>
      </c>
      <c r="Y261" s="152">
        <f t="shared" si="92"/>
        <v>7.9574110395068648E-2</v>
      </c>
      <c r="Z261" s="152">
        <f t="shared" si="93"/>
        <v>4.111491466371045E-2</v>
      </c>
      <c r="AA261" s="152">
        <f t="shared" si="94"/>
        <v>1.9320964342709565E-2</v>
      </c>
      <c r="AB261" s="152">
        <f t="shared" si="95"/>
        <v>6.7123905125050249E-3</v>
      </c>
      <c r="AC261" s="152">
        <f t="shared" si="96"/>
        <v>4.3855908974624482E-4</v>
      </c>
      <c r="AD261" s="152"/>
      <c r="AE261" s="221">
        <v>106</v>
      </c>
      <c r="AF261" s="221">
        <v>170</v>
      </c>
      <c r="AG261" s="221">
        <v>129</v>
      </c>
      <c r="AH261" s="221">
        <v>82</v>
      </c>
      <c r="AI261" s="221">
        <v>58</v>
      </c>
      <c r="AJ261" s="221">
        <v>11</v>
      </c>
      <c r="AK261" s="221">
        <v>3</v>
      </c>
      <c r="AL261" s="221">
        <v>0</v>
      </c>
      <c r="AM261" s="221">
        <v>559</v>
      </c>
      <c r="AN261" s="147"/>
      <c r="AO261" s="221">
        <v>-35</v>
      </c>
      <c r="AP261" s="221">
        <v>-24</v>
      </c>
      <c r="AQ261" s="221">
        <v>-23</v>
      </c>
      <c r="AR261" s="221">
        <v>-7</v>
      </c>
      <c r="AS261" s="221">
        <v>10</v>
      </c>
      <c r="AT261" s="221">
        <v>-3</v>
      </c>
      <c r="AU261" s="221">
        <v>-4</v>
      </c>
      <c r="AV261" s="221">
        <v>-1</v>
      </c>
      <c r="AW261" s="221">
        <v>-87</v>
      </c>
      <c r="AX261" s="56">
        <f t="shared" si="118"/>
        <v>35</v>
      </c>
      <c r="AY261" s="56">
        <f t="shared" si="118"/>
        <v>24</v>
      </c>
      <c r="AZ261" s="56">
        <f t="shared" si="118"/>
        <v>23</v>
      </c>
      <c r="BA261" s="56">
        <f t="shared" si="117"/>
        <v>7</v>
      </c>
      <c r="BB261" s="56">
        <f t="shared" si="117"/>
        <v>-10</v>
      </c>
      <c r="BC261" s="56">
        <f t="shared" si="117"/>
        <v>3</v>
      </c>
      <c r="BD261" s="56">
        <f t="shared" si="115"/>
        <v>4</v>
      </c>
      <c r="BE261" s="56">
        <f t="shared" si="115"/>
        <v>1</v>
      </c>
      <c r="BF261" s="56">
        <f t="shared" si="115"/>
        <v>87</v>
      </c>
      <c r="BH261">
        <f t="shared" si="97"/>
        <v>1</v>
      </c>
      <c r="BI261">
        <f t="shared" si="106"/>
        <v>0</v>
      </c>
      <c r="BJ261" s="154">
        <v>343973.58</v>
      </c>
      <c r="BK261" s="155">
        <f t="shared" si="98"/>
        <v>343973.58</v>
      </c>
      <c r="BL261" s="156">
        <v>354663.64222222223</v>
      </c>
      <c r="BM261" s="155">
        <f t="shared" si="99"/>
        <v>354663.64222222223</v>
      </c>
      <c r="BN261" s="158">
        <v>667690.26</v>
      </c>
      <c r="BO261" s="155">
        <f t="shared" si="100"/>
        <v>667690.26</v>
      </c>
      <c r="BP261" s="158">
        <v>356553.59999999992</v>
      </c>
      <c r="BQ261" s="155">
        <f t="shared" si="101"/>
        <v>356553.59999999992</v>
      </c>
      <c r="BR261" s="158">
        <v>863684.48666666681</v>
      </c>
      <c r="BS261" s="155">
        <f t="shared" si="102"/>
        <v>863684.48666666681</v>
      </c>
      <c r="BT261" s="194">
        <v>842839.51111111115</v>
      </c>
      <c r="BU261" s="194"/>
      <c r="BV261" s="348">
        <f t="shared" si="107"/>
        <v>842839.51111111115</v>
      </c>
      <c r="BW261" s="195">
        <f t="shared" si="103"/>
        <v>869082.91555555561</v>
      </c>
      <c r="BX261" s="157" t="str">
        <f t="shared" si="108"/>
        <v>0</v>
      </c>
      <c r="BY261" s="157">
        <f>IF(E261*$CJ$10*'Year 7 Payments'!$L$20*IF(B261="",1,0.8)&lt;=(BW261-(J261*350)),E261*$CJ$10*'Year 7 Payments'!$L$20*IF(B261="",1,0.8),BW261-(IF(B261="",1,0.8)*J261*350))</f>
        <v>395621.03390222229</v>
      </c>
      <c r="BZ261" s="157" t="str">
        <f t="shared" si="109"/>
        <v>0</v>
      </c>
      <c r="CA261" s="157">
        <f t="shared" si="110"/>
        <v>473461.88165333332</v>
      </c>
      <c r="CB261" s="157">
        <f t="shared" si="111"/>
        <v>0</v>
      </c>
      <c r="CC261" s="157">
        <f t="shared" si="112"/>
        <v>1893847.5266133333</v>
      </c>
      <c r="CD261" s="201">
        <f t="shared" si="113"/>
        <v>0</v>
      </c>
      <c r="CE261" s="155">
        <f t="shared" si="114"/>
        <v>473461.88165333332</v>
      </c>
    </row>
    <row r="262" spans="1:83" x14ac:dyDescent="0.2">
      <c r="A262" s="147" t="s">
        <v>733</v>
      </c>
      <c r="B262" s="57" t="s">
        <v>510</v>
      </c>
      <c r="C262" s="57" t="s">
        <v>476</v>
      </c>
      <c r="D262" s="148" t="s">
        <v>290</v>
      </c>
      <c r="E262" s="197">
        <v>52883.777777777781</v>
      </c>
      <c r="F262" s="147">
        <f t="shared" si="104"/>
        <v>58657</v>
      </c>
      <c r="G262" s="342">
        <v>661</v>
      </c>
      <c r="H262" s="149">
        <f t="shared" ref="H262:H325" si="119">AM262+BF262</f>
        <v>708</v>
      </c>
      <c r="I262" s="346">
        <v>509.35377777777768</v>
      </c>
      <c r="J262" s="150">
        <v>104</v>
      </c>
      <c r="K262"/>
      <c r="L262" s="151">
        <v>11973</v>
      </c>
      <c r="M262" s="151">
        <v>13374</v>
      </c>
      <c r="N262" s="151">
        <v>13268</v>
      </c>
      <c r="O262" s="151">
        <v>9030</v>
      </c>
      <c r="P262" s="151">
        <v>6001</v>
      </c>
      <c r="Q262" s="151">
        <v>3343</v>
      </c>
      <c r="R262" s="151">
        <v>1566</v>
      </c>
      <c r="S262" s="151">
        <v>102</v>
      </c>
      <c r="T262" s="151">
        <v>58657</v>
      </c>
      <c r="U262" s="147"/>
      <c r="V262" s="152">
        <f t="shared" si="105"/>
        <v>0.20411886049405867</v>
      </c>
      <c r="W262" s="152">
        <f t="shared" ref="W262:W325" si="120">M262/T262</f>
        <v>0.2280034778457814</v>
      </c>
      <c r="X262" s="152">
        <f t="shared" ref="X262:X325" si="121">N262/T262</f>
        <v>0.22619636190054043</v>
      </c>
      <c r="Y262" s="152">
        <f t="shared" ref="Y262:Y325" si="122">O262/T262</f>
        <v>0.15394582061817003</v>
      </c>
      <c r="Z262" s="152">
        <f t="shared" ref="Z262:Z325" si="123">P262/T262</f>
        <v>0.1023066300697274</v>
      </c>
      <c r="AA262" s="152">
        <f t="shared" ref="AA262:AA325" si="124">Q262/T262</f>
        <v>5.6992345329628179E-2</v>
      </c>
      <c r="AB262" s="152">
        <f t="shared" ref="AB262:AB325" si="125">R262/T262</f>
        <v>2.6697580851390287E-2</v>
      </c>
      <c r="AC262" s="152">
        <f t="shared" ref="AC262:AC325" si="126">S262/T262</f>
        <v>1.7389228907035818E-3</v>
      </c>
      <c r="AD262" s="152"/>
      <c r="AE262" s="221">
        <v>-12</v>
      </c>
      <c r="AF262" s="221">
        <v>154</v>
      </c>
      <c r="AG262" s="221">
        <v>228</v>
      </c>
      <c r="AH262" s="221">
        <v>187</v>
      </c>
      <c r="AI262" s="221">
        <v>160</v>
      </c>
      <c r="AJ262" s="221">
        <v>50</v>
      </c>
      <c r="AK262" s="221">
        <v>12</v>
      </c>
      <c r="AL262" s="221">
        <v>1</v>
      </c>
      <c r="AM262" s="221">
        <v>780</v>
      </c>
      <c r="AN262" s="147"/>
      <c r="AO262" s="221">
        <v>-3</v>
      </c>
      <c r="AP262" s="221">
        <v>14</v>
      </c>
      <c r="AQ262" s="221">
        <v>28</v>
      </c>
      <c r="AR262" s="221">
        <v>23</v>
      </c>
      <c r="AS262" s="221">
        <v>8</v>
      </c>
      <c r="AT262" s="221">
        <v>1</v>
      </c>
      <c r="AU262" s="221">
        <v>-1</v>
      </c>
      <c r="AV262" s="221">
        <v>2</v>
      </c>
      <c r="AW262" s="221">
        <v>72</v>
      </c>
      <c r="AX262" s="56">
        <f t="shared" si="118"/>
        <v>3</v>
      </c>
      <c r="AY262" s="56">
        <f t="shared" si="118"/>
        <v>-14</v>
      </c>
      <c r="AZ262" s="56">
        <f t="shared" si="118"/>
        <v>-28</v>
      </c>
      <c r="BA262" s="56">
        <f t="shared" si="117"/>
        <v>-23</v>
      </c>
      <c r="BB262" s="56">
        <f t="shared" si="117"/>
        <v>-8</v>
      </c>
      <c r="BC262" s="56">
        <f t="shared" si="117"/>
        <v>-1</v>
      </c>
      <c r="BD262" s="56">
        <f t="shared" si="115"/>
        <v>1</v>
      </c>
      <c r="BE262" s="56">
        <f t="shared" si="115"/>
        <v>-2</v>
      </c>
      <c r="BF262" s="56">
        <f t="shared" si="115"/>
        <v>-72</v>
      </c>
      <c r="BH262">
        <f t="shared" ref="BH262:BH325" si="127">IF(B262="",1,0.8)</f>
        <v>0.8</v>
      </c>
      <c r="BI262">
        <f t="shared" si="106"/>
        <v>0.19999999999999996</v>
      </c>
      <c r="BJ262" s="154">
        <v>222215.56799999997</v>
      </c>
      <c r="BK262" s="155">
        <f t="shared" ref="BK262:BK325" si="128">BJ262</f>
        <v>222215.56799999997</v>
      </c>
      <c r="BL262" s="156">
        <v>221514.14044444441</v>
      </c>
      <c r="BM262" s="155">
        <f t="shared" ref="BM262:BM325" si="129">BL262</f>
        <v>221514.14044444441</v>
      </c>
      <c r="BN262" s="158">
        <v>325755.56</v>
      </c>
      <c r="BO262" s="155">
        <f t="shared" ref="BO262:BO325" si="130">BN262</f>
        <v>325755.56</v>
      </c>
      <c r="BP262" s="158">
        <v>569466.02666666673</v>
      </c>
      <c r="BQ262" s="155">
        <f t="shared" ref="BQ262:BQ325" si="131">BP262</f>
        <v>569466.02666666673</v>
      </c>
      <c r="BR262" s="158">
        <v>346608.78044444451</v>
      </c>
      <c r="BS262" s="155">
        <f t="shared" ref="BS262:BS325" si="132">BR262</f>
        <v>346608.78044444451</v>
      </c>
      <c r="BT262" s="194">
        <v>877840.65600000008</v>
      </c>
      <c r="BU262" s="194"/>
      <c r="BV262" s="348">
        <f t="shared" si="107"/>
        <v>877840.65600000008</v>
      </c>
      <c r="BW262" s="195">
        <f t="shared" ref="BW262:BW325" si="133">IF(B262="",1,0.8)*(IF(SUMPRODUCT($CG$10:$CN$10,AE262:AL262)+SUMPRODUCT($CG$10:$CN$10,AX262:BE262)&gt;0,SUMPRODUCT($CG$10:$CN$10,AE262:AL262)+SUMPRODUCT($CG$10:$CN$10,AX262:BE262),0)+J262*350)</f>
        <v>911234.24711111118</v>
      </c>
      <c r="BX262" s="157">
        <f t="shared" si="108"/>
        <v>227808.5617777778</v>
      </c>
      <c r="BY262" s="157">
        <f>IF(E262*$CJ$10*'Year 7 Payments'!$L$20*IF(B262="",1,0.8)&lt;=(BW262-(J262*350)),E262*$CJ$10*'Year 7 Payments'!$L$20*IF(B262="",1,0.8),BW262-(IF(B262="",1,0.8)*J262*350))</f>
        <v>258844.51564088889</v>
      </c>
      <c r="BZ262" s="157">
        <f t="shared" si="109"/>
        <v>64711.128910222222</v>
      </c>
      <c r="CA262" s="157">
        <f t="shared" si="110"/>
        <v>652389.73147022235</v>
      </c>
      <c r="CB262" s="157">
        <f t="shared" si="111"/>
        <v>163097.43286755559</v>
      </c>
      <c r="CC262" s="157">
        <f t="shared" si="112"/>
        <v>2609558.9258808894</v>
      </c>
      <c r="CD262" s="201">
        <f t="shared" si="113"/>
        <v>652389.73147022235</v>
      </c>
      <c r="CE262" s="155">
        <f t="shared" si="114"/>
        <v>652389.73147022235</v>
      </c>
    </row>
    <row r="263" spans="1:83" x14ac:dyDescent="0.2">
      <c r="A263" s="147" t="s">
        <v>734</v>
      </c>
      <c r="B263" s="57" t="s">
        <v>510</v>
      </c>
      <c r="C263" s="57" t="s">
        <v>476</v>
      </c>
      <c r="D263" s="148" t="s">
        <v>291</v>
      </c>
      <c r="E263" s="197">
        <v>38699.555555555562</v>
      </c>
      <c r="F263" s="147">
        <f t="shared" ref="F263:F326" si="134">T263</f>
        <v>43745</v>
      </c>
      <c r="G263" s="342">
        <v>621</v>
      </c>
      <c r="H263" s="149">
        <f t="shared" si="119"/>
        <v>195</v>
      </c>
      <c r="I263" s="346">
        <v>30.868444444444407</v>
      </c>
      <c r="J263" s="150">
        <v>19</v>
      </c>
      <c r="K263"/>
      <c r="L263" s="151">
        <v>9546</v>
      </c>
      <c r="M263" s="151">
        <v>10487</v>
      </c>
      <c r="N263" s="151">
        <v>10567</v>
      </c>
      <c r="O263" s="151">
        <v>6138</v>
      </c>
      <c r="P263" s="151">
        <v>4285</v>
      </c>
      <c r="Q263" s="151">
        <v>1926</v>
      </c>
      <c r="R263" s="151">
        <v>764</v>
      </c>
      <c r="S263" s="151">
        <v>32</v>
      </c>
      <c r="T263" s="151">
        <v>43745</v>
      </c>
      <c r="U263" s="147"/>
      <c r="V263" s="152">
        <f t="shared" ref="V263:V326" si="135">L263/T263</f>
        <v>0.21821922505429192</v>
      </c>
      <c r="W263" s="152">
        <f t="shared" si="120"/>
        <v>0.23973025488627273</v>
      </c>
      <c r="X263" s="152">
        <f t="shared" si="121"/>
        <v>0.2415590353183221</v>
      </c>
      <c r="Y263" s="152">
        <f t="shared" si="122"/>
        <v>0.14031317864898846</v>
      </c>
      <c r="Z263" s="152">
        <f t="shared" si="123"/>
        <v>9.7954051891644758E-2</v>
      </c>
      <c r="AA263" s="152">
        <f t="shared" si="124"/>
        <v>4.4027888901588756E-2</v>
      </c>
      <c r="AB263" s="152">
        <f t="shared" si="125"/>
        <v>1.7464853126071551E-2</v>
      </c>
      <c r="AC263" s="152">
        <f t="shared" si="126"/>
        <v>7.3151217281975083E-4</v>
      </c>
      <c r="AD263" s="152"/>
      <c r="AE263" s="221">
        <v>-7</v>
      </c>
      <c r="AF263" s="221">
        <v>48</v>
      </c>
      <c r="AG263" s="221">
        <v>14</v>
      </c>
      <c r="AH263" s="221">
        <v>27</v>
      </c>
      <c r="AI263" s="221">
        <v>35</v>
      </c>
      <c r="AJ263" s="221">
        <v>13</v>
      </c>
      <c r="AK263" s="221">
        <v>2</v>
      </c>
      <c r="AL263" s="221">
        <v>0</v>
      </c>
      <c r="AM263" s="221">
        <v>132</v>
      </c>
      <c r="AN263" s="147"/>
      <c r="AO263" s="221">
        <v>-25</v>
      </c>
      <c r="AP263" s="221">
        <v>-4</v>
      </c>
      <c r="AQ263" s="221">
        <v>-31</v>
      </c>
      <c r="AR263" s="221">
        <v>-14</v>
      </c>
      <c r="AS263" s="221">
        <v>13</v>
      </c>
      <c r="AT263" s="221">
        <v>-2</v>
      </c>
      <c r="AU263" s="221">
        <v>1</v>
      </c>
      <c r="AV263" s="221">
        <v>-1</v>
      </c>
      <c r="AW263" s="221">
        <v>-63</v>
      </c>
      <c r="AX263" s="56">
        <f t="shared" si="118"/>
        <v>25</v>
      </c>
      <c r="AY263" s="56">
        <f t="shared" si="118"/>
        <v>4</v>
      </c>
      <c r="AZ263" s="56">
        <f t="shared" si="118"/>
        <v>31</v>
      </c>
      <c r="BA263" s="56">
        <f t="shared" si="117"/>
        <v>14</v>
      </c>
      <c r="BB263" s="56">
        <f t="shared" si="117"/>
        <v>-13</v>
      </c>
      <c r="BC263" s="56">
        <f t="shared" si="117"/>
        <v>2</v>
      </c>
      <c r="BD263" s="56">
        <f t="shared" si="115"/>
        <v>-1</v>
      </c>
      <c r="BE263" s="56">
        <f t="shared" si="115"/>
        <v>1</v>
      </c>
      <c r="BF263" s="56">
        <f t="shared" si="115"/>
        <v>63</v>
      </c>
      <c r="BH263">
        <f t="shared" si="127"/>
        <v>0.8</v>
      </c>
      <c r="BI263">
        <f t="shared" ref="BI263:BI326" si="136">1-BH263</f>
        <v>0.19999999999999996</v>
      </c>
      <c r="BJ263" s="154">
        <v>209038.70933333333</v>
      </c>
      <c r="BK263" s="155">
        <f t="shared" si="128"/>
        <v>209038.70933333333</v>
      </c>
      <c r="BL263" s="156">
        <v>152868.8808888889</v>
      </c>
      <c r="BM263" s="155">
        <f t="shared" si="129"/>
        <v>152868.8808888889</v>
      </c>
      <c r="BN263" s="158">
        <v>60634.997333333333</v>
      </c>
      <c r="BO263" s="155">
        <f t="shared" si="130"/>
        <v>60634.997333333333</v>
      </c>
      <c r="BP263" s="158">
        <v>310170.13333333342</v>
      </c>
      <c r="BQ263" s="155">
        <f t="shared" si="131"/>
        <v>310170.13333333342</v>
      </c>
      <c r="BR263" s="158">
        <v>248411.92888888891</v>
      </c>
      <c r="BS263" s="155">
        <f t="shared" si="132"/>
        <v>248411.92888888891</v>
      </c>
      <c r="BT263" s="194">
        <v>283261.71377777774</v>
      </c>
      <c r="BU263" s="194"/>
      <c r="BV263" s="348">
        <f t="shared" ref="BV263:BV326" si="137">BT263+BU263</f>
        <v>283261.71377777774</v>
      </c>
      <c r="BW263" s="195">
        <f t="shared" si="133"/>
        <v>232510.64533333332</v>
      </c>
      <c r="BX263" s="157">
        <f t="shared" ref="BX263:BX326" si="138">IF($B263="","0",(25%*BW263))</f>
        <v>58127.66133333333</v>
      </c>
      <c r="BY263" s="157">
        <f>IF(E263*$CJ$10*'Year 7 Payments'!$L$20*IF(B263="",1,0.8)&lt;=(BW263-(J263*350)),E263*$CJ$10*'Year 7 Payments'!$L$20*IF(B263="",1,0.8),BW263-(IF(B263="",1,0.8)*J263*350))</f>
        <v>189418.53502577782</v>
      </c>
      <c r="BZ263" s="157">
        <f t="shared" ref="BZ263:BZ326" si="139">IF($B263="","0",(25%*BY263))</f>
        <v>47354.633756444455</v>
      </c>
      <c r="CA263" s="157">
        <f t="shared" ref="CA263:CA326" si="140">BW263-BY263</f>
        <v>43092.1103075555</v>
      </c>
      <c r="CB263" s="157">
        <f t="shared" ref="CB263:CB326" si="141">BX263-BZ263</f>
        <v>10773.027576888875</v>
      </c>
      <c r="CC263" s="157">
        <f t="shared" ref="CC263:CC326" si="142">CA263*4</f>
        <v>172368.441230222</v>
      </c>
      <c r="CD263" s="201">
        <f t="shared" ref="CD263:CD326" si="143">CB263*4</f>
        <v>43092.1103075555</v>
      </c>
      <c r="CE263" s="155">
        <f t="shared" ref="CE263:CE326" si="144">CA263</f>
        <v>43092.1103075555</v>
      </c>
    </row>
    <row r="264" spans="1:83" x14ac:dyDescent="0.2">
      <c r="A264" s="147" t="s">
        <v>735</v>
      </c>
      <c r="B264" s="57" t="s">
        <v>500</v>
      </c>
      <c r="C264" s="57" t="s">
        <v>459</v>
      </c>
      <c r="D264" s="148" t="s">
        <v>292</v>
      </c>
      <c r="E264" s="197">
        <v>33427.555555555555</v>
      </c>
      <c r="F264" s="147">
        <f t="shared" si="134"/>
        <v>36740</v>
      </c>
      <c r="G264" s="342">
        <v>90</v>
      </c>
      <c r="H264" s="149">
        <f t="shared" si="119"/>
        <v>406</v>
      </c>
      <c r="I264" s="346">
        <v>232.06755555555554</v>
      </c>
      <c r="J264" s="150">
        <v>25</v>
      </c>
      <c r="K264"/>
      <c r="L264" s="151">
        <v>1560</v>
      </c>
      <c r="M264" s="151">
        <v>6225</v>
      </c>
      <c r="N264" s="151">
        <v>21208</v>
      </c>
      <c r="O264" s="151">
        <v>3256</v>
      </c>
      <c r="P264" s="151">
        <v>3162</v>
      </c>
      <c r="Q264" s="151">
        <v>894</v>
      </c>
      <c r="R264" s="151">
        <v>420</v>
      </c>
      <c r="S264" s="151">
        <v>15</v>
      </c>
      <c r="T264" s="151">
        <v>36740</v>
      </c>
      <c r="U264" s="147"/>
      <c r="V264" s="152">
        <f t="shared" si="135"/>
        <v>4.2460533478497549E-2</v>
      </c>
      <c r="W264" s="152">
        <f t="shared" si="120"/>
        <v>0.16943385955362003</v>
      </c>
      <c r="X264" s="152">
        <f t="shared" si="121"/>
        <v>0.57724550898203597</v>
      </c>
      <c r="Y264" s="152">
        <f t="shared" si="122"/>
        <v>8.862275449101796E-2</v>
      </c>
      <c r="Z264" s="152">
        <f t="shared" si="123"/>
        <v>8.6064235166031566E-2</v>
      </c>
      <c r="AA264" s="152">
        <f t="shared" si="124"/>
        <v>2.4333151878062058E-2</v>
      </c>
      <c r="AB264" s="152">
        <f t="shared" si="125"/>
        <v>1.1431682090364725E-2</v>
      </c>
      <c r="AC264" s="152">
        <f t="shared" si="126"/>
        <v>4.0827436037016874E-4</v>
      </c>
      <c r="AD264" s="152"/>
      <c r="AE264" s="221">
        <v>32</v>
      </c>
      <c r="AF264" s="221">
        <v>106</v>
      </c>
      <c r="AG264" s="221">
        <v>134</v>
      </c>
      <c r="AH264" s="221">
        <v>41</v>
      </c>
      <c r="AI264" s="221">
        <v>55</v>
      </c>
      <c r="AJ264" s="221">
        <v>11</v>
      </c>
      <c r="AK264" s="221">
        <v>-2</v>
      </c>
      <c r="AL264" s="221">
        <v>1</v>
      </c>
      <c r="AM264" s="221">
        <v>378</v>
      </c>
      <c r="AN264" s="147"/>
      <c r="AO264" s="221">
        <v>-2</v>
      </c>
      <c r="AP264" s="221">
        <v>-26</v>
      </c>
      <c r="AQ264" s="221">
        <v>-5</v>
      </c>
      <c r="AR264" s="221">
        <v>4</v>
      </c>
      <c r="AS264" s="221">
        <v>-1</v>
      </c>
      <c r="AT264" s="221">
        <v>1</v>
      </c>
      <c r="AU264" s="221">
        <v>1</v>
      </c>
      <c r="AV264" s="221">
        <v>0</v>
      </c>
      <c r="AW264" s="221">
        <v>-28</v>
      </c>
      <c r="AX264" s="56">
        <f t="shared" si="118"/>
        <v>2</v>
      </c>
      <c r="AY264" s="56">
        <f t="shared" si="118"/>
        <v>26</v>
      </c>
      <c r="AZ264" s="56">
        <f t="shared" si="118"/>
        <v>5</v>
      </c>
      <c r="BA264" s="56">
        <f t="shared" si="117"/>
        <v>-4</v>
      </c>
      <c r="BB264" s="56">
        <f t="shared" si="117"/>
        <v>1</v>
      </c>
      <c r="BC264" s="56">
        <f t="shared" si="117"/>
        <v>-1</v>
      </c>
      <c r="BD264" s="56">
        <f t="shared" si="115"/>
        <v>-1</v>
      </c>
      <c r="BE264" s="56">
        <f t="shared" si="115"/>
        <v>0</v>
      </c>
      <c r="BF264" s="56">
        <f t="shared" si="115"/>
        <v>28</v>
      </c>
      <c r="BH264">
        <f t="shared" si="127"/>
        <v>0.8</v>
      </c>
      <c r="BI264">
        <f t="shared" si="136"/>
        <v>0.19999999999999996</v>
      </c>
      <c r="BJ264" s="154">
        <v>84562.170666666687</v>
      </c>
      <c r="BK264" s="155">
        <f t="shared" si="128"/>
        <v>84562.170666666687</v>
      </c>
      <c r="BL264" s="156">
        <v>495366.34488888888</v>
      </c>
      <c r="BM264" s="155">
        <f t="shared" si="129"/>
        <v>495366.34488888888</v>
      </c>
      <c r="BN264" s="158">
        <v>222712.88444444444</v>
      </c>
      <c r="BO264" s="155">
        <f t="shared" si="130"/>
        <v>222712.88444444444</v>
      </c>
      <c r="BP264" s="158">
        <v>218423.89333333331</v>
      </c>
      <c r="BQ264" s="155">
        <f t="shared" si="131"/>
        <v>218423.89333333331</v>
      </c>
      <c r="BR264" s="158">
        <v>240226.42666666667</v>
      </c>
      <c r="BS264" s="155">
        <f t="shared" si="132"/>
        <v>240226.42666666667</v>
      </c>
      <c r="BT264" s="194">
        <v>275660.80888888892</v>
      </c>
      <c r="BU264" s="194"/>
      <c r="BV264" s="348">
        <f t="shared" si="137"/>
        <v>275660.80888888892</v>
      </c>
      <c r="BW264" s="195">
        <f t="shared" si="133"/>
        <v>454583.24622222222</v>
      </c>
      <c r="BX264" s="157">
        <f t="shared" si="138"/>
        <v>113645.81155555556</v>
      </c>
      <c r="BY264" s="157">
        <f>IF(E264*$CJ$10*'Year 7 Payments'!$L$20*IF(B264="",1,0.8)&lt;=(BW264-(J264*350)),E264*$CJ$10*'Year 7 Payments'!$L$20*IF(B264="",1,0.8),BW264-(IF(B264="",1,0.8)*J264*350))</f>
        <v>163614.24600177779</v>
      </c>
      <c r="BZ264" s="157">
        <f t="shared" si="139"/>
        <v>40903.561500444448</v>
      </c>
      <c r="CA264" s="157">
        <f t="shared" si="140"/>
        <v>290969.0002204444</v>
      </c>
      <c r="CB264" s="157">
        <f t="shared" si="141"/>
        <v>72742.250055111101</v>
      </c>
      <c r="CC264" s="157">
        <f t="shared" si="142"/>
        <v>1163876.0008817776</v>
      </c>
      <c r="CD264" s="201">
        <f t="shared" si="143"/>
        <v>290969.0002204444</v>
      </c>
      <c r="CE264" s="155">
        <f t="shared" si="144"/>
        <v>290969.0002204444</v>
      </c>
    </row>
    <row r="265" spans="1:83" x14ac:dyDescent="0.2">
      <c r="A265" s="147" t="s">
        <v>736</v>
      </c>
      <c r="B265" s="57"/>
      <c r="C265" s="57" t="s">
        <v>446</v>
      </c>
      <c r="D265" s="148" t="s">
        <v>293</v>
      </c>
      <c r="E265" s="197">
        <v>114766.22222222223</v>
      </c>
      <c r="F265" s="147">
        <f t="shared" si="134"/>
        <v>127691</v>
      </c>
      <c r="G265" s="342">
        <v>1087</v>
      </c>
      <c r="H265" s="149">
        <f t="shared" si="119"/>
        <v>402</v>
      </c>
      <c r="I265" s="346">
        <v>0</v>
      </c>
      <c r="J265" s="150">
        <v>90</v>
      </c>
      <c r="K265"/>
      <c r="L265" s="151">
        <v>30950</v>
      </c>
      <c r="M265" s="151">
        <v>27507</v>
      </c>
      <c r="N265" s="151">
        <v>27846</v>
      </c>
      <c r="O265" s="151">
        <v>19074</v>
      </c>
      <c r="P265" s="151">
        <v>12624</v>
      </c>
      <c r="Q265" s="151">
        <v>6165</v>
      </c>
      <c r="R265" s="151">
        <v>3336</v>
      </c>
      <c r="S265" s="151">
        <v>189</v>
      </c>
      <c r="T265" s="151">
        <v>127691</v>
      </c>
      <c r="U265" s="147"/>
      <c r="V265" s="152">
        <f t="shared" si="135"/>
        <v>0.24238200029759341</v>
      </c>
      <c r="W265" s="152">
        <f t="shared" si="120"/>
        <v>0.21541847115301782</v>
      </c>
      <c r="X265" s="152">
        <f t="shared" si="121"/>
        <v>0.21807331761831295</v>
      </c>
      <c r="Y265" s="152">
        <f t="shared" si="122"/>
        <v>0.14937622855173818</v>
      </c>
      <c r="Z265" s="152">
        <f t="shared" si="123"/>
        <v>9.8863663061609666E-2</v>
      </c>
      <c r="AA265" s="152">
        <f t="shared" si="124"/>
        <v>4.8280614921960043E-2</v>
      </c>
      <c r="AB265" s="152">
        <f t="shared" si="125"/>
        <v>2.612556875582461E-2</v>
      </c>
      <c r="AC265" s="152">
        <f t="shared" si="126"/>
        <v>1.4801356399433007E-3</v>
      </c>
      <c r="AD265" s="152"/>
      <c r="AE265" s="221">
        <v>79</v>
      </c>
      <c r="AF265" s="221">
        <v>41</v>
      </c>
      <c r="AG265" s="221">
        <v>56</v>
      </c>
      <c r="AH265" s="221">
        <v>64</v>
      </c>
      <c r="AI265" s="221">
        <v>75</v>
      </c>
      <c r="AJ265" s="221">
        <v>71</v>
      </c>
      <c r="AK265" s="221">
        <v>41</v>
      </c>
      <c r="AL265" s="221">
        <v>3</v>
      </c>
      <c r="AM265" s="221">
        <v>430</v>
      </c>
      <c r="AN265" s="147"/>
      <c r="AO265" s="221">
        <v>28</v>
      </c>
      <c r="AP265" s="221">
        <v>-24</v>
      </c>
      <c r="AQ265" s="221">
        <v>-46</v>
      </c>
      <c r="AR265" s="221">
        <v>23</v>
      </c>
      <c r="AS265" s="221">
        <v>18</v>
      </c>
      <c r="AT265" s="221">
        <v>13</v>
      </c>
      <c r="AU265" s="221">
        <v>15</v>
      </c>
      <c r="AV265" s="221">
        <v>1</v>
      </c>
      <c r="AW265" s="221">
        <v>28</v>
      </c>
      <c r="AX265" s="56">
        <f t="shared" si="118"/>
        <v>-28</v>
      </c>
      <c r="AY265" s="56">
        <f t="shared" si="118"/>
        <v>24</v>
      </c>
      <c r="AZ265" s="56">
        <f t="shared" si="118"/>
        <v>46</v>
      </c>
      <c r="BA265" s="56">
        <f t="shared" si="117"/>
        <v>-23</v>
      </c>
      <c r="BB265" s="56">
        <f t="shared" si="117"/>
        <v>-18</v>
      </c>
      <c r="BC265" s="56">
        <f t="shared" si="117"/>
        <v>-13</v>
      </c>
      <c r="BD265" s="56">
        <f t="shared" si="117"/>
        <v>-15</v>
      </c>
      <c r="BE265" s="56">
        <f t="shared" si="117"/>
        <v>-1</v>
      </c>
      <c r="BF265" s="56">
        <f t="shared" si="117"/>
        <v>-28</v>
      </c>
      <c r="BH265">
        <f t="shared" si="127"/>
        <v>1</v>
      </c>
      <c r="BI265">
        <f t="shared" si="136"/>
        <v>0</v>
      </c>
      <c r="BJ265" s="154">
        <v>322225.3666666667</v>
      </c>
      <c r="BK265" s="155">
        <f t="shared" si="128"/>
        <v>322225.3666666667</v>
      </c>
      <c r="BL265" s="156">
        <v>328113.39444444439</v>
      </c>
      <c r="BM265" s="155">
        <f t="shared" si="129"/>
        <v>328113.39444444439</v>
      </c>
      <c r="BN265" s="158">
        <v>523737.66111111111</v>
      </c>
      <c r="BO265" s="155">
        <f t="shared" si="130"/>
        <v>523737.66111111111</v>
      </c>
      <c r="BP265" s="158">
        <v>672825.73333333328</v>
      </c>
      <c r="BQ265" s="155">
        <f t="shared" si="131"/>
        <v>672825.73333333328</v>
      </c>
      <c r="BR265" s="158">
        <v>478836.12</v>
      </c>
      <c r="BS265" s="155">
        <f t="shared" si="132"/>
        <v>478836.12</v>
      </c>
      <c r="BT265" s="194">
        <v>936487.34666666656</v>
      </c>
      <c r="BU265" s="194"/>
      <c r="BV265" s="348">
        <f t="shared" si="137"/>
        <v>936487.34666666656</v>
      </c>
      <c r="BW265" s="195">
        <f t="shared" si="133"/>
        <v>669326.5199999999</v>
      </c>
      <c r="BX265" s="157" t="str">
        <f t="shared" si="138"/>
        <v>0</v>
      </c>
      <c r="BY265" s="157">
        <f>IF(E265*$CJ$10*'Year 7 Payments'!$L$20*IF(B265="",1,0.8)&lt;=(BW265-(J265*350)),E265*$CJ$10*'Year 7 Payments'!$L$20*IF(B265="",1,0.8),BW265-(IF(B265="",1,0.8)*J265*350))</f>
        <v>637826.5199999999</v>
      </c>
      <c r="BZ265" s="157" t="str">
        <f t="shared" si="139"/>
        <v>0</v>
      </c>
      <c r="CA265" s="157">
        <f t="shared" si="140"/>
        <v>31500</v>
      </c>
      <c r="CB265" s="157">
        <f t="shared" si="141"/>
        <v>0</v>
      </c>
      <c r="CC265" s="157">
        <f t="shared" si="142"/>
        <v>126000</v>
      </c>
      <c r="CD265" s="201">
        <f t="shared" si="143"/>
        <v>0</v>
      </c>
      <c r="CE265" s="155">
        <f t="shared" si="144"/>
        <v>31500</v>
      </c>
    </row>
    <row r="266" spans="1:83" x14ac:dyDescent="0.2">
      <c r="A266" s="147" t="s">
        <v>737</v>
      </c>
      <c r="B266" s="57"/>
      <c r="C266" s="57" t="s">
        <v>543</v>
      </c>
      <c r="D266" s="148" t="s">
        <v>294</v>
      </c>
      <c r="E266" s="197">
        <v>70266.555555555562</v>
      </c>
      <c r="F266" s="147">
        <f t="shared" si="134"/>
        <v>85274</v>
      </c>
      <c r="G266" s="342">
        <v>909</v>
      </c>
      <c r="H266" s="149">
        <f t="shared" si="119"/>
        <v>435</v>
      </c>
      <c r="I266" s="346">
        <v>182.71155555555555</v>
      </c>
      <c r="J266" s="150">
        <v>92</v>
      </c>
      <c r="K266"/>
      <c r="L266" s="151">
        <v>34985</v>
      </c>
      <c r="M266" s="151">
        <v>16330</v>
      </c>
      <c r="N266" s="151">
        <v>15538</v>
      </c>
      <c r="O266" s="151">
        <v>9404</v>
      </c>
      <c r="P266" s="151">
        <v>5381</v>
      </c>
      <c r="Q266" s="151">
        <v>2229</v>
      </c>
      <c r="R266" s="151">
        <v>1283</v>
      </c>
      <c r="S266" s="151">
        <v>124</v>
      </c>
      <c r="T266" s="151">
        <v>85274</v>
      </c>
      <c r="U266" s="147"/>
      <c r="V266" s="152">
        <f t="shared" si="135"/>
        <v>0.41026573164153202</v>
      </c>
      <c r="W266" s="152">
        <f t="shared" si="120"/>
        <v>0.19150034008021202</v>
      </c>
      <c r="X266" s="152">
        <f t="shared" si="121"/>
        <v>0.18221263222084105</v>
      </c>
      <c r="Y266" s="152">
        <f t="shared" si="122"/>
        <v>0.11027980392616742</v>
      </c>
      <c r="Z266" s="152">
        <f t="shared" si="123"/>
        <v>6.3102469685953511E-2</v>
      </c>
      <c r="AA266" s="152">
        <f t="shared" si="124"/>
        <v>2.6139268710275113E-2</v>
      </c>
      <c r="AB266" s="152">
        <f t="shared" si="125"/>
        <v>1.5045617656026456E-2</v>
      </c>
      <c r="AC266" s="152">
        <f t="shared" si="126"/>
        <v>1.4541360789924243E-3</v>
      </c>
      <c r="AD266" s="152"/>
      <c r="AE266" s="221">
        <v>26</v>
      </c>
      <c r="AF266" s="221">
        <v>163</v>
      </c>
      <c r="AG266" s="221">
        <v>147</v>
      </c>
      <c r="AH266" s="221">
        <v>88</v>
      </c>
      <c r="AI266" s="221">
        <v>83</v>
      </c>
      <c r="AJ266" s="221">
        <v>68</v>
      </c>
      <c r="AK266" s="221">
        <v>8</v>
      </c>
      <c r="AL266" s="221">
        <v>4</v>
      </c>
      <c r="AM266" s="221">
        <v>587</v>
      </c>
      <c r="AN266" s="147"/>
      <c r="AO266" s="221">
        <v>95</v>
      </c>
      <c r="AP266" s="221">
        <v>12</v>
      </c>
      <c r="AQ266" s="221">
        <v>23</v>
      </c>
      <c r="AR266" s="221">
        <v>11</v>
      </c>
      <c r="AS266" s="221">
        <v>1</v>
      </c>
      <c r="AT266" s="221">
        <v>9</v>
      </c>
      <c r="AU266" s="221">
        <v>1</v>
      </c>
      <c r="AV266" s="221">
        <v>0</v>
      </c>
      <c r="AW266" s="221">
        <v>152</v>
      </c>
      <c r="AX266" s="56">
        <f t="shared" si="118"/>
        <v>-95</v>
      </c>
      <c r="AY266" s="56">
        <f t="shared" si="118"/>
        <v>-12</v>
      </c>
      <c r="AZ266" s="56">
        <f t="shared" si="118"/>
        <v>-23</v>
      </c>
      <c r="BA266" s="56">
        <f t="shared" si="117"/>
        <v>-11</v>
      </c>
      <c r="BB266" s="56">
        <f t="shared" si="117"/>
        <v>-1</v>
      </c>
      <c r="BC266" s="56">
        <f t="shared" si="117"/>
        <v>-9</v>
      </c>
      <c r="BD266" s="56">
        <f t="shared" si="117"/>
        <v>-1</v>
      </c>
      <c r="BE266" s="56">
        <f t="shared" si="117"/>
        <v>0</v>
      </c>
      <c r="BF266" s="56">
        <f t="shared" si="117"/>
        <v>-152</v>
      </c>
      <c r="BH266">
        <f t="shared" si="127"/>
        <v>1</v>
      </c>
      <c r="BI266">
        <f t="shared" si="136"/>
        <v>0</v>
      </c>
      <c r="BJ266" s="154">
        <v>771262.00666666683</v>
      </c>
      <c r="BK266" s="155">
        <f t="shared" si="128"/>
        <v>771262.00666666683</v>
      </c>
      <c r="BL266" s="156">
        <v>549869.71888888883</v>
      </c>
      <c r="BM266" s="155">
        <f t="shared" si="129"/>
        <v>549869.71888888883</v>
      </c>
      <c r="BN266" s="158">
        <v>933420.31333333335</v>
      </c>
      <c r="BO266" s="155">
        <f t="shared" si="130"/>
        <v>933420.31333333335</v>
      </c>
      <c r="BP266" s="158">
        <v>825786.13333333342</v>
      </c>
      <c r="BQ266" s="155">
        <f t="shared" si="131"/>
        <v>825786.13333333342</v>
      </c>
      <c r="BR266" s="158">
        <v>790758.19555555563</v>
      </c>
      <c r="BS266" s="155">
        <f t="shared" si="132"/>
        <v>790758.19555555563</v>
      </c>
      <c r="BT266" s="194">
        <v>789399.27111111116</v>
      </c>
      <c r="BU266" s="194"/>
      <c r="BV266" s="348">
        <f t="shared" si="137"/>
        <v>789399.27111111116</v>
      </c>
      <c r="BW266" s="195">
        <f t="shared" si="133"/>
        <v>741575.93777777767</v>
      </c>
      <c r="BX266" s="157" t="str">
        <f t="shared" si="138"/>
        <v>0</v>
      </c>
      <c r="BY266" s="157">
        <f>IF(E266*$CJ$10*'Year 7 Payments'!$L$20*IF(B266="",1,0.8)&lt;=(BW266-(J266*350)),E266*$CJ$10*'Year 7 Payments'!$L$20*IF(B266="",1,0.8),BW266-(IF(B266="",1,0.8)*J266*350))</f>
        <v>429907.65086222225</v>
      </c>
      <c r="BZ266" s="157" t="str">
        <f t="shared" si="139"/>
        <v>0</v>
      </c>
      <c r="CA266" s="157">
        <f t="shared" si="140"/>
        <v>311668.28691555542</v>
      </c>
      <c r="CB266" s="157">
        <f t="shared" si="141"/>
        <v>0</v>
      </c>
      <c r="CC266" s="157">
        <f t="shared" si="142"/>
        <v>1246673.1476622217</v>
      </c>
      <c r="CD266" s="201">
        <f t="shared" si="143"/>
        <v>0</v>
      </c>
      <c r="CE266" s="155">
        <f t="shared" si="144"/>
        <v>311668.28691555542</v>
      </c>
    </row>
    <row r="267" spans="1:83" x14ac:dyDescent="0.2">
      <c r="A267" s="147" t="s">
        <v>738</v>
      </c>
      <c r="B267" s="57"/>
      <c r="C267" s="57" t="s">
        <v>476</v>
      </c>
      <c r="D267" s="148" t="s">
        <v>295</v>
      </c>
      <c r="E267" s="197">
        <v>84243.333333333343</v>
      </c>
      <c r="F267" s="147">
        <f t="shared" si="134"/>
        <v>114937</v>
      </c>
      <c r="G267" s="342">
        <v>1342</v>
      </c>
      <c r="H267" s="149">
        <f t="shared" si="119"/>
        <v>541</v>
      </c>
      <c r="I267" s="346">
        <v>121.13777777777773</v>
      </c>
      <c r="J267" s="150">
        <v>49</v>
      </c>
      <c r="K267"/>
      <c r="L267" s="151">
        <v>69088</v>
      </c>
      <c r="M267" s="151">
        <v>23930</v>
      </c>
      <c r="N267" s="151">
        <v>14914</v>
      </c>
      <c r="O267" s="151">
        <v>4664</v>
      </c>
      <c r="P267" s="151">
        <v>1715</v>
      </c>
      <c r="Q267" s="151">
        <v>447</v>
      </c>
      <c r="R267" s="151">
        <v>137</v>
      </c>
      <c r="S267" s="151">
        <v>42</v>
      </c>
      <c r="T267" s="151">
        <v>114937</v>
      </c>
      <c r="U267" s="147"/>
      <c r="V267" s="152">
        <f t="shared" si="135"/>
        <v>0.60109451264605829</v>
      </c>
      <c r="W267" s="152">
        <f t="shared" si="120"/>
        <v>0.20820101446879594</v>
      </c>
      <c r="X267" s="152">
        <f t="shared" si="121"/>
        <v>0.12975804136178951</v>
      </c>
      <c r="Y267" s="152">
        <f t="shared" si="122"/>
        <v>4.0578751837963403E-2</v>
      </c>
      <c r="Z267" s="152">
        <f t="shared" si="123"/>
        <v>1.4921217710571878E-2</v>
      </c>
      <c r="AA267" s="152">
        <f t="shared" si="124"/>
        <v>3.8890870650878308E-3</v>
      </c>
      <c r="AB267" s="152">
        <f t="shared" si="125"/>
        <v>1.1919573331477245E-3</v>
      </c>
      <c r="AC267" s="152">
        <f t="shared" si="126"/>
        <v>3.6541757658543374E-4</v>
      </c>
      <c r="AD267" s="152"/>
      <c r="AE267" s="221">
        <v>145</v>
      </c>
      <c r="AF267" s="221">
        <v>154</v>
      </c>
      <c r="AG267" s="221">
        <v>90</v>
      </c>
      <c r="AH267" s="221">
        <v>29</v>
      </c>
      <c r="AI267" s="221">
        <v>19</v>
      </c>
      <c r="AJ267" s="221">
        <v>3</v>
      </c>
      <c r="AK267" s="221">
        <v>23</v>
      </c>
      <c r="AL267" s="221">
        <v>-1</v>
      </c>
      <c r="AM267" s="221">
        <v>462</v>
      </c>
      <c r="AN267" s="147"/>
      <c r="AO267" s="221">
        <v>-19</v>
      </c>
      <c r="AP267" s="221">
        <v>-27</v>
      </c>
      <c r="AQ267" s="221">
        <v>-10</v>
      </c>
      <c r="AR267" s="221">
        <v>-13</v>
      </c>
      <c r="AS267" s="221">
        <v>-6</v>
      </c>
      <c r="AT267" s="221">
        <v>-2</v>
      </c>
      <c r="AU267" s="221">
        <v>-3</v>
      </c>
      <c r="AV267" s="221">
        <v>1</v>
      </c>
      <c r="AW267" s="221">
        <v>-79</v>
      </c>
      <c r="AX267" s="56">
        <f t="shared" si="118"/>
        <v>19</v>
      </c>
      <c r="AY267" s="56">
        <f t="shared" si="118"/>
        <v>27</v>
      </c>
      <c r="AZ267" s="56">
        <f t="shared" si="118"/>
        <v>10</v>
      </c>
      <c r="BA267" s="56">
        <f t="shared" si="117"/>
        <v>13</v>
      </c>
      <c r="BB267" s="56">
        <f t="shared" si="117"/>
        <v>6</v>
      </c>
      <c r="BC267" s="56">
        <f t="shared" si="117"/>
        <v>2</v>
      </c>
      <c r="BD267" s="56">
        <f t="shared" si="117"/>
        <v>3</v>
      </c>
      <c r="BE267" s="56">
        <f t="shared" si="117"/>
        <v>-1</v>
      </c>
      <c r="BF267" s="56">
        <f t="shared" si="117"/>
        <v>79</v>
      </c>
      <c r="BH267">
        <f t="shared" si="127"/>
        <v>1</v>
      </c>
      <c r="BI267">
        <f t="shared" si="136"/>
        <v>0</v>
      </c>
      <c r="BJ267" s="154">
        <v>1105640.7866666664</v>
      </c>
      <c r="BK267" s="155">
        <f t="shared" si="128"/>
        <v>1105640.7866666664</v>
      </c>
      <c r="BL267" s="156">
        <v>524529.2733333332</v>
      </c>
      <c r="BM267" s="155">
        <f t="shared" si="129"/>
        <v>524529.2733333332</v>
      </c>
      <c r="BN267" s="158">
        <v>138741.66222222225</v>
      </c>
      <c r="BO267" s="155">
        <f t="shared" si="130"/>
        <v>138741.66222222225</v>
      </c>
      <c r="BP267" s="158">
        <v>589114.79999999993</v>
      </c>
      <c r="BQ267" s="155">
        <f t="shared" si="131"/>
        <v>589114.79999999993</v>
      </c>
      <c r="BR267" s="158">
        <v>779306.04444444447</v>
      </c>
      <c r="BS267" s="155">
        <f t="shared" si="132"/>
        <v>779306.04444444447</v>
      </c>
      <c r="BT267" s="194">
        <v>616932.04222222208</v>
      </c>
      <c r="BU267" s="194"/>
      <c r="BV267" s="348">
        <f t="shared" si="137"/>
        <v>616932.04222222208</v>
      </c>
      <c r="BW267" s="195">
        <f t="shared" si="133"/>
        <v>717858.43111111107</v>
      </c>
      <c r="BX267" s="157" t="str">
        <f t="shared" si="138"/>
        <v>0</v>
      </c>
      <c r="BY267" s="157">
        <f>IF(E267*$CJ$10*'Year 7 Payments'!$L$20*IF(B267="",1,0.8)&lt;=(BW267-(J267*350)),E267*$CJ$10*'Year 7 Payments'!$L$20*IF(B267="",1,0.8),BW267-(IF(B267="",1,0.8)*J267*350))</f>
        <v>515420.93173333333</v>
      </c>
      <c r="BZ267" s="157" t="str">
        <f t="shared" si="139"/>
        <v>0</v>
      </c>
      <c r="CA267" s="157">
        <f t="shared" si="140"/>
        <v>202437.49937777774</v>
      </c>
      <c r="CB267" s="157">
        <f t="shared" si="141"/>
        <v>0</v>
      </c>
      <c r="CC267" s="157">
        <f t="shared" si="142"/>
        <v>809749.99751111097</v>
      </c>
      <c r="CD267" s="201">
        <f t="shared" si="143"/>
        <v>0</v>
      </c>
      <c r="CE267" s="155">
        <f t="shared" si="144"/>
        <v>202437.49937777774</v>
      </c>
    </row>
    <row r="268" spans="1:83" x14ac:dyDescent="0.2">
      <c r="A268" s="147" t="s">
        <v>739</v>
      </c>
      <c r="B268" s="57" t="s">
        <v>663</v>
      </c>
      <c r="C268" s="57" t="s">
        <v>476</v>
      </c>
      <c r="D268" s="148" t="s">
        <v>296</v>
      </c>
      <c r="E268" s="197">
        <v>59062.444444444445</v>
      </c>
      <c r="F268" s="147">
        <f t="shared" si="134"/>
        <v>56769</v>
      </c>
      <c r="G268" s="342">
        <v>731</v>
      </c>
      <c r="H268" s="149">
        <f t="shared" si="119"/>
        <v>783</v>
      </c>
      <c r="I268" s="346">
        <v>645.19466666666665</v>
      </c>
      <c r="J268" s="150">
        <v>340</v>
      </c>
      <c r="K268"/>
      <c r="L268" s="151">
        <v>3409</v>
      </c>
      <c r="M268" s="151">
        <v>7808</v>
      </c>
      <c r="N268" s="151">
        <v>15917</v>
      </c>
      <c r="O268" s="151">
        <v>9447</v>
      </c>
      <c r="P268" s="151">
        <v>9028</v>
      </c>
      <c r="Q268" s="151">
        <v>5353</v>
      </c>
      <c r="R268" s="151">
        <v>4916</v>
      </c>
      <c r="S268" s="151">
        <v>891</v>
      </c>
      <c r="T268" s="151">
        <v>56769</v>
      </c>
      <c r="U268" s="147"/>
      <c r="V268" s="152">
        <f t="shared" si="135"/>
        <v>6.0050379608589194E-2</v>
      </c>
      <c r="W268" s="152">
        <f t="shared" si="120"/>
        <v>0.1375398544980535</v>
      </c>
      <c r="X268" s="152">
        <f t="shared" si="121"/>
        <v>0.28038189857140339</v>
      </c>
      <c r="Y268" s="152">
        <f t="shared" si="122"/>
        <v>0.166411245574169</v>
      </c>
      <c r="Z268" s="152">
        <f t="shared" si="123"/>
        <v>0.15903045676337438</v>
      </c>
      <c r="AA268" s="152">
        <f t="shared" si="124"/>
        <v>9.4294421251034891E-2</v>
      </c>
      <c r="AB268" s="152">
        <f t="shared" si="125"/>
        <v>8.659655798058799E-2</v>
      </c>
      <c r="AC268" s="152">
        <f t="shared" si="126"/>
        <v>1.5695185752787614E-2</v>
      </c>
      <c r="AD268" s="152"/>
      <c r="AE268" s="221">
        <v>58</v>
      </c>
      <c r="AF268" s="221">
        <v>133</v>
      </c>
      <c r="AG268" s="221">
        <v>203</v>
      </c>
      <c r="AH268" s="221">
        <v>125</v>
      </c>
      <c r="AI268" s="221">
        <v>182</v>
      </c>
      <c r="AJ268" s="221">
        <v>116</v>
      </c>
      <c r="AK268" s="221">
        <v>64</v>
      </c>
      <c r="AL268" s="221">
        <v>21</v>
      </c>
      <c r="AM268" s="221">
        <v>902</v>
      </c>
      <c r="AN268" s="147"/>
      <c r="AO268" s="221">
        <v>19</v>
      </c>
      <c r="AP268" s="221">
        <v>51</v>
      </c>
      <c r="AQ268" s="221">
        <v>36</v>
      </c>
      <c r="AR268" s="221">
        <v>3</v>
      </c>
      <c r="AS268" s="221">
        <v>-1</v>
      </c>
      <c r="AT268" s="221">
        <v>-3</v>
      </c>
      <c r="AU268" s="221">
        <v>15</v>
      </c>
      <c r="AV268" s="221">
        <v>-1</v>
      </c>
      <c r="AW268" s="221">
        <v>119</v>
      </c>
      <c r="AX268" s="56">
        <f t="shared" si="118"/>
        <v>-19</v>
      </c>
      <c r="AY268" s="56">
        <f t="shared" si="118"/>
        <v>-51</v>
      </c>
      <c r="AZ268" s="56">
        <f t="shared" si="118"/>
        <v>-36</v>
      </c>
      <c r="BA268" s="56">
        <f t="shared" si="117"/>
        <v>-3</v>
      </c>
      <c r="BB268" s="56">
        <f t="shared" si="117"/>
        <v>1</v>
      </c>
      <c r="BC268" s="56">
        <f t="shared" si="117"/>
        <v>3</v>
      </c>
      <c r="BD268" s="56">
        <f t="shared" si="117"/>
        <v>-15</v>
      </c>
      <c r="BE268" s="56">
        <f t="shared" si="117"/>
        <v>1</v>
      </c>
      <c r="BF268" s="56">
        <f t="shared" si="117"/>
        <v>-119</v>
      </c>
      <c r="BH268">
        <f t="shared" si="127"/>
        <v>0.8</v>
      </c>
      <c r="BI268">
        <f t="shared" si="136"/>
        <v>0.19999999999999996</v>
      </c>
      <c r="BJ268" s="154">
        <v>217737.99466666669</v>
      </c>
      <c r="BK268" s="155">
        <f t="shared" si="128"/>
        <v>217737.99466666669</v>
      </c>
      <c r="BL268" s="156">
        <v>379257.36355555558</v>
      </c>
      <c r="BM268" s="155">
        <f t="shared" si="129"/>
        <v>379257.36355555558</v>
      </c>
      <c r="BN268" s="158">
        <v>484846.51022222231</v>
      </c>
      <c r="BO268" s="155">
        <f t="shared" si="130"/>
        <v>484846.51022222231</v>
      </c>
      <c r="BP268" s="158">
        <v>522365.22666666668</v>
      </c>
      <c r="BQ268" s="155">
        <f t="shared" si="131"/>
        <v>522365.22666666668</v>
      </c>
      <c r="BR268" s="158">
        <v>643203.11822222231</v>
      </c>
      <c r="BS268" s="155">
        <f t="shared" si="132"/>
        <v>643203.11822222231</v>
      </c>
      <c r="BT268" s="194">
        <v>788275.12711111119</v>
      </c>
      <c r="BU268" s="194"/>
      <c r="BV268" s="348">
        <f t="shared" si="137"/>
        <v>788275.12711111119</v>
      </c>
      <c r="BW268" s="195">
        <f t="shared" si="133"/>
        <v>1173777.7315555555</v>
      </c>
      <c r="BX268" s="157">
        <f t="shared" si="138"/>
        <v>293444.43288888887</v>
      </c>
      <c r="BY268" s="157">
        <f>IF(E268*$CJ$10*'Year 7 Payments'!$L$20*IF(B268="",1,0.8)&lt;=(BW268-(J268*350)),E268*$CJ$10*'Year 7 Payments'!$L$20*IF(B268="",1,0.8),BW268-(IF(B268="",1,0.8)*J268*350))</f>
        <v>289086.56807822222</v>
      </c>
      <c r="BZ268" s="157">
        <f t="shared" si="139"/>
        <v>72271.642019555555</v>
      </c>
      <c r="CA268" s="157">
        <f t="shared" si="140"/>
        <v>884691.16347733326</v>
      </c>
      <c r="CB268" s="157">
        <f t="shared" si="141"/>
        <v>221172.79086933332</v>
      </c>
      <c r="CC268" s="157">
        <f t="shared" si="142"/>
        <v>3538764.6539093331</v>
      </c>
      <c r="CD268" s="201">
        <f t="shared" si="143"/>
        <v>884691.16347733326</v>
      </c>
      <c r="CE268" s="155">
        <f t="shared" si="144"/>
        <v>884691.16347733326</v>
      </c>
    </row>
    <row r="269" spans="1:83" x14ac:dyDescent="0.2">
      <c r="A269" s="147" t="s">
        <v>740</v>
      </c>
      <c r="B269" s="57" t="s">
        <v>518</v>
      </c>
      <c r="C269" s="57" t="s">
        <v>472</v>
      </c>
      <c r="D269" s="148" t="s">
        <v>297</v>
      </c>
      <c r="E269" s="197">
        <v>50025.666666666672</v>
      </c>
      <c r="F269" s="147">
        <f t="shared" si="134"/>
        <v>52278</v>
      </c>
      <c r="G269" s="342">
        <v>477</v>
      </c>
      <c r="H269" s="149">
        <f t="shared" si="119"/>
        <v>380</v>
      </c>
      <c r="I269" s="346">
        <v>166.00844444444445</v>
      </c>
      <c r="J269" s="150">
        <v>124</v>
      </c>
      <c r="K269"/>
      <c r="L269" s="151">
        <v>7343</v>
      </c>
      <c r="M269" s="151">
        <v>12174</v>
      </c>
      <c r="N269" s="151">
        <v>11962</v>
      </c>
      <c r="O269" s="151">
        <v>7818</v>
      </c>
      <c r="P269" s="151">
        <v>6397</v>
      </c>
      <c r="Q269" s="151">
        <v>3851</v>
      </c>
      <c r="R269" s="151">
        <v>2487</v>
      </c>
      <c r="S269" s="151">
        <v>246</v>
      </c>
      <c r="T269" s="151">
        <v>52278</v>
      </c>
      <c r="U269" s="147"/>
      <c r="V269" s="152">
        <f t="shared" si="135"/>
        <v>0.1404606144075902</v>
      </c>
      <c r="W269" s="152">
        <f t="shared" si="120"/>
        <v>0.23287042350510731</v>
      </c>
      <c r="X269" s="152">
        <f t="shared" si="121"/>
        <v>0.22881518038180496</v>
      </c>
      <c r="Y269" s="152">
        <f t="shared" si="122"/>
        <v>0.14954665442442328</v>
      </c>
      <c r="Z269" s="152">
        <f t="shared" si="123"/>
        <v>0.1223650483951184</v>
      </c>
      <c r="AA269" s="152">
        <f t="shared" si="124"/>
        <v>7.3663873904893068E-2</v>
      </c>
      <c r="AB269" s="152">
        <f t="shared" si="125"/>
        <v>4.7572592677608175E-2</v>
      </c>
      <c r="AC269" s="152">
        <f t="shared" si="126"/>
        <v>4.7056123034546083E-3</v>
      </c>
      <c r="AD269" s="152"/>
      <c r="AE269" s="221">
        <v>83</v>
      </c>
      <c r="AF269" s="221">
        <v>106</v>
      </c>
      <c r="AG269" s="221">
        <v>86</v>
      </c>
      <c r="AH269" s="221">
        <v>43</v>
      </c>
      <c r="AI269" s="221">
        <v>65</v>
      </c>
      <c r="AJ269" s="221">
        <v>39</v>
      </c>
      <c r="AK269" s="221">
        <v>23</v>
      </c>
      <c r="AL269" s="221">
        <v>1</v>
      </c>
      <c r="AM269" s="221">
        <v>446</v>
      </c>
      <c r="AN269" s="147"/>
      <c r="AO269" s="221">
        <v>14</v>
      </c>
      <c r="AP269" s="221">
        <v>7</v>
      </c>
      <c r="AQ269" s="221">
        <v>10</v>
      </c>
      <c r="AR269" s="221">
        <v>25</v>
      </c>
      <c r="AS269" s="221">
        <v>-9</v>
      </c>
      <c r="AT269" s="221">
        <v>11</v>
      </c>
      <c r="AU269" s="221">
        <v>7</v>
      </c>
      <c r="AV269" s="221">
        <v>1</v>
      </c>
      <c r="AW269" s="221">
        <v>66</v>
      </c>
      <c r="AX269" s="56">
        <f t="shared" si="118"/>
        <v>-14</v>
      </c>
      <c r="AY269" s="56">
        <f t="shared" si="118"/>
        <v>-7</v>
      </c>
      <c r="AZ269" s="56">
        <f t="shared" si="118"/>
        <v>-10</v>
      </c>
      <c r="BA269" s="56">
        <f t="shared" si="117"/>
        <v>-25</v>
      </c>
      <c r="BB269" s="56">
        <f t="shared" si="117"/>
        <v>9</v>
      </c>
      <c r="BC269" s="56">
        <f t="shared" si="117"/>
        <v>-11</v>
      </c>
      <c r="BD269" s="56">
        <f t="shared" si="117"/>
        <v>-7</v>
      </c>
      <c r="BE269" s="56">
        <f t="shared" si="117"/>
        <v>-1</v>
      </c>
      <c r="BF269" s="56">
        <f t="shared" si="117"/>
        <v>-66</v>
      </c>
      <c r="BH269">
        <f t="shared" si="127"/>
        <v>0.8</v>
      </c>
      <c r="BI269">
        <f t="shared" si="136"/>
        <v>0.19999999999999996</v>
      </c>
      <c r="BJ269" s="154">
        <v>349634.51200000005</v>
      </c>
      <c r="BK269" s="155">
        <f t="shared" si="128"/>
        <v>349634.51200000005</v>
      </c>
      <c r="BL269" s="156">
        <v>379931.18822988507</v>
      </c>
      <c r="BM269" s="155">
        <f t="shared" si="129"/>
        <v>379931.18822988507</v>
      </c>
      <c r="BN269" s="158">
        <v>404364.38488888892</v>
      </c>
      <c r="BO269" s="155">
        <f t="shared" si="130"/>
        <v>404364.38488888892</v>
      </c>
      <c r="BP269" s="158">
        <v>476175.14666666673</v>
      </c>
      <c r="BQ269" s="155">
        <f t="shared" si="131"/>
        <v>476175.14666666673</v>
      </c>
      <c r="BR269" s="158">
        <v>666875.66933333327</v>
      </c>
      <c r="BS269" s="155">
        <f t="shared" si="132"/>
        <v>666875.66933333327</v>
      </c>
      <c r="BT269" s="194">
        <v>933074.82488888898</v>
      </c>
      <c r="BU269" s="194"/>
      <c r="BV269" s="348">
        <f t="shared" si="137"/>
        <v>933074.82488888898</v>
      </c>
      <c r="BW269" s="195">
        <f t="shared" si="133"/>
        <v>482711.12888888898</v>
      </c>
      <c r="BX269" s="157">
        <f t="shared" si="138"/>
        <v>120677.78222222225</v>
      </c>
      <c r="BY269" s="157">
        <f>IF(E269*$CJ$10*'Year 7 Payments'!$L$20*IF(B269="",1,0.8)&lt;=(BW269-(J269*350)),E269*$CJ$10*'Year 7 Payments'!$L$20*IF(B269="",1,0.8),BW269-(IF(B269="",1,0.8)*J269*350))</f>
        <v>244855.22786133338</v>
      </c>
      <c r="BZ269" s="157">
        <f t="shared" si="139"/>
        <v>61213.806965333344</v>
      </c>
      <c r="CA269" s="157">
        <f t="shared" si="140"/>
        <v>237855.90102755561</v>
      </c>
      <c r="CB269" s="157">
        <f t="shared" si="141"/>
        <v>59463.975256888902</v>
      </c>
      <c r="CC269" s="157">
        <f t="shared" si="142"/>
        <v>951423.60411022243</v>
      </c>
      <c r="CD269" s="201">
        <f t="shared" si="143"/>
        <v>237855.90102755561</v>
      </c>
      <c r="CE269" s="155">
        <f t="shared" si="144"/>
        <v>237855.90102755561</v>
      </c>
    </row>
    <row r="270" spans="1:83" x14ac:dyDescent="0.2">
      <c r="A270" s="147" t="s">
        <v>741</v>
      </c>
      <c r="B270" s="57" t="s">
        <v>458</v>
      </c>
      <c r="C270" s="57" t="s">
        <v>459</v>
      </c>
      <c r="D270" s="148" t="s">
        <v>298</v>
      </c>
      <c r="E270" s="197">
        <v>56769.111111111117</v>
      </c>
      <c r="F270" s="147">
        <f t="shared" si="134"/>
        <v>59919</v>
      </c>
      <c r="G270" s="342">
        <v>576</v>
      </c>
      <c r="H270" s="149">
        <f t="shared" si="119"/>
        <v>641</v>
      </c>
      <c r="I270" s="346">
        <v>391.59022222222228</v>
      </c>
      <c r="J270" s="150">
        <v>106</v>
      </c>
      <c r="K270"/>
      <c r="L270" s="151">
        <v>7899</v>
      </c>
      <c r="M270" s="151">
        <v>14673</v>
      </c>
      <c r="N270" s="151">
        <v>11875</v>
      </c>
      <c r="O270" s="151">
        <v>11130</v>
      </c>
      <c r="P270" s="151">
        <v>7814</v>
      </c>
      <c r="Q270" s="151">
        <v>4117</v>
      </c>
      <c r="R270" s="151">
        <v>2222</v>
      </c>
      <c r="S270" s="151">
        <v>189</v>
      </c>
      <c r="T270" s="151">
        <v>59919</v>
      </c>
      <c r="U270" s="147"/>
      <c r="V270" s="152">
        <f t="shared" si="135"/>
        <v>0.13182796775647124</v>
      </c>
      <c r="W270" s="152">
        <f t="shared" si="120"/>
        <v>0.24488058879487307</v>
      </c>
      <c r="X270" s="152">
        <f t="shared" si="121"/>
        <v>0.19818421535739916</v>
      </c>
      <c r="Y270" s="152">
        <f t="shared" si="122"/>
        <v>0.18575076353076653</v>
      </c>
      <c r="Z270" s="152">
        <f t="shared" si="123"/>
        <v>0.13040938600443933</v>
      </c>
      <c r="AA270" s="152">
        <f t="shared" si="124"/>
        <v>6.8709424389592613E-2</v>
      </c>
      <c r="AB270" s="152">
        <f t="shared" si="125"/>
        <v>3.7083395917822393E-2</v>
      </c>
      <c r="AC270" s="152">
        <f t="shared" si="126"/>
        <v>3.1542582486356581E-3</v>
      </c>
      <c r="AD270" s="152"/>
      <c r="AE270" s="221">
        <v>92</v>
      </c>
      <c r="AF270" s="221">
        <v>112</v>
      </c>
      <c r="AG270" s="221">
        <v>187</v>
      </c>
      <c r="AH270" s="221">
        <v>107</v>
      </c>
      <c r="AI270" s="221">
        <v>71</v>
      </c>
      <c r="AJ270" s="221">
        <v>59</v>
      </c>
      <c r="AK270" s="221">
        <v>26</v>
      </c>
      <c r="AL270" s="221">
        <v>3</v>
      </c>
      <c r="AM270" s="221">
        <v>657</v>
      </c>
      <c r="AN270" s="147"/>
      <c r="AO270" s="221">
        <v>-4</v>
      </c>
      <c r="AP270" s="221">
        <v>7</v>
      </c>
      <c r="AQ270" s="221">
        <v>6</v>
      </c>
      <c r="AR270" s="221">
        <v>-7</v>
      </c>
      <c r="AS270" s="221">
        <v>-10</v>
      </c>
      <c r="AT270" s="221">
        <v>19</v>
      </c>
      <c r="AU270" s="221">
        <v>6</v>
      </c>
      <c r="AV270" s="221">
        <v>-1</v>
      </c>
      <c r="AW270" s="221">
        <v>16</v>
      </c>
      <c r="AX270" s="56">
        <f t="shared" si="118"/>
        <v>4</v>
      </c>
      <c r="AY270" s="56">
        <f t="shared" si="118"/>
        <v>-7</v>
      </c>
      <c r="AZ270" s="56">
        <f t="shared" si="118"/>
        <v>-6</v>
      </c>
      <c r="BA270" s="56">
        <f t="shared" si="117"/>
        <v>7</v>
      </c>
      <c r="BB270" s="56">
        <f t="shared" si="117"/>
        <v>10</v>
      </c>
      <c r="BC270" s="56">
        <f t="shared" si="117"/>
        <v>-19</v>
      </c>
      <c r="BD270" s="56">
        <f t="shared" si="117"/>
        <v>-6</v>
      </c>
      <c r="BE270" s="56">
        <f t="shared" si="117"/>
        <v>1</v>
      </c>
      <c r="BF270" s="56">
        <f t="shared" si="117"/>
        <v>-16</v>
      </c>
      <c r="BH270">
        <f t="shared" si="127"/>
        <v>0.8</v>
      </c>
      <c r="BI270">
        <f t="shared" si="136"/>
        <v>0.19999999999999996</v>
      </c>
      <c r="BJ270" s="154">
        <v>207887.33333333337</v>
      </c>
      <c r="BK270" s="155">
        <f t="shared" si="128"/>
        <v>207887.33333333337</v>
      </c>
      <c r="BL270" s="156">
        <v>323241.48355555552</v>
      </c>
      <c r="BM270" s="155">
        <f t="shared" si="129"/>
        <v>323241.48355555552</v>
      </c>
      <c r="BN270" s="158">
        <v>181917.84088888892</v>
      </c>
      <c r="BO270" s="155">
        <f t="shared" si="130"/>
        <v>181917.84088888892</v>
      </c>
      <c r="BP270" s="158">
        <v>509388.16</v>
      </c>
      <c r="BQ270" s="155">
        <f t="shared" si="131"/>
        <v>509388.16</v>
      </c>
      <c r="BR270" s="158">
        <v>269085.96977777779</v>
      </c>
      <c r="BS270" s="155">
        <f t="shared" si="132"/>
        <v>269085.96977777779</v>
      </c>
      <c r="BT270" s="194">
        <v>601602.6115555556</v>
      </c>
      <c r="BU270" s="194"/>
      <c r="BV270" s="348">
        <f t="shared" si="137"/>
        <v>601602.6115555556</v>
      </c>
      <c r="BW270" s="195">
        <f t="shared" si="133"/>
        <v>786710.22933333332</v>
      </c>
      <c r="BX270" s="157">
        <f t="shared" si="138"/>
        <v>196677.55733333333</v>
      </c>
      <c r="BY270" s="157">
        <f>IF(E270*$CJ$10*'Year 7 Payments'!$L$20*IF(B270="",1,0.8)&lt;=(BW270-(J270*350)),E270*$CJ$10*'Year 7 Payments'!$L$20*IF(B270="",1,0.8),BW270-(IF(B270="",1,0.8)*J270*350))</f>
        <v>277861.63709155557</v>
      </c>
      <c r="BZ270" s="157">
        <f t="shared" si="139"/>
        <v>69465.409272888894</v>
      </c>
      <c r="CA270" s="157">
        <f t="shared" si="140"/>
        <v>508848.59224177775</v>
      </c>
      <c r="CB270" s="157">
        <f t="shared" si="141"/>
        <v>127212.14806044444</v>
      </c>
      <c r="CC270" s="157">
        <f t="shared" si="142"/>
        <v>2035394.368967111</v>
      </c>
      <c r="CD270" s="201">
        <f t="shared" si="143"/>
        <v>508848.59224177775</v>
      </c>
      <c r="CE270" s="155">
        <f t="shared" si="144"/>
        <v>508848.59224177775</v>
      </c>
    </row>
    <row r="271" spans="1:83" x14ac:dyDescent="0.2">
      <c r="A271" s="147" t="s">
        <v>742</v>
      </c>
      <c r="B271" s="57"/>
      <c r="C271" s="57" t="s">
        <v>543</v>
      </c>
      <c r="D271" s="148" t="s">
        <v>299</v>
      </c>
      <c r="E271" s="197">
        <v>95031.333333333328</v>
      </c>
      <c r="F271" s="147">
        <f t="shared" si="134"/>
        <v>127539</v>
      </c>
      <c r="G271" s="342">
        <v>1758</v>
      </c>
      <c r="H271" s="149">
        <f t="shared" si="119"/>
        <v>604</v>
      </c>
      <c r="I271" s="346">
        <v>177.09688888888883</v>
      </c>
      <c r="J271" s="150">
        <v>147</v>
      </c>
      <c r="K271"/>
      <c r="L271" s="151">
        <v>79296</v>
      </c>
      <c r="M271" s="151">
        <v>17995</v>
      </c>
      <c r="N271" s="151">
        <v>16838</v>
      </c>
      <c r="O271" s="151">
        <v>8574</v>
      </c>
      <c r="P271" s="151">
        <v>3112</v>
      </c>
      <c r="Q271" s="151">
        <v>1048</v>
      </c>
      <c r="R271" s="151">
        <v>616</v>
      </c>
      <c r="S271" s="151">
        <v>60</v>
      </c>
      <c r="T271" s="151">
        <v>127539</v>
      </c>
      <c r="U271" s="147"/>
      <c r="V271" s="152">
        <f t="shared" si="135"/>
        <v>0.62173923270529019</v>
      </c>
      <c r="W271" s="152">
        <f t="shared" si="120"/>
        <v>0.14109409670767373</v>
      </c>
      <c r="X271" s="152">
        <f t="shared" si="121"/>
        <v>0.13202236178737484</v>
      </c>
      <c r="Y271" s="152">
        <f t="shared" si="122"/>
        <v>6.7226495424928839E-2</v>
      </c>
      <c r="Z271" s="152">
        <f t="shared" si="123"/>
        <v>2.4400379491763304E-2</v>
      </c>
      <c r="AA271" s="152">
        <f t="shared" si="124"/>
        <v>8.217094378974275E-3</v>
      </c>
      <c r="AB271" s="152">
        <f t="shared" si="125"/>
        <v>4.8298951693207569E-3</v>
      </c>
      <c r="AC271" s="152">
        <f t="shared" si="126"/>
        <v>4.7044433467409967E-4</v>
      </c>
      <c r="AD271" s="152"/>
      <c r="AE271" s="221">
        <v>75</v>
      </c>
      <c r="AF271" s="221">
        <v>238</v>
      </c>
      <c r="AG271" s="221">
        <v>170</v>
      </c>
      <c r="AH271" s="221">
        <v>139</v>
      </c>
      <c r="AI271" s="221">
        <v>58</v>
      </c>
      <c r="AJ271" s="221">
        <v>15</v>
      </c>
      <c r="AK271" s="221">
        <v>4</v>
      </c>
      <c r="AL271" s="221">
        <v>-1</v>
      </c>
      <c r="AM271" s="221">
        <v>698</v>
      </c>
      <c r="AN271" s="147"/>
      <c r="AO271" s="221">
        <v>63</v>
      </c>
      <c r="AP271" s="221">
        <v>12</v>
      </c>
      <c r="AQ271" s="221">
        <v>16</v>
      </c>
      <c r="AR271" s="221">
        <v>8</v>
      </c>
      <c r="AS271" s="221">
        <v>1</v>
      </c>
      <c r="AT271" s="221">
        <v>-2</v>
      </c>
      <c r="AU271" s="221">
        <v>-4</v>
      </c>
      <c r="AV271" s="221">
        <v>0</v>
      </c>
      <c r="AW271" s="221">
        <v>94</v>
      </c>
      <c r="AX271" s="56">
        <f t="shared" si="118"/>
        <v>-63</v>
      </c>
      <c r="AY271" s="56">
        <f t="shared" si="118"/>
        <v>-12</v>
      </c>
      <c r="AZ271" s="56">
        <f t="shared" si="118"/>
        <v>-16</v>
      </c>
      <c r="BA271" s="56">
        <f t="shared" si="117"/>
        <v>-8</v>
      </c>
      <c r="BB271" s="56">
        <f t="shared" si="117"/>
        <v>-1</v>
      </c>
      <c r="BC271" s="56">
        <f t="shared" si="117"/>
        <v>2</v>
      </c>
      <c r="BD271" s="56">
        <f t="shared" si="117"/>
        <v>4</v>
      </c>
      <c r="BE271" s="56">
        <f t="shared" si="117"/>
        <v>0</v>
      </c>
      <c r="BF271" s="56">
        <f t="shared" si="117"/>
        <v>-94</v>
      </c>
      <c r="BH271">
        <f t="shared" si="127"/>
        <v>1</v>
      </c>
      <c r="BI271">
        <f t="shared" si="136"/>
        <v>0</v>
      </c>
      <c r="BJ271" s="154">
        <v>576967.30666666664</v>
      </c>
      <c r="BK271" s="155">
        <f t="shared" si="128"/>
        <v>576967.30666666664</v>
      </c>
      <c r="BL271" s="156">
        <v>575305.45222222223</v>
      </c>
      <c r="BM271" s="155">
        <f t="shared" si="129"/>
        <v>575305.45222222223</v>
      </c>
      <c r="BN271" s="158">
        <v>551546.24555555556</v>
      </c>
      <c r="BO271" s="155">
        <f t="shared" si="130"/>
        <v>551546.24555555556</v>
      </c>
      <c r="BP271" s="158">
        <v>521730</v>
      </c>
      <c r="BQ271" s="155">
        <f t="shared" si="131"/>
        <v>521730</v>
      </c>
      <c r="BR271" s="158">
        <v>945898.31555555551</v>
      </c>
      <c r="BS271" s="155">
        <f t="shared" si="132"/>
        <v>945898.31555555551</v>
      </c>
      <c r="BT271" s="194">
        <v>1195607.8711111112</v>
      </c>
      <c r="BU271" s="194"/>
      <c r="BV271" s="348">
        <f t="shared" si="137"/>
        <v>1195607.8711111112</v>
      </c>
      <c r="BW271" s="195">
        <f t="shared" si="133"/>
        <v>903754.82222222211</v>
      </c>
      <c r="BX271" s="157" t="str">
        <f t="shared" si="138"/>
        <v>0</v>
      </c>
      <c r="BY271" s="157">
        <f>IF(E271*$CJ$10*'Year 7 Payments'!$L$20*IF(B271="",1,0.8)&lt;=(BW271-(J271*350)),E271*$CJ$10*'Year 7 Payments'!$L$20*IF(B271="",1,0.8),BW271-(IF(B271="",1,0.8)*J271*350))</f>
        <v>581424.50485333323</v>
      </c>
      <c r="BZ271" s="157" t="str">
        <f t="shared" si="139"/>
        <v>0</v>
      </c>
      <c r="CA271" s="157">
        <f t="shared" si="140"/>
        <v>322330.31736888888</v>
      </c>
      <c r="CB271" s="157">
        <f t="shared" si="141"/>
        <v>0</v>
      </c>
      <c r="CC271" s="157">
        <f t="shared" si="142"/>
        <v>1289321.2694755555</v>
      </c>
      <c r="CD271" s="201">
        <f t="shared" si="143"/>
        <v>0</v>
      </c>
      <c r="CE271" s="155">
        <f t="shared" si="144"/>
        <v>322330.31736888888</v>
      </c>
    </row>
    <row r="272" spans="1:83" x14ac:dyDescent="0.2">
      <c r="A272" s="147" t="s">
        <v>743</v>
      </c>
      <c r="B272" s="57" t="s">
        <v>568</v>
      </c>
      <c r="C272" s="57" t="s">
        <v>443</v>
      </c>
      <c r="D272" s="148" t="s">
        <v>300</v>
      </c>
      <c r="E272" s="197">
        <v>41966.777777777774</v>
      </c>
      <c r="F272" s="147">
        <f t="shared" si="134"/>
        <v>35903</v>
      </c>
      <c r="G272" s="342">
        <v>155</v>
      </c>
      <c r="H272" s="149">
        <f t="shared" si="119"/>
        <v>255</v>
      </c>
      <c r="I272" s="346">
        <v>91.799555555555543</v>
      </c>
      <c r="J272" s="150">
        <v>0</v>
      </c>
      <c r="K272"/>
      <c r="L272" s="151">
        <v>588</v>
      </c>
      <c r="M272" s="151">
        <v>2109</v>
      </c>
      <c r="N272" s="151">
        <v>5839</v>
      </c>
      <c r="O272" s="151">
        <v>9598</v>
      </c>
      <c r="P272" s="151">
        <v>6614</v>
      </c>
      <c r="Q272" s="151">
        <v>5669</v>
      </c>
      <c r="R272" s="151">
        <v>4987</v>
      </c>
      <c r="S272" s="151">
        <v>499</v>
      </c>
      <c r="T272" s="151">
        <v>35903</v>
      </c>
      <c r="U272" s="147"/>
      <c r="V272" s="152">
        <f t="shared" si="135"/>
        <v>1.6377461493468512E-2</v>
      </c>
      <c r="W272" s="152">
        <f t="shared" si="120"/>
        <v>5.8741609336267167E-2</v>
      </c>
      <c r="X272" s="152">
        <f t="shared" si="121"/>
        <v>0.16263264908224939</v>
      </c>
      <c r="Y272" s="152">
        <f t="shared" si="122"/>
        <v>0.26733142077263738</v>
      </c>
      <c r="Z272" s="152">
        <f t="shared" si="123"/>
        <v>0.18421858897585161</v>
      </c>
      <c r="AA272" s="152">
        <f t="shared" si="124"/>
        <v>0.15789766871849148</v>
      </c>
      <c r="AB272" s="152">
        <f t="shared" si="125"/>
        <v>0.13890204161212155</v>
      </c>
      <c r="AC272" s="152">
        <f t="shared" si="126"/>
        <v>1.3898560008912904E-2</v>
      </c>
      <c r="AD272" s="152"/>
      <c r="AE272" s="221">
        <v>15</v>
      </c>
      <c r="AF272" s="221">
        <v>47</v>
      </c>
      <c r="AG272" s="221">
        <v>108</v>
      </c>
      <c r="AH272" s="221">
        <v>40</v>
      </c>
      <c r="AI272" s="221">
        <v>7</v>
      </c>
      <c r="AJ272" s="221">
        <v>1</v>
      </c>
      <c r="AK272" s="221">
        <v>37</v>
      </c>
      <c r="AL272" s="221">
        <v>13</v>
      </c>
      <c r="AM272" s="221">
        <v>268</v>
      </c>
      <c r="AN272" s="147"/>
      <c r="AO272" s="221">
        <v>-7</v>
      </c>
      <c r="AP272" s="221">
        <v>3</v>
      </c>
      <c r="AQ272" s="221">
        <v>8</v>
      </c>
      <c r="AR272" s="221">
        <v>-8</v>
      </c>
      <c r="AS272" s="221">
        <v>5</v>
      </c>
      <c r="AT272" s="221">
        <v>6</v>
      </c>
      <c r="AU272" s="221">
        <v>9</v>
      </c>
      <c r="AV272" s="221">
        <v>-3</v>
      </c>
      <c r="AW272" s="221">
        <v>13</v>
      </c>
      <c r="AX272" s="56">
        <f t="shared" si="118"/>
        <v>7</v>
      </c>
      <c r="AY272" s="56">
        <f t="shared" si="118"/>
        <v>-3</v>
      </c>
      <c r="AZ272" s="56">
        <f t="shared" si="118"/>
        <v>-8</v>
      </c>
      <c r="BA272" s="56">
        <f t="shared" si="117"/>
        <v>8</v>
      </c>
      <c r="BB272" s="56">
        <f t="shared" si="117"/>
        <v>-5</v>
      </c>
      <c r="BC272" s="56">
        <f t="shared" si="117"/>
        <v>-6</v>
      </c>
      <c r="BD272" s="56">
        <f t="shared" si="117"/>
        <v>-9</v>
      </c>
      <c r="BE272" s="56">
        <f t="shared" si="117"/>
        <v>3</v>
      </c>
      <c r="BF272" s="56">
        <f t="shared" si="117"/>
        <v>-13</v>
      </c>
      <c r="BH272">
        <f t="shared" si="127"/>
        <v>0.8</v>
      </c>
      <c r="BI272">
        <f t="shared" si="136"/>
        <v>0.19999999999999996</v>
      </c>
      <c r="BJ272" s="154">
        <v>69338.421333333332</v>
      </c>
      <c r="BK272" s="155">
        <f t="shared" si="128"/>
        <v>69338.421333333332</v>
      </c>
      <c r="BL272" s="156">
        <v>238442.17955555554</v>
      </c>
      <c r="BM272" s="155">
        <f t="shared" si="129"/>
        <v>238442.17955555554</v>
      </c>
      <c r="BN272" s="158">
        <v>322730.07644444448</v>
      </c>
      <c r="BO272" s="155">
        <f t="shared" si="130"/>
        <v>322730.07644444448</v>
      </c>
      <c r="BP272" s="158">
        <v>287722.56</v>
      </c>
      <c r="BQ272" s="155">
        <f t="shared" si="131"/>
        <v>287722.56</v>
      </c>
      <c r="BR272" s="158">
        <v>352633.25155555562</v>
      </c>
      <c r="BS272" s="155">
        <f t="shared" si="132"/>
        <v>352633.25155555562</v>
      </c>
      <c r="BT272" s="194">
        <v>147319.2622222222</v>
      </c>
      <c r="BU272" s="194"/>
      <c r="BV272" s="348">
        <f t="shared" si="137"/>
        <v>147319.2622222222</v>
      </c>
      <c r="BW272" s="195">
        <f t="shared" si="133"/>
        <v>317740.59733333328</v>
      </c>
      <c r="BX272" s="157">
        <f t="shared" si="138"/>
        <v>79435.14933333332</v>
      </c>
      <c r="BY272" s="157">
        <f>IF(E272*$CJ$10*'Year 7 Payments'!$L$20*IF(B272="",1,0.8)&lt;=(BW272-(J272*350)),E272*$CJ$10*'Year 7 Payments'!$L$20*IF(B272="",1,0.8),BW272-(IF(B272="",1,0.8)*J272*350))</f>
        <v>205410.25477688888</v>
      </c>
      <c r="BZ272" s="157">
        <f t="shared" si="139"/>
        <v>51352.563694222219</v>
      </c>
      <c r="CA272" s="157">
        <f t="shared" si="140"/>
        <v>112330.3425564444</v>
      </c>
      <c r="CB272" s="157">
        <f t="shared" si="141"/>
        <v>28082.585639111101</v>
      </c>
      <c r="CC272" s="157">
        <f t="shared" si="142"/>
        <v>449321.37022577762</v>
      </c>
      <c r="CD272" s="201">
        <f t="shared" si="143"/>
        <v>112330.3425564444</v>
      </c>
      <c r="CE272" s="155">
        <f t="shared" si="144"/>
        <v>112330.3425564444</v>
      </c>
    </row>
    <row r="273" spans="1:83" x14ac:dyDescent="0.2">
      <c r="A273" s="147" t="s">
        <v>744</v>
      </c>
      <c r="B273" s="57"/>
      <c r="C273" s="57" t="s">
        <v>461</v>
      </c>
      <c r="D273" s="148" t="s">
        <v>301</v>
      </c>
      <c r="E273" s="197">
        <v>84624.555555555547</v>
      </c>
      <c r="F273" s="147">
        <f t="shared" si="134"/>
        <v>81900</v>
      </c>
      <c r="G273" s="342">
        <v>566</v>
      </c>
      <c r="H273" s="149">
        <f t="shared" si="119"/>
        <v>404</v>
      </c>
      <c r="I273" s="346">
        <v>55.724000000000046</v>
      </c>
      <c r="J273" s="150">
        <v>86</v>
      </c>
      <c r="K273"/>
      <c r="L273" s="151">
        <v>822</v>
      </c>
      <c r="M273" s="151">
        <v>7400</v>
      </c>
      <c r="N273" s="151">
        <v>26647</v>
      </c>
      <c r="O273" s="151">
        <v>23809</v>
      </c>
      <c r="P273" s="151">
        <v>12348</v>
      </c>
      <c r="Q273" s="151">
        <v>6893</v>
      </c>
      <c r="R273" s="151">
        <v>3714</v>
      </c>
      <c r="S273" s="151">
        <v>267</v>
      </c>
      <c r="T273" s="151">
        <v>81900</v>
      </c>
      <c r="U273" s="147"/>
      <c r="V273" s="152">
        <f t="shared" si="135"/>
        <v>1.0036630036630037E-2</v>
      </c>
      <c r="W273" s="152">
        <f t="shared" si="120"/>
        <v>9.0354090354090352E-2</v>
      </c>
      <c r="X273" s="152">
        <f t="shared" si="121"/>
        <v>0.32536019536019534</v>
      </c>
      <c r="Y273" s="152">
        <f t="shared" si="122"/>
        <v>0.29070818070818072</v>
      </c>
      <c r="Z273" s="152">
        <f t="shared" si="123"/>
        <v>0.15076923076923077</v>
      </c>
      <c r="AA273" s="152">
        <f t="shared" si="124"/>
        <v>8.4163614163614162E-2</v>
      </c>
      <c r="AB273" s="152">
        <f t="shared" si="125"/>
        <v>4.5347985347985349E-2</v>
      </c>
      <c r="AC273" s="152">
        <f t="shared" si="126"/>
        <v>3.2600732600732603E-3</v>
      </c>
      <c r="AD273" s="152"/>
      <c r="AE273" s="221">
        <v>10</v>
      </c>
      <c r="AF273" s="221">
        <v>77</v>
      </c>
      <c r="AG273" s="221">
        <v>177</v>
      </c>
      <c r="AH273" s="221">
        <v>51</v>
      </c>
      <c r="AI273" s="221">
        <v>61</v>
      </c>
      <c r="AJ273" s="221">
        <v>20</v>
      </c>
      <c r="AK273" s="221">
        <v>16</v>
      </c>
      <c r="AL273" s="221">
        <v>7</v>
      </c>
      <c r="AM273" s="221">
        <v>419</v>
      </c>
      <c r="AN273" s="147"/>
      <c r="AO273" s="221">
        <v>-24</v>
      </c>
      <c r="AP273" s="221">
        <v>16</v>
      </c>
      <c r="AQ273" s="221">
        <v>-11</v>
      </c>
      <c r="AR273" s="221">
        <v>23</v>
      </c>
      <c r="AS273" s="221">
        <v>15</v>
      </c>
      <c r="AT273" s="221">
        <v>-11</v>
      </c>
      <c r="AU273" s="221">
        <v>4</v>
      </c>
      <c r="AV273" s="221">
        <v>3</v>
      </c>
      <c r="AW273" s="221">
        <v>15</v>
      </c>
      <c r="AX273" s="56">
        <f t="shared" si="118"/>
        <v>24</v>
      </c>
      <c r="AY273" s="56">
        <f t="shared" si="118"/>
        <v>-16</v>
      </c>
      <c r="AZ273" s="56">
        <f t="shared" si="118"/>
        <v>11</v>
      </c>
      <c r="BA273" s="56">
        <f t="shared" si="117"/>
        <v>-23</v>
      </c>
      <c r="BB273" s="56">
        <f t="shared" si="117"/>
        <v>-15</v>
      </c>
      <c r="BC273" s="56">
        <f t="shared" si="117"/>
        <v>11</v>
      </c>
      <c r="BD273" s="56">
        <f t="shared" si="117"/>
        <v>-4</v>
      </c>
      <c r="BE273" s="56">
        <f t="shared" si="117"/>
        <v>-3</v>
      </c>
      <c r="BF273" s="56">
        <f t="shared" si="117"/>
        <v>-15</v>
      </c>
      <c r="BH273">
        <f t="shared" si="127"/>
        <v>1</v>
      </c>
      <c r="BI273">
        <f t="shared" si="136"/>
        <v>0</v>
      </c>
      <c r="BJ273" s="154">
        <v>310231.8666666667</v>
      </c>
      <c r="BK273" s="155">
        <f t="shared" si="128"/>
        <v>310231.8666666667</v>
      </c>
      <c r="BL273" s="156">
        <v>1140646.5077777777</v>
      </c>
      <c r="BM273" s="155">
        <f t="shared" si="129"/>
        <v>1140646.5077777777</v>
      </c>
      <c r="BN273" s="158">
        <v>355728.08444444445</v>
      </c>
      <c r="BO273" s="155">
        <f t="shared" si="130"/>
        <v>355728.08444444445</v>
      </c>
      <c r="BP273" s="158">
        <v>712167.33333333326</v>
      </c>
      <c r="BQ273" s="155">
        <f t="shared" si="131"/>
        <v>712167.33333333326</v>
      </c>
      <c r="BR273" s="158">
        <v>733099.31111111108</v>
      </c>
      <c r="BS273" s="155">
        <f t="shared" si="132"/>
        <v>733099.31111111108</v>
      </c>
      <c r="BT273" s="194">
        <v>765667.31111111096</v>
      </c>
      <c r="BU273" s="194"/>
      <c r="BV273" s="348">
        <f t="shared" si="137"/>
        <v>765667.31111111096</v>
      </c>
      <c r="BW273" s="195">
        <f t="shared" si="133"/>
        <v>633086.5422222222</v>
      </c>
      <c r="BX273" s="157" t="str">
        <f t="shared" si="138"/>
        <v>0</v>
      </c>
      <c r="BY273" s="157">
        <f>IF(E273*$CJ$10*'Year 7 Payments'!$L$20*IF(B273="",1,0.8)&lt;=(BW273-(J273*350)),E273*$CJ$10*'Year 7 Payments'!$L$20*IF(B273="",1,0.8),BW273-(IF(B273="",1,0.8)*J273*350))</f>
        <v>517753.34078222216</v>
      </c>
      <c r="BZ273" s="157" t="str">
        <f t="shared" si="139"/>
        <v>0</v>
      </c>
      <c r="CA273" s="157">
        <f t="shared" si="140"/>
        <v>115333.20144000003</v>
      </c>
      <c r="CB273" s="157">
        <f t="shared" si="141"/>
        <v>0</v>
      </c>
      <c r="CC273" s="157">
        <f t="shared" si="142"/>
        <v>461332.80576000013</v>
      </c>
      <c r="CD273" s="201">
        <f t="shared" si="143"/>
        <v>0</v>
      </c>
      <c r="CE273" s="155">
        <f t="shared" si="144"/>
        <v>115333.20144000003</v>
      </c>
    </row>
    <row r="274" spans="1:83" x14ac:dyDescent="0.2">
      <c r="A274" s="147" t="s">
        <v>745</v>
      </c>
      <c r="B274" s="57" t="s">
        <v>454</v>
      </c>
      <c r="C274" s="57" t="s">
        <v>443</v>
      </c>
      <c r="D274" s="148" t="s">
        <v>302</v>
      </c>
      <c r="E274" s="197">
        <v>55607.777777777781</v>
      </c>
      <c r="F274" s="147">
        <f t="shared" si="134"/>
        <v>61984</v>
      </c>
      <c r="G274" s="342">
        <v>291</v>
      </c>
      <c r="H274" s="149">
        <f t="shared" si="119"/>
        <v>631</v>
      </c>
      <c r="I274" s="346">
        <v>368.34666666666658</v>
      </c>
      <c r="J274" s="150">
        <v>36</v>
      </c>
      <c r="K274"/>
      <c r="L274" s="151">
        <v>9848</v>
      </c>
      <c r="M274" s="151">
        <v>15881</v>
      </c>
      <c r="N274" s="151">
        <v>16623</v>
      </c>
      <c r="O274" s="151">
        <v>10601</v>
      </c>
      <c r="P274" s="151">
        <v>5331</v>
      </c>
      <c r="Q274" s="151">
        <v>2394</v>
      </c>
      <c r="R274" s="151">
        <v>1194</v>
      </c>
      <c r="S274" s="151">
        <v>112</v>
      </c>
      <c r="T274" s="151">
        <v>61984</v>
      </c>
      <c r="U274" s="147"/>
      <c r="V274" s="152">
        <f t="shared" si="135"/>
        <v>0.15887971089313371</v>
      </c>
      <c r="W274" s="152">
        <f t="shared" si="120"/>
        <v>0.25621128033040785</v>
      </c>
      <c r="X274" s="152">
        <f t="shared" si="121"/>
        <v>0.26818211151264842</v>
      </c>
      <c r="Y274" s="152">
        <f t="shared" si="122"/>
        <v>0.17102800722767167</v>
      </c>
      <c r="Z274" s="152">
        <f t="shared" si="123"/>
        <v>8.6006066081569438E-2</v>
      </c>
      <c r="AA274" s="152">
        <f t="shared" si="124"/>
        <v>3.8622870418172431E-2</v>
      </c>
      <c r="AB274" s="152">
        <f t="shared" si="125"/>
        <v>1.9263035622096025E-2</v>
      </c>
      <c r="AC274" s="152">
        <f t="shared" si="126"/>
        <v>1.8069179143004647E-3</v>
      </c>
      <c r="AD274" s="152"/>
      <c r="AE274" s="221">
        <v>-31</v>
      </c>
      <c r="AF274" s="221">
        <v>127</v>
      </c>
      <c r="AG274" s="221">
        <v>152</v>
      </c>
      <c r="AH274" s="221">
        <v>116</v>
      </c>
      <c r="AI274" s="221">
        <v>81</v>
      </c>
      <c r="AJ274" s="221">
        <v>20</v>
      </c>
      <c r="AK274" s="221">
        <v>18</v>
      </c>
      <c r="AL274" s="221">
        <v>0</v>
      </c>
      <c r="AM274" s="221">
        <v>483</v>
      </c>
      <c r="AN274" s="147"/>
      <c r="AO274" s="221">
        <v>-116</v>
      </c>
      <c r="AP274" s="221">
        <v>-20</v>
      </c>
      <c r="AQ274" s="221">
        <v>-9</v>
      </c>
      <c r="AR274" s="221">
        <v>3</v>
      </c>
      <c r="AS274" s="221">
        <v>-10</v>
      </c>
      <c r="AT274" s="221">
        <v>1</v>
      </c>
      <c r="AU274" s="221">
        <v>3</v>
      </c>
      <c r="AV274" s="221">
        <v>0</v>
      </c>
      <c r="AW274" s="221">
        <v>-148</v>
      </c>
      <c r="AX274" s="56">
        <f t="shared" si="118"/>
        <v>116</v>
      </c>
      <c r="AY274" s="56">
        <f t="shared" si="118"/>
        <v>20</v>
      </c>
      <c r="AZ274" s="56">
        <f t="shared" si="118"/>
        <v>9</v>
      </c>
      <c r="BA274" s="56">
        <f t="shared" si="117"/>
        <v>-3</v>
      </c>
      <c r="BB274" s="56">
        <f t="shared" si="117"/>
        <v>10</v>
      </c>
      <c r="BC274" s="56">
        <f t="shared" si="117"/>
        <v>-1</v>
      </c>
      <c r="BD274" s="56">
        <f t="shared" si="117"/>
        <v>-3</v>
      </c>
      <c r="BE274" s="56">
        <f t="shared" si="117"/>
        <v>0</v>
      </c>
      <c r="BF274" s="56">
        <f t="shared" si="117"/>
        <v>148</v>
      </c>
      <c r="BH274">
        <f t="shared" si="127"/>
        <v>0.8</v>
      </c>
      <c r="BI274">
        <f t="shared" si="136"/>
        <v>0.19999999999999996</v>
      </c>
      <c r="BJ274" s="154">
        <v>749034.05333333346</v>
      </c>
      <c r="BK274" s="155">
        <f t="shared" si="128"/>
        <v>749034.05333333346</v>
      </c>
      <c r="BL274" s="156">
        <v>451266.7919999999</v>
      </c>
      <c r="BM274" s="155">
        <f t="shared" si="129"/>
        <v>451266.7919999999</v>
      </c>
      <c r="BN274" s="158">
        <v>562673.09422222222</v>
      </c>
      <c r="BO274" s="155">
        <f t="shared" si="130"/>
        <v>562673.09422222222</v>
      </c>
      <c r="BP274" s="158">
        <v>505712.7466666667</v>
      </c>
      <c r="BQ274" s="155">
        <f t="shared" si="131"/>
        <v>505712.7466666667</v>
      </c>
      <c r="BR274" s="158">
        <v>542151.88266666664</v>
      </c>
      <c r="BS274" s="155">
        <f t="shared" si="132"/>
        <v>542151.88266666664</v>
      </c>
      <c r="BT274" s="194">
        <v>661436.22222222225</v>
      </c>
      <c r="BU274" s="194"/>
      <c r="BV274" s="348">
        <f t="shared" si="137"/>
        <v>661436.22222222225</v>
      </c>
      <c r="BW274" s="195">
        <f t="shared" si="133"/>
        <v>732984.04622222227</v>
      </c>
      <c r="BX274" s="157">
        <f t="shared" si="138"/>
        <v>183246.01155555557</v>
      </c>
      <c r="BY274" s="157">
        <f>IF(E274*$CJ$10*'Year 7 Payments'!$L$20*IF(B274="",1,0.8)&lt;=(BW274-(J274*350)),E274*$CJ$10*'Year 7 Payments'!$L$20*IF(B274="",1,0.8),BW274-(IF(B274="",1,0.8)*J274*350))</f>
        <v>272177.38424888888</v>
      </c>
      <c r="BZ274" s="157">
        <f t="shared" si="139"/>
        <v>68044.346062222219</v>
      </c>
      <c r="CA274" s="157">
        <f t="shared" si="140"/>
        <v>460806.66197333339</v>
      </c>
      <c r="CB274" s="157">
        <f t="shared" si="141"/>
        <v>115201.66549333335</v>
      </c>
      <c r="CC274" s="157">
        <f t="shared" si="142"/>
        <v>1843226.6478933336</v>
      </c>
      <c r="CD274" s="201">
        <f t="shared" si="143"/>
        <v>460806.66197333339</v>
      </c>
      <c r="CE274" s="155">
        <f t="shared" si="144"/>
        <v>460806.66197333339</v>
      </c>
    </row>
    <row r="275" spans="1:83" x14ac:dyDescent="0.2">
      <c r="A275" s="147" t="s">
        <v>746</v>
      </c>
      <c r="B275" s="57"/>
      <c r="C275" s="57" t="s">
        <v>472</v>
      </c>
      <c r="D275" s="148" t="s">
        <v>303</v>
      </c>
      <c r="E275" s="197">
        <v>83738.888888888905</v>
      </c>
      <c r="F275" s="147">
        <f t="shared" si="134"/>
        <v>94374</v>
      </c>
      <c r="G275" s="342">
        <v>494</v>
      </c>
      <c r="H275" s="149">
        <f t="shared" si="119"/>
        <v>957</v>
      </c>
      <c r="I275" s="346">
        <v>687.5999999999998</v>
      </c>
      <c r="J275" s="150">
        <v>57</v>
      </c>
      <c r="K275"/>
      <c r="L275" s="151">
        <v>14414</v>
      </c>
      <c r="M275" s="151">
        <v>26886</v>
      </c>
      <c r="N275" s="151">
        <v>23698</v>
      </c>
      <c r="O275" s="151">
        <v>16444</v>
      </c>
      <c r="P275" s="151">
        <v>8295</v>
      </c>
      <c r="Q275" s="151">
        <v>3270</v>
      </c>
      <c r="R275" s="151">
        <v>1300</v>
      </c>
      <c r="S275" s="151">
        <v>67</v>
      </c>
      <c r="T275" s="151">
        <v>94374</v>
      </c>
      <c r="U275" s="147"/>
      <c r="V275" s="152">
        <f t="shared" si="135"/>
        <v>0.15273274418801788</v>
      </c>
      <c r="W275" s="152">
        <f t="shared" si="120"/>
        <v>0.28488778689045713</v>
      </c>
      <c r="X275" s="152">
        <f t="shared" si="121"/>
        <v>0.25110729650115499</v>
      </c>
      <c r="Y275" s="152">
        <f t="shared" si="122"/>
        <v>0.17424290588509547</v>
      </c>
      <c r="Z275" s="152">
        <f t="shared" si="123"/>
        <v>8.789497107254117E-2</v>
      </c>
      <c r="AA275" s="152">
        <f t="shared" si="124"/>
        <v>3.464937376819887E-2</v>
      </c>
      <c r="AB275" s="152">
        <f t="shared" si="125"/>
        <v>1.3774980397143281E-2</v>
      </c>
      <c r="AC275" s="152">
        <f t="shared" si="126"/>
        <v>7.0994129739123063E-4</v>
      </c>
      <c r="AD275" s="152"/>
      <c r="AE275" s="221">
        <v>84</v>
      </c>
      <c r="AF275" s="221">
        <v>114</v>
      </c>
      <c r="AG275" s="221">
        <v>169</v>
      </c>
      <c r="AH275" s="221">
        <v>267</v>
      </c>
      <c r="AI275" s="221">
        <v>168</v>
      </c>
      <c r="AJ275" s="221">
        <v>156</v>
      </c>
      <c r="AK275" s="221">
        <v>37</v>
      </c>
      <c r="AL275" s="221">
        <v>1</v>
      </c>
      <c r="AM275" s="221">
        <v>996</v>
      </c>
      <c r="AN275" s="147"/>
      <c r="AO275" s="221">
        <v>-26</v>
      </c>
      <c r="AP275" s="221">
        <v>44</v>
      </c>
      <c r="AQ275" s="221">
        <v>10</v>
      </c>
      <c r="AR275" s="221">
        <v>20</v>
      </c>
      <c r="AS275" s="221">
        <v>-8</v>
      </c>
      <c r="AT275" s="221">
        <v>0</v>
      </c>
      <c r="AU275" s="221">
        <v>1</v>
      </c>
      <c r="AV275" s="221">
        <v>-2</v>
      </c>
      <c r="AW275" s="221">
        <v>39</v>
      </c>
      <c r="AX275" s="56">
        <f t="shared" si="118"/>
        <v>26</v>
      </c>
      <c r="AY275" s="56">
        <f t="shared" si="118"/>
        <v>-44</v>
      </c>
      <c r="AZ275" s="56">
        <f t="shared" si="118"/>
        <v>-10</v>
      </c>
      <c r="BA275" s="56">
        <f t="shared" si="117"/>
        <v>-20</v>
      </c>
      <c r="BB275" s="56">
        <f t="shared" si="117"/>
        <v>8</v>
      </c>
      <c r="BC275" s="56">
        <f t="shared" si="117"/>
        <v>0</v>
      </c>
      <c r="BD275" s="56">
        <f t="shared" si="117"/>
        <v>-1</v>
      </c>
      <c r="BE275" s="56">
        <f t="shared" si="117"/>
        <v>2</v>
      </c>
      <c r="BF275" s="56">
        <f t="shared" si="117"/>
        <v>-39</v>
      </c>
      <c r="BH275">
        <f t="shared" si="127"/>
        <v>1</v>
      </c>
      <c r="BI275">
        <f t="shared" si="136"/>
        <v>0</v>
      </c>
      <c r="BJ275" s="154">
        <v>1451213.5</v>
      </c>
      <c r="BK275" s="155">
        <f t="shared" si="128"/>
        <v>1451213.5</v>
      </c>
      <c r="BL275" s="156">
        <v>1332045.8844444444</v>
      </c>
      <c r="BM275" s="155">
        <f t="shared" si="129"/>
        <v>1332045.8844444444</v>
      </c>
      <c r="BN275" s="158">
        <v>1222145.8933333331</v>
      </c>
      <c r="BO275" s="155">
        <f t="shared" si="130"/>
        <v>1222145.8933333331</v>
      </c>
      <c r="BP275" s="158">
        <v>1069119.0666666664</v>
      </c>
      <c r="BQ275" s="155">
        <f t="shared" si="131"/>
        <v>1069119.0666666664</v>
      </c>
      <c r="BR275" s="158">
        <v>1028043.9488888889</v>
      </c>
      <c r="BS275" s="155">
        <f t="shared" si="132"/>
        <v>1028043.9488888889</v>
      </c>
      <c r="BT275" s="194">
        <v>905035.47555555531</v>
      </c>
      <c r="BU275" s="194"/>
      <c r="BV275" s="348">
        <f t="shared" si="137"/>
        <v>905035.47555555531</v>
      </c>
      <c r="BW275" s="195">
        <f t="shared" si="133"/>
        <v>1584010.0755555555</v>
      </c>
      <c r="BX275" s="157" t="str">
        <f t="shared" si="138"/>
        <v>0</v>
      </c>
      <c r="BY275" s="157">
        <f>IF(E275*$CJ$10*'Year 7 Payments'!$L$20*IF(B275="",1,0.8)&lt;=(BW275-(J275*350)),E275*$CJ$10*'Year 7 Payments'!$L$20*IF(B275="",1,0.8),BW275-(IF(B275="",1,0.8)*J275*350))</f>
        <v>512334.61955555563</v>
      </c>
      <c r="BZ275" s="157" t="str">
        <f t="shared" si="139"/>
        <v>0</v>
      </c>
      <c r="CA275" s="157">
        <f t="shared" si="140"/>
        <v>1071675.4559999998</v>
      </c>
      <c r="CB275" s="157">
        <f t="shared" si="141"/>
        <v>0</v>
      </c>
      <c r="CC275" s="157">
        <f t="shared" si="142"/>
        <v>4286701.8239999991</v>
      </c>
      <c r="CD275" s="201">
        <f t="shared" si="143"/>
        <v>0</v>
      </c>
      <c r="CE275" s="155">
        <f t="shared" si="144"/>
        <v>1071675.4559999998</v>
      </c>
    </row>
    <row r="276" spans="1:83" x14ac:dyDescent="0.2">
      <c r="A276" s="147" t="s">
        <v>747</v>
      </c>
      <c r="B276" s="57"/>
      <c r="C276" s="57" t="s">
        <v>446</v>
      </c>
      <c r="D276" s="148" t="s">
        <v>304</v>
      </c>
      <c r="E276" s="197">
        <v>78046.111111111109</v>
      </c>
      <c r="F276" s="147">
        <f t="shared" si="134"/>
        <v>101421</v>
      </c>
      <c r="G276" s="342">
        <v>997</v>
      </c>
      <c r="H276" s="149">
        <f t="shared" si="119"/>
        <v>498</v>
      </c>
      <c r="I276" s="346">
        <v>121.59333333333325</v>
      </c>
      <c r="J276" s="150">
        <v>83</v>
      </c>
      <c r="K276"/>
      <c r="L276" s="151">
        <v>52308</v>
      </c>
      <c r="M276" s="151">
        <v>18628</v>
      </c>
      <c r="N276" s="151">
        <v>18993</v>
      </c>
      <c r="O276" s="151">
        <v>6576</v>
      </c>
      <c r="P276" s="151">
        <v>3589</v>
      </c>
      <c r="Q276" s="151">
        <v>894</v>
      </c>
      <c r="R276" s="151">
        <v>389</v>
      </c>
      <c r="S276" s="151">
        <v>44</v>
      </c>
      <c r="T276" s="151">
        <v>101421</v>
      </c>
      <c r="U276" s="147"/>
      <c r="V276" s="152">
        <f t="shared" si="135"/>
        <v>0.5157511757919957</v>
      </c>
      <c r="W276" s="152">
        <f t="shared" si="120"/>
        <v>0.18367004860926239</v>
      </c>
      <c r="X276" s="152">
        <f t="shared" si="121"/>
        <v>0.18726890880586861</v>
      </c>
      <c r="Y276" s="152">
        <f t="shared" si="122"/>
        <v>6.4838642884609693E-2</v>
      </c>
      <c r="Z276" s="152">
        <f t="shared" si="123"/>
        <v>3.5387148618136285E-2</v>
      </c>
      <c r="AA276" s="152">
        <f t="shared" si="124"/>
        <v>8.8147425089478513E-3</v>
      </c>
      <c r="AB276" s="152">
        <f t="shared" si="125"/>
        <v>3.8354975793967717E-3</v>
      </c>
      <c r="AC276" s="152">
        <f t="shared" si="126"/>
        <v>4.338352017826683E-4</v>
      </c>
      <c r="AD276" s="152"/>
      <c r="AE276" s="221">
        <v>103</v>
      </c>
      <c r="AF276" s="221">
        <v>82</v>
      </c>
      <c r="AG276" s="221">
        <v>130</v>
      </c>
      <c r="AH276" s="221">
        <v>77</v>
      </c>
      <c r="AI276" s="221">
        <v>49</v>
      </c>
      <c r="AJ276" s="221">
        <v>11</v>
      </c>
      <c r="AK276" s="221">
        <v>1</v>
      </c>
      <c r="AL276" s="221">
        <v>0</v>
      </c>
      <c r="AM276" s="221">
        <v>453</v>
      </c>
      <c r="AN276" s="147"/>
      <c r="AO276" s="221">
        <v>-43</v>
      </c>
      <c r="AP276" s="221">
        <v>0</v>
      </c>
      <c r="AQ276" s="221">
        <v>-4</v>
      </c>
      <c r="AR276" s="221">
        <v>-1</v>
      </c>
      <c r="AS276" s="221">
        <v>8</v>
      </c>
      <c r="AT276" s="221">
        <v>-2</v>
      </c>
      <c r="AU276" s="221">
        <v>-3</v>
      </c>
      <c r="AV276" s="221">
        <v>0</v>
      </c>
      <c r="AW276" s="221">
        <v>-45</v>
      </c>
      <c r="AX276" s="56">
        <f t="shared" si="118"/>
        <v>43</v>
      </c>
      <c r="AY276" s="56">
        <f t="shared" si="118"/>
        <v>0</v>
      </c>
      <c r="AZ276" s="56">
        <f t="shared" si="118"/>
        <v>4</v>
      </c>
      <c r="BA276" s="56">
        <f t="shared" si="117"/>
        <v>1</v>
      </c>
      <c r="BB276" s="56">
        <f t="shared" si="117"/>
        <v>-8</v>
      </c>
      <c r="BC276" s="56">
        <f t="shared" si="117"/>
        <v>2</v>
      </c>
      <c r="BD276" s="56">
        <f t="shared" si="117"/>
        <v>3</v>
      </c>
      <c r="BE276" s="56">
        <f t="shared" si="117"/>
        <v>0</v>
      </c>
      <c r="BF276" s="56">
        <f t="shared" si="117"/>
        <v>45</v>
      </c>
      <c r="BH276">
        <f t="shared" si="127"/>
        <v>1</v>
      </c>
      <c r="BI276">
        <f t="shared" si="136"/>
        <v>0</v>
      </c>
      <c r="BJ276" s="154">
        <v>637894.28666666674</v>
      </c>
      <c r="BK276" s="155">
        <f t="shared" si="128"/>
        <v>637894.28666666674</v>
      </c>
      <c r="BL276" s="156">
        <v>750943.41222222208</v>
      </c>
      <c r="BM276" s="155">
        <f t="shared" si="129"/>
        <v>750943.41222222208</v>
      </c>
      <c r="BN276" s="158">
        <v>983583.75444444455</v>
      </c>
      <c r="BO276" s="155">
        <f t="shared" si="130"/>
        <v>983583.75444444455</v>
      </c>
      <c r="BP276" s="158">
        <v>641718.53333333333</v>
      </c>
      <c r="BQ276" s="155">
        <f t="shared" si="131"/>
        <v>641718.53333333333</v>
      </c>
      <c r="BR276" s="158">
        <v>499438.77111111116</v>
      </c>
      <c r="BS276" s="155">
        <f t="shared" si="132"/>
        <v>499438.77111111116</v>
      </c>
      <c r="BT276" s="194">
        <v>842981.1755555555</v>
      </c>
      <c r="BU276" s="194"/>
      <c r="BV276" s="348">
        <f t="shared" si="137"/>
        <v>842981.1755555555</v>
      </c>
      <c r="BW276" s="195">
        <f t="shared" si="133"/>
        <v>692539.13777777785</v>
      </c>
      <c r="BX276" s="157" t="str">
        <f t="shared" si="138"/>
        <v>0</v>
      </c>
      <c r="BY276" s="157">
        <f>IF(E276*$CJ$10*'Year 7 Payments'!$L$20*IF(B276="",1,0.8)&lt;=(BW276-(J276*350)),E276*$CJ$10*'Year 7 Payments'!$L$20*IF(B276="",1,0.8),BW276-(IF(B276="",1,0.8)*J276*350))</f>
        <v>477504.83884444443</v>
      </c>
      <c r="BZ276" s="157" t="str">
        <f t="shared" si="139"/>
        <v>0</v>
      </c>
      <c r="CA276" s="157">
        <f t="shared" si="140"/>
        <v>215034.29893333343</v>
      </c>
      <c r="CB276" s="157">
        <f t="shared" si="141"/>
        <v>0</v>
      </c>
      <c r="CC276" s="157">
        <f t="shared" si="142"/>
        <v>860137.1957333337</v>
      </c>
      <c r="CD276" s="201">
        <f t="shared" si="143"/>
        <v>0</v>
      </c>
      <c r="CE276" s="155">
        <f t="shared" si="144"/>
        <v>215034.29893333343</v>
      </c>
    </row>
    <row r="277" spans="1:83" x14ac:dyDescent="0.2">
      <c r="A277" s="147" t="s">
        <v>748</v>
      </c>
      <c r="B277" s="57" t="s">
        <v>510</v>
      </c>
      <c r="C277" s="57" t="s">
        <v>476</v>
      </c>
      <c r="D277" s="148" t="s">
        <v>305</v>
      </c>
      <c r="E277" s="197">
        <v>26251.777777777777</v>
      </c>
      <c r="F277" s="147">
        <f t="shared" si="134"/>
        <v>32203</v>
      </c>
      <c r="G277" s="342">
        <v>251</v>
      </c>
      <c r="H277" s="149">
        <f t="shared" si="119"/>
        <v>27</v>
      </c>
      <c r="I277" s="346">
        <v>0</v>
      </c>
      <c r="J277" s="150">
        <v>18</v>
      </c>
      <c r="K277"/>
      <c r="L277" s="151">
        <v>9414</v>
      </c>
      <c r="M277" s="151">
        <v>11686</v>
      </c>
      <c r="N277" s="151">
        <v>5394</v>
      </c>
      <c r="O277" s="151">
        <v>3507</v>
      </c>
      <c r="P277" s="151">
        <v>1712</v>
      </c>
      <c r="Q277" s="151">
        <v>419</v>
      </c>
      <c r="R277" s="151">
        <v>66</v>
      </c>
      <c r="S277" s="151">
        <v>5</v>
      </c>
      <c r="T277" s="151">
        <v>32203</v>
      </c>
      <c r="U277" s="147"/>
      <c r="V277" s="152">
        <f t="shared" si="135"/>
        <v>0.29233301245225601</v>
      </c>
      <c r="W277" s="152">
        <f t="shared" si="120"/>
        <v>0.36288544545539236</v>
      </c>
      <c r="X277" s="152">
        <f t="shared" si="121"/>
        <v>0.16749992236748129</v>
      </c>
      <c r="Y277" s="152">
        <f t="shared" si="122"/>
        <v>0.10890289724559823</v>
      </c>
      <c r="Z277" s="152">
        <f t="shared" si="123"/>
        <v>5.3162748812222466E-2</v>
      </c>
      <c r="AA277" s="152">
        <f t="shared" si="124"/>
        <v>1.3011210135701643E-2</v>
      </c>
      <c r="AB277" s="152">
        <f t="shared" si="125"/>
        <v>2.049498493929137E-3</v>
      </c>
      <c r="AC277" s="152">
        <f t="shared" si="126"/>
        <v>1.5526503741887401E-4</v>
      </c>
      <c r="AD277" s="152"/>
      <c r="AE277" s="221">
        <v>26</v>
      </c>
      <c r="AF277" s="221">
        <v>8</v>
      </c>
      <c r="AG277" s="221">
        <v>27</v>
      </c>
      <c r="AH277" s="221">
        <v>16</v>
      </c>
      <c r="AI277" s="221">
        <v>22</v>
      </c>
      <c r="AJ277" s="221">
        <v>5</v>
      </c>
      <c r="AK277" s="221">
        <v>4</v>
      </c>
      <c r="AL277" s="221">
        <v>0</v>
      </c>
      <c r="AM277" s="221">
        <v>108</v>
      </c>
      <c r="AN277" s="147"/>
      <c r="AO277" s="221">
        <v>65</v>
      </c>
      <c r="AP277" s="221">
        <v>4</v>
      </c>
      <c r="AQ277" s="221">
        <v>5</v>
      </c>
      <c r="AR277" s="221">
        <v>8</v>
      </c>
      <c r="AS277" s="221">
        <v>-1</v>
      </c>
      <c r="AT277" s="221">
        <v>0</v>
      </c>
      <c r="AU277" s="221">
        <v>0</v>
      </c>
      <c r="AV277" s="221">
        <v>0</v>
      </c>
      <c r="AW277" s="221">
        <v>81</v>
      </c>
      <c r="AX277" s="56">
        <f t="shared" si="118"/>
        <v>-65</v>
      </c>
      <c r="AY277" s="56">
        <f t="shared" si="118"/>
        <v>-4</v>
      </c>
      <c r="AZ277" s="56">
        <f t="shared" si="118"/>
        <v>-5</v>
      </c>
      <c r="BA277" s="56">
        <f t="shared" si="117"/>
        <v>-8</v>
      </c>
      <c r="BB277" s="56">
        <f t="shared" si="117"/>
        <v>1</v>
      </c>
      <c r="BC277" s="56">
        <f t="shared" si="117"/>
        <v>0</v>
      </c>
      <c r="BD277" s="56">
        <f t="shared" si="117"/>
        <v>0</v>
      </c>
      <c r="BE277" s="56">
        <f t="shared" si="117"/>
        <v>0</v>
      </c>
      <c r="BF277" s="56">
        <f t="shared" si="117"/>
        <v>-81</v>
      </c>
      <c r="BH277">
        <f t="shared" si="127"/>
        <v>0.8</v>
      </c>
      <c r="BI277">
        <f t="shared" si="136"/>
        <v>0.19999999999999996</v>
      </c>
      <c r="BJ277" s="154">
        <v>156075.4133333333</v>
      </c>
      <c r="BK277" s="155">
        <f t="shared" si="128"/>
        <v>156075.4133333333</v>
      </c>
      <c r="BL277" s="156">
        <v>123608.23644444445</v>
      </c>
      <c r="BM277" s="155">
        <f t="shared" si="129"/>
        <v>123608.23644444445</v>
      </c>
      <c r="BN277" s="158">
        <v>108853.68888888891</v>
      </c>
      <c r="BO277" s="155">
        <f t="shared" si="130"/>
        <v>108853.68888888891</v>
      </c>
      <c r="BP277" s="158">
        <v>139625.38666666666</v>
      </c>
      <c r="BQ277" s="155">
        <f t="shared" si="131"/>
        <v>139625.38666666666</v>
      </c>
      <c r="BR277" s="158">
        <v>24835.989333333331</v>
      </c>
      <c r="BS277" s="155">
        <f t="shared" si="132"/>
        <v>24835.989333333331</v>
      </c>
      <c r="BT277" s="194">
        <v>98762.334222222213</v>
      </c>
      <c r="BU277" s="194"/>
      <c r="BV277" s="348">
        <f t="shared" si="137"/>
        <v>98762.334222222213</v>
      </c>
      <c r="BW277" s="195">
        <f t="shared" si="133"/>
        <v>62143.573333333356</v>
      </c>
      <c r="BX277" s="157">
        <f t="shared" si="138"/>
        <v>15535.893333333339</v>
      </c>
      <c r="BY277" s="157">
        <f>IF(E277*$CJ$10*'Year 7 Payments'!$L$20*IF(B277="",1,0.8)&lt;=(BW277-(J277*350)),E277*$CJ$10*'Year 7 Payments'!$L$20*IF(B277="",1,0.8),BW277-(IF(B277="",1,0.8)*J277*350))</f>
        <v>57103.573333333356</v>
      </c>
      <c r="BZ277" s="157">
        <f t="shared" si="139"/>
        <v>14275.893333333339</v>
      </c>
      <c r="CA277" s="157">
        <f t="shared" si="140"/>
        <v>5040</v>
      </c>
      <c r="CB277" s="157">
        <f t="shared" si="141"/>
        <v>1260</v>
      </c>
      <c r="CC277" s="157">
        <f t="shared" si="142"/>
        <v>20160</v>
      </c>
      <c r="CD277" s="201">
        <f t="shared" si="143"/>
        <v>5040</v>
      </c>
      <c r="CE277" s="155">
        <f t="shared" si="144"/>
        <v>5040</v>
      </c>
    </row>
    <row r="278" spans="1:83" x14ac:dyDescent="0.2">
      <c r="A278" s="147" t="s">
        <v>749</v>
      </c>
      <c r="B278" s="57" t="s">
        <v>568</v>
      </c>
      <c r="C278" s="57" t="s">
        <v>443</v>
      </c>
      <c r="D278" s="148" t="s">
        <v>306</v>
      </c>
      <c r="E278" s="197">
        <v>43138.555555555555</v>
      </c>
      <c r="F278" s="147">
        <f t="shared" si="134"/>
        <v>36215</v>
      </c>
      <c r="G278" s="342">
        <v>245</v>
      </c>
      <c r="H278" s="149">
        <f t="shared" si="119"/>
        <v>407</v>
      </c>
      <c r="I278" s="346">
        <v>320.44577777777778</v>
      </c>
      <c r="J278" s="150">
        <v>12</v>
      </c>
      <c r="K278"/>
      <c r="L278" s="151">
        <v>917</v>
      </c>
      <c r="M278" s="151">
        <v>2169</v>
      </c>
      <c r="N278" s="151">
        <v>4998</v>
      </c>
      <c r="O278" s="151">
        <v>8655</v>
      </c>
      <c r="P278" s="151">
        <v>7402</v>
      </c>
      <c r="Q278" s="151">
        <v>4770</v>
      </c>
      <c r="R278" s="151">
        <v>6101</v>
      </c>
      <c r="S278" s="151">
        <v>1203</v>
      </c>
      <c r="T278" s="151">
        <v>36215</v>
      </c>
      <c r="U278" s="147"/>
      <c r="V278" s="152">
        <f t="shared" si="135"/>
        <v>2.5320999585806987E-2</v>
      </c>
      <c r="W278" s="152">
        <f t="shared" si="120"/>
        <v>5.9892309816374431E-2</v>
      </c>
      <c r="X278" s="152">
        <f t="shared" si="121"/>
        <v>0.13800911224630677</v>
      </c>
      <c r="Y278" s="152">
        <f t="shared" si="122"/>
        <v>0.23898936904597542</v>
      </c>
      <c r="Z278" s="152">
        <f t="shared" si="123"/>
        <v>0.20439044594781167</v>
      </c>
      <c r="AA278" s="152">
        <f t="shared" si="124"/>
        <v>0.13171337843435041</v>
      </c>
      <c r="AB278" s="152">
        <f t="shared" si="125"/>
        <v>0.16846610520502553</v>
      </c>
      <c r="AC278" s="152">
        <f t="shared" si="126"/>
        <v>3.3218279718348752E-2</v>
      </c>
      <c r="AD278" s="152"/>
      <c r="AE278" s="221">
        <v>10</v>
      </c>
      <c r="AF278" s="221">
        <v>27</v>
      </c>
      <c r="AG278" s="221">
        <v>59</v>
      </c>
      <c r="AH278" s="221">
        <v>70</v>
      </c>
      <c r="AI278" s="221">
        <v>89</v>
      </c>
      <c r="AJ278" s="221">
        <v>31</v>
      </c>
      <c r="AK278" s="221">
        <v>51</v>
      </c>
      <c r="AL278" s="221">
        <v>25</v>
      </c>
      <c r="AM278" s="221">
        <v>362</v>
      </c>
      <c r="AN278" s="147"/>
      <c r="AO278" s="221">
        <v>-3</v>
      </c>
      <c r="AP278" s="221">
        <v>-3</v>
      </c>
      <c r="AQ278" s="221">
        <v>-13</v>
      </c>
      <c r="AR278" s="221">
        <v>-6</v>
      </c>
      <c r="AS278" s="221">
        <v>-5</v>
      </c>
      <c r="AT278" s="221">
        <v>-3</v>
      </c>
      <c r="AU278" s="221">
        <v>-6</v>
      </c>
      <c r="AV278" s="221">
        <v>-6</v>
      </c>
      <c r="AW278" s="221">
        <v>-45</v>
      </c>
      <c r="AX278" s="56">
        <f t="shared" si="118"/>
        <v>3</v>
      </c>
      <c r="AY278" s="56">
        <f t="shared" si="118"/>
        <v>3</v>
      </c>
      <c r="AZ278" s="56">
        <f t="shared" si="118"/>
        <v>13</v>
      </c>
      <c r="BA278" s="56">
        <f t="shared" si="117"/>
        <v>6</v>
      </c>
      <c r="BB278" s="56">
        <f t="shared" si="117"/>
        <v>5</v>
      </c>
      <c r="BC278" s="56">
        <f t="shared" si="117"/>
        <v>3</v>
      </c>
      <c r="BD278" s="56">
        <f t="shared" si="117"/>
        <v>6</v>
      </c>
      <c r="BE278" s="56">
        <f t="shared" si="117"/>
        <v>6</v>
      </c>
      <c r="BF278" s="56">
        <f t="shared" si="117"/>
        <v>45</v>
      </c>
      <c r="BH278">
        <f t="shared" si="127"/>
        <v>0.8</v>
      </c>
      <c r="BI278">
        <f t="shared" si="136"/>
        <v>0.19999999999999996</v>
      </c>
      <c r="BJ278" s="154">
        <v>234241.05066666671</v>
      </c>
      <c r="BK278" s="155">
        <f t="shared" si="128"/>
        <v>234241.05066666671</v>
      </c>
      <c r="BL278" s="156">
        <v>296308.97777777782</v>
      </c>
      <c r="BM278" s="155">
        <f t="shared" si="129"/>
        <v>296308.97777777782</v>
      </c>
      <c r="BN278" s="158">
        <v>395482.97777777782</v>
      </c>
      <c r="BO278" s="155">
        <f t="shared" si="130"/>
        <v>395482.97777777782</v>
      </c>
      <c r="BP278" s="158">
        <v>316228.05333333334</v>
      </c>
      <c r="BQ278" s="155">
        <f t="shared" si="131"/>
        <v>316228.05333333334</v>
      </c>
      <c r="BR278" s="158">
        <v>326127.8631111111</v>
      </c>
      <c r="BS278" s="155">
        <f t="shared" si="132"/>
        <v>326127.8631111111</v>
      </c>
      <c r="BT278" s="194">
        <v>277646.33244444442</v>
      </c>
      <c r="BU278" s="194"/>
      <c r="BV278" s="348">
        <f t="shared" si="137"/>
        <v>277646.33244444442</v>
      </c>
      <c r="BW278" s="195">
        <f t="shared" si="133"/>
        <v>606618.46400000004</v>
      </c>
      <c r="BX278" s="157">
        <f t="shared" si="138"/>
        <v>151654.61600000001</v>
      </c>
      <c r="BY278" s="157">
        <f>IF(E278*$CJ$10*'Year 7 Payments'!$L$20*IF(B278="",1,0.8)&lt;=(BW278-(J278*350)),E278*$CJ$10*'Year 7 Payments'!$L$20*IF(B278="",1,0.8),BW278-(IF(B278="",1,0.8)*J278*350))</f>
        <v>211145.62891377776</v>
      </c>
      <c r="BZ278" s="157">
        <f t="shared" si="139"/>
        <v>52786.407228444441</v>
      </c>
      <c r="CA278" s="157">
        <f t="shared" si="140"/>
        <v>395472.83508622227</v>
      </c>
      <c r="CB278" s="157">
        <f t="shared" si="141"/>
        <v>98868.208771555568</v>
      </c>
      <c r="CC278" s="157">
        <f t="shared" si="142"/>
        <v>1581891.3403448891</v>
      </c>
      <c r="CD278" s="201">
        <f t="shared" si="143"/>
        <v>395472.83508622227</v>
      </c>
      <c r="CE278" s="155">
        <f t="shared" si="144"/>
        <v>395472.83508622227</v>
      </c>
    </row>
    <row r="279" spans="1:83" x14ac:dyDescent="0.2">
      <c r="A279" s="147" t="s">
        <v>750</v>
      </c>
      <c r="B279" s="57" t="s">
        <v>639</v>
      </c>
      <c r="C279" s="57" t="s">
        <v>472</v>
      </c>
      <c r="D279" s="148" t="s">
        <v>307</v>
      </c>
      <c r="E279" s="197">
        <v>48156.333333333336</v>
      </c>
      <c r="F279" s="147">
        <f t="shared" si="134"/>
        <v>52840</v>
      </c>
      <c r="G279" s="342">
        <v>456</v>
      </c>
      <c r="H279" s="149">
        <f t="shared" si="119"/>
        <v>1109</v>
      </c>
      <c r="I279" s="346">
        <v>910.59688888888877</v>
      </c>
      <c r="J279" s="150">
        <v>273</v>
      </c>
      <c r="K279"/>
      <c r="L279" s="151">
        <v>7446</v>
      </c>
      <c r="M279" s="151">
        <v>16190</v>
      </c>
      <c r="N279" s="151">
        <v>10491</v>
      </c>
      <c r="O279" s="151">
        <v>7453</v>
      </c>
      <c r="P279" s="151">
        <v>6055</v>
      </c>
      <c r="Q279" s="151">
        <v>3528</v>
      </c>
      <c r="R279" s="151">
        <v>1577</v>
      </c>
      <c r="S279" s="151">
        <v>100</v>
      </c>
      <c r="T279" s="151">
        <v>52840</v>
      </c>
      <c r="U279" s="147"/>
      <c r="V279" s="152">
        <f t="shared" si="135"/>
        <v>0.14091597274791826</v>
      </c>
      <c r="W279" s="152">
        <f t="shared" si="120"/>
        <v>0.30639666919000758</v>
      </c>
      <c r="X279" s="152">
        <f t="shared" si="121"/>
        <v>0.19854277062831188</v>
      </c>
      <c r="Y279" s="152">
        <f t="shared" si="122"/>
        <v>0.14104844814534442</v>
      </c>
      <c r="Z279" s="152">
        <f t="shared" si="123"/>
        <v>0.11459121877365631</v>
      </c>
      <c r="AA279" s="152">
        <f t="shared" si="124"/>
        <v>6.6767600302800906E-2</v>
      </c>
      <c r="AB279" s="152">
        <f t="shared" si="125"/>
        <v>2.9844814534443605E-2</v>
      </c>
      <c r="AC279" s="152">
        <f t="shared" si="126"/>
        <v>1.8925056775170325E-3</v>
      </c>
      <c r="AD279" s="152"/>
      <c r="AE279" s="221">
        <v>46</v>
      </c>
      <c r="AF279" s="221">
        <v>286</v>
      </c>
      <c r="AG279" s="221">
        <v>294</v>
      </c>
      <c r="AH279" s="221">
        <v>128</v>
      </c>
      <c r="AI279" s="221">
        <v>233</v>
      </c>
      <c r="AJ279" s="221">
        <v>88</v>
      </c>
      <c r="AK279" s="221">
        <v>26</v>
      </c>
      <c r="AL279" s="221">
        <v>0</v>
      </c>
      <c r="AM279" s="221">
        <v>1101</v>
      </c>
      <c r="AN279" s="147"/>
      <c r="AO279" s="221">
        <v>0</v>
      </c>
      <c r="AP279" s="221">
        <v>11</v>
      </c>
      <c r="AQ279" s="221">
        <v>-6</v>
      </c>
      <c r="AR279" s="221">
        <v>-12</v>
      </c>
      <c r="AS279" s="221">
        <v>-10</v>
      </c>
      <c r="AT279" s="221">
        <v>1</v>
      </c>
      <c r="AU279" s="221">
        <v>6</v>
      </c>
      <c r="AV279" s="221">
        <v>2</v>
      </c>
      <c r="AW279" s="221">
        <v>-8</v>
      </c>
      <c r="AX279" s="56">
        <f t="shared" si="118"/>
        <v>0</v>
      </c>
      <c r="AY279" s="56">
        <f t="shared" si="118"/>
        <v>-11</v>
      </c>
      <c r="AZ279" s="56">
        <f t="shared" si="118"/>
        <v>6</v>
      </c>
      <c r="BA279" s="56">
        <f t="shared" si="117"/>
        <v>12</v>
      </c>
      <c r="BB279" s="56">
        <f t="shared" si="117"/>
        <v>10</v>
      </c>
      <c r="BC279" s="56">
        <f t="shared" si="117"/>
        <v>-1</v>
      </c>
      <c r="BD279" s="56">
        <f t="shared" si="117"/>
        <v>-6</v>
      </c>
      <c r="BE279" s="56">
        <f t="shared" si="117"/>
        <v>-2</v>
      </c>
      <c r="BF279" s="56">
        <f t="shared" si="117"/>
        <v>8</v>
      </c>
      <c r="BH279">
        <f t="shared" si="127"/>
        <v>0.8</v>
      </c>
      <c r="BI279">
        <f t="shared" si="136"/>
        <v>0.19999999999999996</v>
      </c>
      <c r="BJ279" s="154">
        <v>391979.56266666669</v>
      </c>
      <c r="BK279" s="155">
        <f t="shared" si="128"/>
        <v>391979.56266666669</v>
      </c>
      <c r="BL279" s="156">
        <v>647745.4986666668</v>
      </c>
      <c r="BM279" s="155">
        <f t="shared" si="129"/>
        <v>647745.4986666668</v>
      </c>
      <c r="BN279" s="158">
        <v>686945.99555555568</v>
      </c>
      <c r="BO279" s="155">
        <f t="shared" si="130"/>
        <v>686945.99555555568</v>
      </c>
      <c r="BP279" s="158">
        <v>576179.94666666666</v>
      </c>
      <c r="BQ279" s="155">
        <f t="shared" si="131"/>
        <v>576179.94666666666</v>
      </c>
      <c r="BR279" s="158">
        <v>875804.38755555567</v>
      </c>
      <c r="BS279" s="155">
        <f t="shared" si="132"/>
        <v>875804.38755555567</v>
      </c>
      <c r="BT279" s="194">
        <v>698957.09333333327</v>
      </c>
      <c r="BU279" s="194"/>
      <c r="BV279" s="348">
        <f t="shared" si="137"/>
        <v>698957.09333333327</v>
      </c>
      <c r="BW279" s="195">
        <f t="shared" si="133"/>
        <v>1426395.665777778</v>
      </c>
      <c r="BX279" s="157">
        <f t="shared" si="138"/>
        <v>356598.91644444451</v>
      </c>
      <c r="BY279" s="157">
        <f>IF(E279*$CJ$10*'Year 7 Payments'!$L$20*IF(B279="",1,0.8)&lt;=(BW279-(J279*350)),E279*$CJ$10*'Year 7 Payments'!$L$20*IF(B279="",1,0.8),BW279-(IF(B279="",1,0.8)*J279*350))</f>
        <v>235705.60388266668</v>
      </c>
      <c r="BZ279" s="157">
        <f t="shared" si="139"/>
        <v>58926.400970666669</v>
      </c>
      <c r="CA279" s="157">
        <f t="shared" si="140"/>
        <v>1190690.0618951113</v>
      </c>
      <c r="CB279" s="157">
        <f t="shared" si="141"/>
        <v>297672.51547377784</v>
      </c>
      <c r="CC279" s="157">
        <f t="shared" si="142"/>
        <v>4762760.2475804454</v>
      </c>
      <c r="CD279" s="201">
        <f t="shared" si="143"/>
        <v>1190690.0618951113</v>
      </c>
      <c r="CE279" s="155">
        <f t="shared" si="144"/>
        <v>1190690.0618951113</v>
      </c>
    </row>
    <row r="280" spans="1:83" x14ac:dyDescent="0.2">
      <c r="A280" s="147" t="s">
        <v>751</v>
      </c>
      <c r="B280" s="57" t="s">
        <v>555</v>
      </c>
      <c r="C280" s="57" t="s">
        <v>472</v>
      </c>
      <c r="D280" s="148" t="s">
        <v>308</v>
      </c>
      <c r="E280" s="197">
        <v>57355.888888888891</v>
      </c>
      <c r="F280" s="147">
        <f t="shared" si="134"/>
        <v>60989</v>
      </c>
      <c r="G280" s="342">
        <v>364</v>
      </c>
      <c r="H280" s="149">
        <f t="shared" si="119"/>
        <v>697</v>
      </c>
      <c r="I280" s="346">
        <v>448.02088888888875</v>
      </c>
      <c r="J280" s="150">
        <v>50</v>
      </c>
      <c r="K280"/>
      <c r="L280" s="151">
        <v>8548</v>
      </c>
      <c r="M280" s="151">
        <v>14029</v>
      </c>
      <c r="N280" s="151">
        <v>13381</v>
      </c>
      <c r="O280" s="151">
        <v>11470</v>
      </c>
      <c r="P280" s="151">
        <v>7665</v>
      </c>
      <c r="Q280" s="151">
        <v>3811</v>
      </c>
      <c r="R280" s="151">
        <v>1968</v>
      </c>
      <c r="S280" s="151">
        <v>117</v>
      </c>
      <c r="T280" s="151">
        <v>60989</v>
      </c>
      <c r="U280" s="147"/>
      <c r="V280" s="152">
        <f t="shared" si="135"/>
        <v>0.14015642164980571</v>
      </c>
      <c r="W280" s="152">
        <f t="shared" si="120"/>
        <v>0.23002508649100659</v>
      </c>
      <c r="X280" s="152">
        <f t="shared" si="121"/>
        <v>0.2194002197117513</v>
      </c>
      <c r="Y280" s="152">
        <f t="shared" si="122"/>
        <v>0.18806670055255867</v>
      </c>
      <c r="Z280" s="152">
        <f t="shared" si="123"/>
        <v>0.12567840102313532</v>
      </c>
      <c r="AA280" s="152">
        <f t="shared" si="124"/>
        <v>6.2486677925527555E-2</v>
      </c>
      <c r="AB280" s="152">
        <f t="shared" si="125"/>
        <v>3.2268113922182685E-2</v>
      </c>
      <c r="AC280" s="152">
        <f t="shared" si="126"/>
        <v>1.9183787240322026E-3</v>
      </c>
      <c r="AD280" s="152"/>
      <c r="AE280" s="221">
        <v>79</v>
      </c>
      <c r="AF280" s="221">
        <v>168</v>
      </c>
      <c r="AG280" s="221">
        <v>123</v>
      </c>
      <c r="AH280" s="221">
        <v>145</v>
      </c>
      <c r="AI280" s="221">
        <v>120</v>
      </c>
      <c r="AJ280" s="221">
        <v>47</v>
      </c>
      <c r="AK280" s="221">
        <v>12</v>
      </c>
      <c r="AL280" s="221">
        <v>2</v>
      </c>
      <c r="AM280" s="221">
        <v>696</v>
      </c>
      <c r="AN280" s="147"/>
      <c r="AO280" s="221">
        <v>-1</v>
      </c>
      <c r="AP280" s="221">
        <v>-2</v>
      </c>
      <c r="AQ280" s="221">
        <v>1</v>
      </c>
      <c r="AR280" s="221">
        <v>4</v>
      </c>
      <c r="AS280" s="221">
        <v>-3</v>
      </c>
      <c r="AT280" s="221">
        <v>1</v>
      </c>
      <c r="AU280" s="221">
        <v>-1</v>
      </c>
      <c r="AV280" s="221">
        <v>0</v>
      </c>
      <c r="AW280" s="221">
        <v>-1</v>
      </c>
      <c r="AX280" s="56">
        <f t="shared" si="118"/>
        <v>1</v>
      </c>
      <c r="AY280" s="56">
        <f t="shared" si="118"/>
        <v>2</v>
      </c>
      <c r="AZ280" s="56">
        <f t="shared" si="118"/>
        <v>-1</v>
      </c>
      <c r="BA280" s="56">
        <f t="shared" si="117"/>
        <v>-4</v>
      </c>
      <c r="BB280" s="56">
        <f t="shared" si="117"/>
        <v>3</v>
      </c>
      <c r="BC280" s="56">
        <f t="shared" si="117"/>
        <v>-1</v>
      </c>
      <c r="BD280" s="56">
        <f t="shared" si="117"/>
        <v>1</v>
      </c>
      <c r="BE280" s="56">
        <f t="shared" si="117"/>
        <v>0</v>
      </c>
      <c r="BF280" s="56">
        <f t="shared" si="117"/>
        <v>1</v>
      </c>
      <c r="BH280">
        <f t="shared" si="127"/>
        <v>0.8</v>
      </c>
      <c r="BI280">
        <f t="shared" si="136"/>
        <v>0.19999999999999996</v>
      </c>
      <c r="BJ280" s="154">
        <v>442256.31466666656</v>
      </c>
      <c r="BK280" s="155">
        <f t="shared" si="128"/>
        <v>442256.31466666656</v>
      </c>
      <c r="BL280" s="156">
        <v>531756.02133333345</v>
      </c>
      <c r="BM280" s="155">
        <f t="shared" si="129"/>
        <v>531756.02133333345</v>
      </c>
      <c r="BN280" s="158">
        <v>410467.43644444447</v>
      </c>
      <c r="BO280" s="155">
        <f t="shared" si="130"/>
        <v>410467.43644444447</v>
      </c>
      <c r="BP280" s="158">
        <v>695877.76000000013</v>
      </c>
      <c r="BQ280" s="155">
        <f t="shared" si="131"/>
        <v>695877.76000000013</v>
      </c>
      <c r="BR280" s="158">
        <v>1031135.5680000002</v>
      </c>
      <c r="BS280" s="155">
        <f t="shared" si="132"/>
        <v>1031135.5680000002</v>
      </c>
      <c r="BT280" s="194">
        <v>736699.50044444471</v>
      </c>
      <c r="BU280" s="194"/>
      <c r="BV280" s="348">
        <f t="shared" si="137"/>
        <v>736699.50044444471</v>
      </c>
      <c r="BW280" s="195">
        <f t="shared" si="133"/>
        <v>842953.53955555568</v>
      </c>
      <c r="BX280" s="157">
        <f t="shared" si="138"/>
        <v>210738.38488888892</v>
      </c>
      <c r="BY280" s="157">
        <f>IF(E280*$CJ$10*'Year 7 Payments'!$L$20*IF(B280="",1,0.8)&lt;=(BW280-(J280*350)),E280*$CJ$10*'Year 7 Payments'!$L$20*IF(B280="",1,0.8),BW280-(IF(B280="",1,0.8)*J280*350))</f>
        <v>280733.67490844446</v>
      </c>
      <c r="BZ280" s="157">
        <f t="shared" si="139"/>
        <v>70183.418727111115</v>
      </c>
      <c r="CA280" s="157">
        <f t="shared" si="140"/>
        <v>562219.86464711116</v>
      </c>
      <c r="CB280" s="157">
        <f t="shared" si="141"/>
        <v>140554.96616177779</v>
      </c>
      <c r="CC280" s="157">
        <f t="shared" si="142"/>
        <v>2248879.4585884446</v>
      </c>
      <c r="CD280" s="201">
        <f t="shared" si="143"/>
        <v>562219.86464711116</v>
      </c>
      <c r="CE280" s="155">
        <f t="shared" si="144"/>
        <v>562219.86464711116</v>
      </c>
    </row>
    <row r="281" spans="1:83" x14ac:dyDescent="0.2">
      <c r="A281" s="147" t="s">
        <v>752</v>
      </c>
      <c r="B281" s="57"/>
      <c r="C281" s="57" t="s">
        <v>476</v>
      </c>
      <c r="D281" s="148" t="s">
        <v>309</v>
      </c>
      <c r="E281" s="197">
        <v>60564.111111111109</v>
      </c>
      <c r="F281" s="147">
        <f t="shared" si="134"/>
        <v>73981</v>
      </c>
      <c r="G281" s="342">
        <v>456</v>
      </c>
      <c r="H281" s="149">
        <f t="shared" si="119"/>
        <v>1420</v>
      </c>
      <c r="I281" s="346">
        <v>994.74355555555553</v>
      </c>
      <c r="J281" s="150">
        <v>329</v>
      </c>
      <c r="K281"/>
      <c r="L281" s="151">
        <v>26509</v>
      </c>
      <c r="M281" s="151">
        <v>19825</v>
      </c>
      <c r="N281" s="151">
        <v>11501</v>
      </c>
      <c r="O281" s="151">
        <v>8378</v>
      </c>
      <c r="P281" s="151">
        <v>4589</v>
      </c>
      <c r="Q281" s="151">
        <v>2101</v>
      </c>
      <c r="R281" s="151">
        <v>1028</v>
      </c>
      <c r="S281" s="151">
        <v>50</v>
      </c>
      <c r="T281" s="151">
        <v>73981</v>
      </c>
      <c r="U281" s="147"/>
      <c r="V281" s="152">
        <f t="shared" si="135"/>
        <v>0.3583217312553223</v>
      </c>
      <c r="W281" s="152">
        <f t="shared" si="120"/>
        <v>0.26797420959435531</v>
      </c>
      <c r="X281" s="152">
        <f t="shared" si="121"/>
        <v>0.15545883402495236</v>
      </c>
      <c r="Y281" s="152">
        <f t="shared" si="122"/>
        <v>0.11324529271029048</v>
      </c>
      <c r="Z281" s="152">
        <f t="shared" si="123"/>
        <v>6.2029439991349133E-2</v>
      </c>
      <c r="AA281" s="152">
        <f t="shared" si="124"/>
        <v>2.8399183574160932E-2</v>
      </c>
      <c r="AB281" s="152">
        <f t="shared" si="125"/>
        <v>1.3895459645043998E-2</v>
      </c>
      <c r="AC281" s="152">
        <f t="shared" si="126"/>
        <v>6.7584920452548624E-4</v>
      </c>
      <c r="AD281" s="152"/>
      <c r="AE281" s="221">
        <v>174</v>
      </c>
      <c r="AF281" s="221">
        <v>494</v>
      </c>
      <c r="AG281" s="221">
        <v>391</v>
      </c>
      <c r="AH281" s="221">
        <v>258</v>
      </c>
      <c r="AI281" s="221">
        <v>52</v>
      </c>
      <c r="AJ281" s="221">
        <v>36</v>
      </c>
      <c r="AK281" s="221">
        <v>4</v>
      </c>
      <c r="AL281" s="221">
        <v>0</v>
      </c>
      <c r="AM281" s="221">
        <v>1409</v>
      </c>
      <c r="AN281" s="147"/>
      <c r="AO281" s="221">
        <v>-19</v>
      </c>
      <c r="AP281" s="221">
        <v>2</v>
      </c>
      <c r="AQ281" s="221">
        <v>8</v>
      </c>
      <c r="AR281" s="221">
        <v>2</v>
      </c>
      <c r="AS281" s="221">
        <v>-2</v>
      </c>
      <c r="AT281" s="221">
        <v>4</v>
      </c>
      <c r="AU281" s="221">
        <v>-5</v>
      </c>
      <c r="AV281" s="221">
        <v>-1</v>
      </c>
      <c r="AW281" s="221">
        <v>-11</v>
      </c>
      <c r="AX281" s="56">
        <f t="shared" si="118"/>
        <v>19</v>
      </c>
      <c r="AY281" s="56">
        <f t="shared" si="118"/>
        <v>-2</v>
      </c>
      <c r="AZ281" s="56">
        <f t="shared" si="118"/>
        <v>-8</v>
      </c>
      <c r="BA281" s="56">
        <f t="shared" si="117"/>
        <v>-2</v>
      </c>
      <c r="BB281" s="56">
        <f t="shared" si="117"/>
        <v>2</v>
      </c>
      <c r="BC281" s="56">
        <f t="shared" si="117"/>
        <v>-4</v>
      </c>
      <c r="BD281" s="56">
        <f t="shared" si="117"/>
        <v>5</v>
      </c>
      <c r="BE281" s="56">
        <f t="shared" si="117"/>
        <v>1</v>
      </c>
      <c r="BF281" s="56">
        <f t="shared" si="117"/>
        <v>11</v>
      </c>
      <c r="BH281">
        <f t="shared" si="127"/>
        <v>1</v>
      </c>
      <c r="BI281">
        <f t="shared" si="136"/>
        <v>0</v>
      </c>
      <c r="BJ281" s="154">
        <v>615026.68000000005</v>
      </c>
      <c r="BK281" s="155">
        <f t="shared" si="128"/>
        <v>615026.68000000005</v>
      </c>
      <c r="BL281" s="156">
        <v>941337.20666666655</v>
      </c>
      <c r="BM281" s="155">
        <f t="shared" si="129"/>
        <v>941337.20666666655</v>
      </c>
      <c r="BN281" s="158">
        <v>698681.8277777778</v>
      </c>
      <c r="BO281" s="155">
        <f t="shared" si="130"/>
        <v>698681.8277777778</v>
      </c>
      <c r="BP281" s="158">
        <v>1181880</v>
      </c>
      <c r="BQ281" s="155">
        <f t="shared" si="131"/>
        <v>1181880</v>
      </c>
      <c r="BR281" s="158">
        <v>1215448.2511111111</v>
      </c>
      <c r="BS281" s="155">
        <f t="shared" si="132"/>
        <v>1215448.2511111111</v>
      </c>
      <c r="BT281" s="194">
        <v>1725313.831111111</v>
      </c>
      <c r="BU281" s="194"/>
      <c r="BV281" s="348">
        <f t="shared" si="137"/>
        <v>1725313.831111111</v>
      </c>
      <c r="BW281" s="195">
        <f t="shared" si="133"/>
        <v>2007215.72</v>
      </c>
      <c r="BX281" s="157" t="str">
        <f t="shared" si="138"/>
        <v>0</v>
      </c>
      <c r="BY281" s="157">
        <f>IF(E281*$CJ$10*'Year 7 Payments'!$L$20*IF(B281="",1,0.8)&lt;=(BW281-(J281*350)),E281*$CJ$10*'Year 7 Payments'!$L$20*IF(B281="",1,0.8),BW281-(IF(B281="",1,0.8)*J281*350))</f>
        <v>370545.76716444443</v>
      </c>
      <c r="BZ281" s="157" t="str">
        <f t="shared" si="139"/>
        <v>0</v>
      </c>
      <c r="CA281" s="157">
        <f t="shared" si="140"/>
        <v>1636669.9528355557</v>
      </c>
      <c r="CB281" s="157">
        <f t="shared" si="141"/>
        <v>0</v>
      </c>
      <c r="CC281" s="157">
        <f t="shared" si="142"/>
        <v>6546679.8113422226</v>
      </c>
      <c r="CD281" s="201">
        <f t="shared" si="143"/>
        <v>0</v>
      </c>
      <c r="CE281" s="155">
        <f t="shared" si="144"/>
        <v>1636669.9528355557</v>
      </c>
    </row>
    <row r="282" spans="1:83" x14ac:dyDescent="0.2">
      <c r="A282" s="147" t="s">
        <v>753</v>
      </c>
      <c r="B282" s="57" t="s">
        <v>467</v>
      </c>
      <c r="C282" s="57" t="s">
        <v>459</v>
      </c>
      <c r="D282" s="148" t="s">
        <v>310</v>
      </c>
      <c r="E282" s="197">
        <v>60255.111111111109</v>
      </c>
      <c r="F282" s="147">
        <f t="shared" si="134"/>
        <v>69205</v>
      </c>
      <c r="G282" s="342">
        <v>479</v>
      </c>
      <c r="H282" s="149">
        <f t="shared" si="119"/>
        <v>483</v>
      </c>
      <c r="I282" s="346">
        <v>219.97955555555555</v>
      </c>
      <c r="J282" s="150">
        <v>23</v>
      </c>
      <c r="K282"/>
      <c r="L282" s="151">
        <v>13004</v>
      </c>
      <c r="M282" s="151">
        <v>17572</v>
      </c>
      <c r="N282" s="151">
        <v>20716</v>
      </c>
      <c r="O282" s="151">
        <v>10516</v>
      </c>
      <c r="P282" s="151">
        <v>4840</v>
      </c>
      <c r="Q282" s="151">
        <v>1677</v>
      </c>
      <c r="R282" s="151">
        <v>796</v>
      </c>
      <c r="S282" s="151">
        <v>84</v>
      </c>
      <c r="T282" s="151">
        <v>69205</v>
      </c>
      <c r="U282" s="147"/>
      <c r="V282" s="152">
        <f t="shared" si="135"/>
        <v>0.18790549815764757</v>
      </c>
      <c r="W282" s="152">
        <f t="shared" si="120"/>
        <v>0.25391228957445272</v>
      </c>
      <c r="X282" s="152">
        <f t="shared" si="121"/>
        <v>0.29934253305397007</v>
      </c>
      <c r="Y282" s="152">
        <f t="shared" si="122"/>
        <v>0.15195433855935264</v>
      </c>
      <c r="Z282" s="152">
        <f t="shared" si="123"/>
        <v>6.9937143269994936E-2</v>
      </c>
      <c r="AA282" s="152">
        <f t="shared" si="124"/>
        <v>2.4232353153673867E-2</v>
      </c>
      <c r="AB282" s="152">
        <f t="shared" si="125"/>
        <v>1.1502059099776028E-2</v>
      </c>
      <c r="AC282" s="152">
        <f t="shared" si="126"/>
        <v>1.2137851311321435E-3</v>
      </c>
      <c r="AD282" s="152"/>
      <c r="AE282" s="221">
        <v>102</v>
      </c>
      <c r="AF282" s="221">
        <v>97</v>
      </c>
      <c r="AG282" s="221">
        <v>18</v>
      </c>
      <c r="AH282" s="221">
        <v>95</v>
      </c>
      <c r="AI282" s="221">
        <v>73</v>
      </c>
      <c r="AJ282" s="221">
        <v>37</v>
      </c>
      <c r="AK282" s="221">
        <v>13</v>
      </c>
      <c r="AL282" s="221">
        <v>0</v>
      </c>
      <c r="AM282" s="221">
        <v>435</v>
      </c>
      <c r="AN282" s="147"/>
      <c r="AO282" s="221">
        <v>-3</v>
      </c>
      <c r="AP282" s="221">
        <v>-22</v>
      </c>
      <c r="AQ282" s="221">
        <v>-13</v>
      </c>
      <c r="AR282" s="221">
        <v>-6</v>
      </c>
      <c r="AS282" s="221">
        <v>0</v>
      </c>
      <c r="AT282" s="221">
        <v>-5</v>
      </c>
      <c r="AU282" s="221">
        <v>1</v>
      </c>
      <c r="AV282" s="221">
        <v>0</v>
      </c>
      <c r="AW282" s="221">
        <v>-48</v>
      </c>
      <c r="AX282" s="56">
        <f t="shared" si="118"/>
        <v>3</v>
      </c>
      <c r="AY282" s="56">
        <f t="shared" si="118"/>
        <v>22</v>
      </c>
      <c r="AZ282" s="56">
        <f t="shared" si="118"/>
        <v>13</v>
      </c>
      <c r="BA282" s="56">
        <f t="shared" si="117"/>
        <v>6</v>
      </c>
      <c r="BB282" s="56">
        <f t="shared" si="117"/>
        <v>0</v>
      </c>
      <c r="BC282" s="56">
        <f t="shared" si="117"/>
        <v>5</v>
      </c>
      <c r="BD282" s="56">
        <f t="shared" si="117"/>
        <v>-1</v>
      </c>
      <c r="BE282" s="56">
        <f t="shared" si="117"/>
        <v>0</v>
      </c>
      <c r="BF282" s="56">
        <f t="shared" si="117"/>
        <v>48</v>
      </c>
      <c r="BH282">
        <f t="shared" si="127"/>
        <v>0.8</v>
      </c>
      <c r="BI282">
        <f t="shared" si="136"/>
        <v>0.19999999999999996</v>
      </c>
      <c r="BJ282" s="154">
        <v>282982.63466666668</v>
      </c>
      <c r="BK282" s="155">
        <f t="shared" si="128"/>
        <v>282982.63466666668</v>
      </c>
      <c r="BL282" s="156">
        <v>387830.46488888888</v>
      </c>
      <c r="BM282" s="155">
        <f t="shared" si="129"/>
        <v>387830.46488888888</v>
      </c>
      <c r="BN282" s="158">
        <v>380235.29955555557</v>
      </c>
      <c r="BO282" s="155">
        <f t="shared" si="130"/>
        <v>380235.29955555557</v>
      </c>
      <c r="BP282" s="158">
        <v>343756.05333333329</v>
      </c>
      <c r="BQ282" s="155">
        <f t="shared" si="131"/>
        <v>343756.05333333329</v>
      </c>
      <c r="BR282" s="158">
        <v>384474.80000000005</v>
      </c>
      <c r="BS282" s="155">
        <f t="shared" si="132"/>
        <v>384474.80000000005</v>
      </c>
      <c r="BT282" s="194">
        <v>356749.21955555561</v>
      </c>
      <c r="BU282" s="194"/>
      <c r="BV282" s="348">
        <f t="shared" si="137"/>
        <v>356749.21955555561</v>
      </c>
      <c r="BW282" s="195">
        <f t="shared" si="133"/>
        <v>570541.728</v>
      </c>
      <c r="BX282" s="157">
        <f t="shared" si="138"/>
        <v>142635.432</v>
      </c>
      <c r="BY282" s="157">
        <f>IF(E282*$CJ$10*'Year 7 Payments'!$L$20*IF(B282="",1,0.8)&lt;=(BW282-(J282*350)),E282*$CJ$10*'Year 7 Payments'!$L$20*IF(B282="",1,0.8),BW282-(IF(B282="",1,0.8)*J282*350))</f>
        <v>294924.18480355554</v>
      </c>
      <c r="BZ282" s="157">
        <f t="shared" si="139"/>
        <v>73731.046200888886</v>
      </c>
      <c r="CA282" s="157">
        <f t="shared" si="140"/>
        <v>275617.54319644446</v>
      </c>
      <c r="CB282" s="157">
        <f t="shared" si="141"/>
        <v>68904.385799111114</v>
      </c>
      <c r="CC282" s="157">
        <f t="shared" si="142"/>
        <v>1102470.1727857778</v>
      </c>
      <c r="CD282" s="201">
        <f t="shared" si="143"/>
        <v>275617.54319644446</v>
      </c>
      <c r="CE282" s="155">
        <f t="shared" si="144"/>
        <v>275617.54319644446</v>
      </c>
    </row>
    <row r="283" spans="1:83" x14ac:dyDescent="0.2">
      <c r="A283" s="147" t="s">
        <v>754</v>
      </c>
      <c r="B283" s="57" t="s">
        <v>469</v>
      </c>
      <c r="C283" s="57" t="s">
        <v>443</v>
      </c>
      <c r="D283" s="148" t="s">
        <v>311</v>
      </c>
      <c r="E283" s="197">
        <v>53994.666666666672</v>
      </c>
      <c r="F283" s="147">
        <f t="shared" si="134"/>
        <v>52750</v>
      </c>
      <c r="G283" s="342">
        <v>110</v>
      </c>
      <c r="H283" s="149">
        <f t="shared" si="119"/>
        <v>987</v>
      </c>
      <c r="I283" s="346">
        <v>773.35466666666662</v>
      </c>
      <c r="J283" s="150">
        <v>165</v>
      </c>
      <c r="K283"/>
      <c r="L283" s="151">
        <v>2733</v>
      </c>
      <c r="M283" s="151">
        <v>8948</v>
      </c>
      <c r="N283" s="151">
        <v>14039</v>
      </c>
      <c r="O283" s="151">
        <v>10070</v>
      </c>
      <c r="P283" s="151">
        <v>8101</v>
      </c>
      <c r="Q283" s="151">
        <v>4784</v>
      </c>
      <c r="R283" s="151">
        <v>3602</v>
      </c>
      <c r="S283" s="151">
        <v>473</v>
      </c>
      <c r="T283" s="151">
        <v>52750</v>
      </c>
      <c r="U283" s="147"/>
      <c r="V283" s="152">
        <f t="shared" si="135"/>
        <v>5.1810426540284359E-2</v>
      </c>
      <c r="W283" s="152">
        <f t="shared" si="120"/>
        <v>0.16963033175355449</v>
      </c>
      <c r="X283" s="152">
        <f t="shared" si="121"/>
        <v>0.26614218009478674</v>
      </c>
      <c r="Y283" s="152">
        <f t="shared" si="122"/>
        <v>0.19090047393364928</v>
      </c>
      <c r="Z283" s="152">
        <f t="shared" si="123"/>
        <v>0.15357345971563982</v>
      </c>
      <c r="AA283" s="152">
        <f t="shared" si="124"/>
        <v>9.0691943127962082E-2</v>
      </c>
      <c r="AB283" s="152">
        <f t="shared" si="125"/>
        <v>6.8284360189573456E-2</v>
      </c>
      <c r="AC283" s="152">
        <f t="shared" si="126"/>
        <v>8.9668246445497625E-3</v>
      </c>
      <c r="AD283" s="152"/>
      <c r="AE283" s="221">
        <v>39</v>
      </c>
      <c r="AF283" s="221">
        <v>169</v>
      </c>
      <c r="AG283" s="221">
        <v>268</v>
      </c>
      <c r="AH283" s="221">
        <v>222</v>
      </c>
      <c r="AI283" s="221">
        <v>101</v>
      </c>
      <c r="AJ283" s="221">
        <v>72</v>
      </c>
      <c r="AK283" s="221">
        <v>32</v>
      </c>
      <c r="AL283" s="221">
        <v>5</v>
      </c>
      <c r="AM283" s="221">
        <v>908</v>
      </c>
      <c r="AN283" s="147"/>
      <c r="AO283" s="221">
        <v>-21</v>
      </c>
      <c r="AP283" s="221">
        <v>-6</v>
      </c>
      <c r="AQ283" s="221">
        <v>-20</v>
      </c>
      <c r="AR283" s="221">
        <v>-5</v>
      </c>
      <c r="AS283" s="221">
        <v>-7</v>
      </c>
      <c r="AT283" s="221">
        <v>-14</v>
      </c>
      <c r="AU283" s="221">
        <v>-4</v>
      </c>
      <c r="AV283" s="221">
        <v>-2</v>
      </c>
      <c r="AW283" s="221">
        <v>-79</v>
      </c>
      <c r="AX283" s="56">
        <f t="shared" si="118"/>
        <v>21</v>
      </c>
      <c r="AY283" s="56">
        <f t="shared" si="118"/>
        <v>6</v>
      </c>
      <c r="AZ283" s="56">
        <f t="shared" si="118"/>
        <v>20</v>
      </c>
      <c r="BA283" s="56">
        <f t="shared" si="117"/>
        <v>5</v>
      </c>
      <c r="BB283" s="56">
        <f t="shared" si="117"/>
        <v>7</v>
      </c>
      <c r="BC283" s="56">
        <f t="shared" si="117"/>
        <v>14</v>
      </c>
      <c r="BD283" s="56">
        <f t="shared" si="117"/>
        <v>4</v>
      </c>
      <c r="BE283" s="56">
        <f t="shared" si="117"/>
        <v>2</v>
      </c>
      <c r="BF283" s="56">
        <f t="shared" si="117"/>
        <v>79</v>
      </c>
      <c r="BH283">
        <f t="shared" si="127"/>
        <v>0.8</v>
      </c>
      <c r="BI283">
        <f t="shared" si="136"/>
        <v>0.19999999999999996</v>
      </c>
      <c r="BJ283" s="154">
        <v>409761.92533333343</v>
      </c>
      <c r="BK283" s="155">
        <f t="shared" si="128"/>
        <v>409761.92533333343</v>
      </c>
      <c r="BL283" s="156">
        <v>459624.80711111112</v>
      </c>
      <c r="BM283" s="155">
        <f t="shared" si="129"/>
        <v>459624.80711111112</v>
      </c>
      <c r="BN283" s="158">
        <v>788648.05155555578</v>
      </c>
      <c r="BO283" s="155">
        <f t="shared" si="130"/>
        <v>788648.05155555578</v>
      </c>
      <c r="BP283" s="158">
        <v>1065158.08</v>
      </c>
      <c r="BQ283" s="155">
        <f t="shared" si="131"/>
        <v>1065158.08</v>
      </c>
      <c r="BR283" s="158">
        <v>849043.75644444453</v>
      </c>
      <c r="BS283" s="155">
        <f t="shared" si="132"/>
        <v>849043.75644444453</v>
      </c>
      <c r="BT283" s="194">
        <v>1220713.8968888889</v>
      </c>
      <c r="BU283" s="194"/>
      <c r="BV283" s="348">
        <f t="shared" si="137"/>
        <v>1220713.8968888889</v>
      </c>
      <c r="BW283" s="195">
        <f t="shared" si="133"/>
        <v>1256795.7546666667</v>
      </c>
      <c r="BX283" s="157">
        <f t="shared" si="138"/>
        <v>314198.93866666668</v>
      </c>
      <c r="BY283" s="157">
        <f>IF(E283*$CJ$10*'Year 7 Payments'!$L$20*IF(B283="",1,0.8)&lt;=(BW283-(J283*350)),E283*$CJ$10*'Year 7 Payments'!$L$20*IF(B283="",1,0.8),BW283-(IF(B283="",1,0.8)*J283*350))</f>
        <v>264281.86350933334</v>
      </c>
      <c r="BZ283" s="157">
        <f t="shared" si="139"/>
        <v>66070.465877333336</v>
      </c>
      <c r="CA283" s="157">
        <f t="shared" si="140"/>
        <v>992513.89115733339</v>
      </c>
      <c r="CB283" s="157">
        <f t="shared" si="141"/>
        <v>248128.47278933335</v>
      </c>
      <c r="CC283" s="157">
        <f t="shared" si="142"/>
        <v>3970055.5646293336</v>
      </c>
      <c r="CD283" s="201">
        <f t="shared" si="143"/>
        <v>992513.89115733339</v>
      </c>
      <c r="CE283" s="155">
        <f t="shared" si="144"/>
        <v>992513.89115733339</v>
      </c>
    </row>
    <row r="284" spans="1:83" x14ac:dyDescent="0.2">
      <c r="A284" s="147" t="s">
        <v>755</v>
      </c>
      <c r="B284" s="57" t="s">
        <v>518</v>
      </c>
      <c r="C284" s="57" t="s">
        <v>472</v>
      </c>
      <c r="D284" s="148" t="s">
        <v>312</v>
      </c>
      <c r="E284" s="197">
        <v>37699.111111111109</v>
      </c>
      <c r="F284" s="147">
        <f t="shared" si="134"/>
        <v>39527</v>
      </c>
      <c r="G284" s="342">
        <v>271</v>
      </c>
      <c r="H284" s="149">
        <f t="shared" si="119"/>
        <v>712</v>
      </c>
      <c r="I284" s="346">
        <v>570.20355555555557</v>
      </c>
      <c r="J284" s="150">
        <v>187</v>
      </c>
      <c r="K284"/>
      <c r="L284" s="151">
        <v>6292</v>
      </c>
      <c r="M284" s="151">
        <v>6378</v>
      </c>
      <c r="N284" s="151">
        <v>10968</v>
      </c>
      <c r="O284" s="151">
        <v>5819</v>
      </c>
      <c r="P284" s="151">
        <v>4938</v>
      </c>
      <c r="Q284" s="151">
        <v>3112</v>
      </c>
      <c r="R284" s="151">
        <v>1831</v>
      </c>
      <c r="S284" s="151">
        <v>189</v>
      </c>
      <c r="T284" s="151">
        <v>39527</v>
      </c>
      <c r="U284" s="147"/>
      <c r="V284" s="152">
        <f t="shared" si="135"/>
        <v>0.15918233106484175</v>
      </c>
      <c r="W284" s="152">
        <f t="shared" si="120"/>
        <v>0.16135805904824552</v>
      </c>
      <c r="X284" s="152">
        <f t="shared" si="121"/>
        <v>0.27748121537177117</v>
      </c>
      <c r="Y284" s="152">
        <f t="shared" si="122"/>
        <v>0.14721582715612114</v>
      </c>
      <c r="Z284" s="152">
        <f t="shared" si="123"/>
        <v>0.12492726490753156</v>
      </c>
      <c r="AA284" s="152">
        <f t="shared" si="124"/>
        <v>7.873099400409847E-2</v>
      </c>
      <c r="AB284" s="152">
        <f t="shared" si="125"/>
        <v>4.6322766716421687E-2</v>
      </c>
      <c r="AC284" s="152">
        <f t="shared" si="126"/>
        <v>4.7815417309687051E-3</v>
      </c>
      <c r="AD284" s="152"/>
      <c r="AE284" s="221">
        <v>63</v>
      </c>
      <c r="AF284" s="221">
        <v>91</v>
      </c>
      <c r="AG284" s="221">
        <v>255</v>
      </c>
      <c r="AH284" s="221">
        <v>139</v>
      </c>
      <c r="AI284" s="221">
        <v>102</v>
      </c>
      <c r="AJ284" s="221">
        <v>112</v>
      </c>
      <c r="AK284" s="221">
        <v>11</v>
      </c>
      <c r="AL284" s="221">
        <v>0</v>
      </c>
      <c r="AM284" s="221">
        <v>773</v>
      </c>
      <c r="AN284" s="147"/>
      <c r="AO284" s="221">
        <v>6</v>
      </c>
      <c r="AP284" s="221">
        <v>-3</v>
      </c>
      <c r="AQ284" s="221">
        <v>28</v>
      </c>
      <c r="AR284" s="221">
        <v>14</v>
      </c>
      <c r="AS284" s="221">
        <v>9</v>
      </c>
      <c r="AT284" s="221">
        <v>6</v>
      </c>
      <c r="AU284" s="221">
        <v>0</v>
      </c>
      <c r="AV284" s="221">
        <v>1</v>
      </c>
      <c r="AW284" s="221">
        <v>61</v>
      </c>
      <c r="AX284" s="56">
        <f t="shared" si="118"/>
        <v>-6</v>
      </c>
      <c r="AY284" s="56">
        <f t="shared" si="118"/>
        <v>3</v>
      </c>
      <c r="AZ284" s="56">
        <f t="shared" si="118"/>
        <v>-28</v>
      </c>
      <c r="BA284" s="56">
        <f t="shared" si="117"/>
        <v>-14</v>
      </c>
      <c r="BB284" s="56">
        <f t="shared" si="117"/>
        <v>-9</v>
      </c>
      <c r="BC284" s="56">
        <f t="shared" si="117"/>
        <v>-6</v>
      </c>
      <c r="BD284" s="56">
        <f t="shared" si="117"/>
        <v>0</v>
      </c>
      <c r="BE284" s="56">
        <f t="shared" si="117"/>
        <v>-1</v>
      </c>
      <c r="BF284" s="56">
        <f t="shared" si="117"/>
        <v>-61</v>
      </c>
      <c r="BH284">
        <f t="shared" si="127"/>
        <v>0.8</v>
      </c>
      <c r="BI284">
        <f t="shared" si="136"/>
        <v>0.19999999999999996</v>
      </c>
      <c r="BJ284" s="154">
        <v>526818.48533333337</v>
      </c>
      <c r="BK284" s="155">
        <f t="shared" si="128"/>
        <v>526818.48533333337</v>
      </c>
      <c r="BL284" s="156">
        <v>410594.33599999995</v>
      </c>
      <c r="BM284" s="155">
        <f t="shared" si="129"/>
        <v>410594.33599999995</v>
      </c>
      <c r="BN284" s="158">
        <v>294621.7324444445</v>
      </c>
      <c r="BO284" s="155">
        <f t="shared" si="130"/>
        <v>294621.7324444445</v>
      </c>
      <c r="BP284" s="158">
        <v>638205.65333333332</v>
      </c>
      <c r="BQ284" s="155">
        <f t="shared" si="131"/>
        <v>638205.65333333332</v>
      </c>
      <c r="BR284" s="158">
        <v>871490.5777777778</v>
      </c>
      <c r="BS284" s="155">
        <f t="shared" si="132"/>
        <v>871490.5777777778</v>
      </c>
      <c r="BT284" s="194">
        <v>659431.17333333334</v>
      </c>
      <c r="BU284" s="194"/>
      <c r="BV284" s="348">
        <f t="shared" si="137"/>
        <v>659431.17333333334</v>
      </c>
      <c r="BW284" s="195">
        <f t="shared" si="133"/>
        <v>934610.2080000001</v>
      </c>
      <c r="BX284" s="157">
        <f t="shared" si="138"/>
        <v>233652.55200000003</v>
      </c>
      <c r="BY284" s="157">
        <f>IF(E284*$CJ$10*'Year 7 Payments'!$L$20*IF(B284="",1,0.8)&lt;=(BW284-(J284*350)),E284*$CJ$10*'Year 7 Payments'!$L$20*IF(B284="",1,0.8),BW284-(IF(B284="",1,0.8)*J284*350))</f>
        <v>184521.76765155556</v>
      </c>
      <c r="BZ284" s="157">
        <f t="shared" si="139"/>
        <v>46130.441912888891</v>
      </c>
      <c r="CA284" s="157">
        <f t="shared" si="140"/>
        <v>750088.44034844451</v>
      </c>
      <c r="CB284" s="157">
        <f t="shared" si="141"/>
        <v>187522.11008711113</v>
      </c>
      <c r="CC284" s="157">
        <f t="shared" si="142"/>
        <v>3000353.761393778</v>
      </c>
      <c r="CD284" s="201">
        <f t="shared" si="143"/>
        <v>750088.44034844451</v>
      </c>
      <c r="CE284" s="155">
        <f t="shared" si="144"/>
        <v>750088.44034844451</v>
      </c>
    </row>
    <row r="285" spans="1:83" x14ac:dyDescent="0.2">
      <c r="A285" s="147" t="s">
        <v>756</v>
      </c>
      <c r="B285" s="57" t="s">
        <v>454</v>
      </c>
      <c r="C285" s="57" t="s">
        <v>443</v>
      </c>
      <c r="D285" s="148" t="s">
        <v>313</v>
      </c>
      <c r="E285" s="197">
        <v>56376.222222222226</v>
      </c>
      <c r="F285" s="147">
        <f t="shared" si="134"/>
        <v>66754</v>
      </c>
      <c r="G285" s="342">
        <v>899</v>
      </c>
      <c r="H285" s="149">
        <f t="shared" si="119"/>
        <v>54</v>
      </c>
      <c r="I285" s="346">
        <v>0</v>
      </c>
      <c r="J285" s="150">
        <v>19</v>
      </c>
      <c r="K285"/>
      <c r="L285" s="151">
        <v>16150</v>
      </c>
      <c r="M285" s="151">
        <v>19385</v>
      </c>
      <c r="N285" s="151">
        <v>17391</v>
      </c>
      <c r="O285" s="151">
        <v>7670</v>
      </c>
      <c r="P285" s="151">
        <v>3917</v>
      </c>
      <c r="Q285" s="151">
        <v>1483</v>
      </c>
      <c r="R285" s="151">
        <v>725</v>
      </c>
      <c r="S285" s="151">
        <v>33</v>
      </c>
      <c r="T285" s="151">
        <v>66754</v>
      </c>
      <c r="U285" s="147"/>
      <c r="V285" s="152">
        <f t="shared" si="135"/>
        <v>0.24193306768133746</v>
      </c>
      <c r="W285" s="152">
        <f t="shared" si="120"/>
        <v>0.29039458309614408</v>
      </c>
      <c r="X285" s="152">
        <f t="shared" si="121"/>
        <v>0.26052371393474549</v>
      </c>
      <c r="Y285" s="152">
        <f t="shared" si="122"/>
        <v>0.11489948167900051</v>
      </c>
      <c r="Z285" s="152">
        <f t="shared" si="123"/>
        <v>5.8678131647541723E-2</v>
      </c>
      <c r="AA285" s="152">
        <f t="shared" si="124"/>
        <v>2.2215897174701141E-2</v>
      </c>
      <c r="AB285" s="152">
        <f t="shared" si="125"/>
        <v>1.0860772388171496E-2</v>
      </c>
      <c r="AC285" s="152">
        <f t="shared" si="126"/>
        <v>4.9435239835815081E-4</v>
      </c>
      <c r="AD285" s="152"/>
      <c r="AE285" s="221">
        <v>-7</v>
      </c>
      <c r="AF285" s="221">
        <v>77</v>
      </c>
      <c r="AG285" s="221">
        <v>71</v>
      </c>
      <c r="AH285" s="221">
        <v>25</v>
      </c>
      <c r="AI285" s="221">
        <v>40</v>
      </c>
      <c r="AJ285" s="221">
        <v>7</v>
      </c>
      <c r="AK285" s="221">
        <v>8</v>
      </c>
      <c r="AL285" s="221">
        <v>1</v>
      </c>
      <c r="AM285" s="221">
        <v>222</v>
      </c>
      <c r="AN285" s="147"/>
      <c r="AO285" s="221">
        <v>82</v>
      </c>
      <c r="AP285" s="221">
        <v>20</v>
      </c>
      <c r="AQ285" s="221">
        <v>40</v>
      </c>
      <c r="AR285" s="221">
        <v>5</v>
      </c>
      <c r="AS285" s="221">
        <v>14</v>
      </c>
      <c r="AT285" s="221">
        <v>5</v>
      </c>
      <c r="AU285" s="221">
        <v>2</v>
      </c>
      <c r="AV285" s="221">
        <v>0</v>
      </c>
      <c r="AW285" s="221">
        <v>168</v>
      </c>
      <c r="AX285" s="56">
        <f t="shared" si="118"/>
        <v>-82</v>
      </c>
      <c r="AY285" s="56">
        <f t="shared" si="118"/>
        <v>-20</v>
      </c>
      <c r="AZ285" s="56">
        <f t="shared" si="118"/>
        <v>-40</v>
      </c>
      <c r="BA285" s="56">
        <f t="shared" si="117"/>
        <v>-5</v>
      </c>
      <c r="BB285" s="56">
        <f t="shared" si="117"/>
        <v>-14</v>
      </c>
      <c r="BC285" s="56">
        <f t="shared" si="117"/>
        <v>-5</v>
      </c>
      <c r="BD285" s="56">
        <f t="shared" si="117"/>
        <v>-2</v>
      </c>
      <c r="BE285" s="56">
        <f t="shared" si="117"/>
        <v>0</v>
      </c>
      <c r="BF285" s="56">
        <f t="shared" si="117"/>
        <v>-168</v>
      </c>
      <c r="BH285">
        <f t="shared" si="127"/>
        <v>0.8</v>
      </c>
      <c r="BI285">
        <f t="shared" si="136"/>
        <v>0.19999999999999996</v>
      </c>
      <c r="BJ285" s="154">
        <v>508780.26133333333</v>
      </c>
      <c r="BK285" s="155">
        <f t="shared" si="128"/>
        <v>508780.26133333333</v>
      </c>
      <c r="BL285" s="156">
        <v>536193.04355555563</v>
      </c>
      <c r="BM285" s="155">
        <f t="shared" si="129"/>
        <v>536193.04355555563</v>
      </c>
      <c r="BN285" s="158">
        <v>402953.15733333339</v>
      </c>
      <c r="BO285" s="155">
        <f t="shared" si="130"/>
        <v>402953.15733333339</v>
      </c>
      <c r="BP285" s="158">
        <v>561673.49333333329</v>
      </c>
      <c r="BQ285" s="155">
        <f t="shared" si="131"/>
        <v>561673.49333333329</v>
      </c>
      <c r="BR285" s="158">
        <v>424580.30222222232</v>
      </c>
      <c r="BS285" s="155">
        <f t="shared" si="132"/>
        <v>424580.30222222232</v>
      </c>
      <c r="BT285" s="194">
        <v>484628.28088888881</v>
      </c>
      <c r="BU285" s="194"/>
      <c r="BV285" s="348">
        <f t="shared" si="137"/>
        <v>484628.28088888881</v>
      </c>
      <c r="BW285" s="195">
        <f t="shared" si="133"/>
        <v>102260.11377777783</v>
      </c>
      <c r="BX285" s="157">
        <f t="shared" si="138"/>
        <v>25565.028444444459</v>
      </c>
      <c r="BY285" s="157">
        <f>IF(E285*$CJ$10*'Year 7 Payments'!$L$20*IF(B285="",1,0.8)&lt;=(BW285-(J285*350)),E285*$CJ$10*'Year 7 Payments'!$L$20*IF(B285="",1,0.8),BW285-(IF(B285="",1,0.8)*J285*350))</f>
        <v>96940.113777777835</v>
      </c>
      <c r="BZ285" s="157">
        <f t="shared" si="139"/>
        <v>24235.028444444459</v>
      </c>
      <c r="CA285" s="157">
        <f t="shared" si="140"/>
        <v>5320</v>
      </c>
      <c r="CB285" s="157">
        <f t="shared" si="141"/>
        <v>1330</v>
      </c>
      <c r="CC285" s="157">
        <f t="shared" si="142"/>
        <v>21280</v>
      </c>
      <c r="CD285" s="201">
        <f t="shared" si="143"/>
        <v>5320</v>
      </c>
      <c r="CE285" s="155">
        <f t="shared" si="144"/>
        <v>5320</v>
      </c>
    </row>
    <row r="286" spans="1:83" x14ac:dyDescent="0.2">
      <c r="A286" s="147" t="s">
        <v>757</v>
      </c>
      <c r="B286" s="57" t="s">
        <v>500</v>
      </c>
      <c r="C286" s="57" t="s">
        <v>459</v>
      </c>
      <c r="D286" s="148" t="s">
        <v>314</v>
      </c>
      <c r="E286" s="197">
        <v>43930</v>
      </c>
      <c r="F286" s="147">
        <f t="shared" si="134"/>
        <v>37386</v>
      </c>
      <c r="G286" s="342">
        <v>213</v>
      </c>
      <c r="H286" s="149">
        <f t="shared" si="119"/>
        <v>140</v>
      </c>
      <c r="I286" s="346">
        <v>23.168888888888887</v>
      </c>
      <c r="J286" s="150">
        <v>42</v>
      </c>
      <c r="K286"/>
      <c r="L286" s="151">
        <v>841</v>
      </c>
      <c r="M286" s="151">
        <v>2042</v>
      </c>
      <c r="N286" s="151">
        <v>6357</v>
      </c>
      <c r="O286" s="151">
        <v>9880</v>
      </c>
      <c r="P286" s="151">
        <v>7416</v>
      </c>
      <c r="Q286" s="151">
        <v>4268</v>
      </c>
      <c r="R286" s="151">
        <v>5068</v>
      </c>
      <c r="S286" s="151">
        <v>1514</v>
      </c>
      <c r="T286" s="151">
        <v>37386</v>
      </c>
      <c r="U286" s="147"/>
      <c r="V286" s="152">
        <f t="shared" si="135"/>
        <v>2.2495051623602418E-2</v>
      </c>
      <c r="W286" s="152">
        <f t="shared" si="120"/>
        <v>5.4619376237094099E-2</v>
      </c>
      <c r="X286" s="152">
        <f t="shared" si="121"/>
        <v>0.17003691221312792</v>
      </c>
      <c r="Y286" s="152">
        <f t="shared" si="122"/>
        <v>0.26427004761140532</v>
      </c>
      <c r="Z286" s="152">
        <f t="shared" si="123"/>
        <v>0.19836302359171881</v>
      </c>
      <c r="AA286" s="152">
        <f t="shared" si="124"/>
        <v>0.11416038089124271</v>
      </c>
      <c r="AB286" s="152">
        <f t="shared" si="125"/>
        <v>0.13555876531321887</v>
      </c>
      <c r="AC286" s="152">
        <f t="shared" si="126"/>
        <v>4.0496442518589845E-2</v>
      </c>
      <c r="AD286" s="152"/>
      <c r="AE286" s="221">
        <v>3</v>
      </c>
      <c r="AF286" s="221">
        <v>20</v>
      </c>
      <c r="AG286" s="221">
        <v>54</v>
      </c>
      <c r="AH286" s="221">
        <v>14</v>
      </c>
      <c r="AI286" s="221">
        <v>24</v>
      </c>
      <c r="AJ286" s="221">
        <v>59</v>
      </c>
      <c r="AK286" s="221">
        <v>30</v>
      </c>
      <c r="AL286" s="221">
        <v>36</v>
      </c>
      <c r="AM286" s="221">
        <v>240</v>
      </c>
      <c r="AN286" s="147"/>
      <c r="AO286" s="221">
        <v>6</v>
      </c>
      <c r="AP286" s="221">
        <v>3</v>
      </c>
      <c r="AQ286" s="221">
        <v>14</v>
      </c>
      <c r="AR286" s="221">
        <v>26</v>
      </c>
      <c r="AS286" s="221">
        <v>20</v>
      </c>
      <c r="AT286" s="221">
        <v>18</v>
      </c>
      <c r="AU286" s="221">
        <v>12</v>
      </c>
      <c r="AV286" s="221">
        <v>1</v>
      </c>
      <c r="AW286" s="221">
        <v>100</v>
      </c>
      <c r="AX286" s="56">
        <f t="shared" si="118"/>
        <v>-6</v>
      </c>
      <c r="AY286" s="56">
        <f t="shared" si="118"/>
        <v>-3</v>
      </c>
      <c r="AZ286" s="56">
        <f t="shared" si="118"/>
        <v>-14</v>
      </c>
      <c r="BA286" s="56">
        <f t="shared" si="117"/>
        <v>-26</v>
      </c>
      <c r="BB286" s="56">
        <f t="shared" si="117"/>
        <v>-20</v>
      </c>
      <c r="BC286" s="56">
        <f t="shared" si="117"/>
        <v>-18</v>
      </c>
      <c r="BD286" s="56">
        <f t="shared" si="117"/>
        <v>-12</v>
      </c>
      <c r="BE286" s="56">
        <f t="shared" si="117"/>
        <v>-1</v>
      </c>
      <c r="BF286" s="56">
        <f t="shared" si="117"/>
        <v>-100</v>
      </c>
      <c r="BH286">
        <f t="shared" si="127"/>
        <v>0.8</v>
      </c>
      <c r="BI286">
        <f t="shared" si="136"/>
        <v>0.19999999999999996</v>
      </c>
      <c r="BJ286" s="154">
        <v>67931.184000000008</v>
      </c>
      <c r="BK286" s="155">
        <f t="shared" si="128"/>
        <v>67931.184000000008</v>
      </c>
      <c r="BL286" s="156">
        <v>281666.09955555556</v>
      </c>
      <c r="BM286" s="155">
        <f t="shared" si="129"/>
        <v>281666.09955555556</v>
      </c>
      <c r="BN286" s="158">
        <v>372121.78488888894</v>
      </c>
      <c r="BO286" s="155">
        <f t="shared" si="130"/>
        <v>372121.78488888894</v>
      </c>
      <c r="BP286" s="158">
        <v>180005.12</v>
      </c>
      <c r="BQ286" s="155">
        <f t="shared" si="131"/>
        <v>180005.12</v>
      </c>
      <c r="BR286" s="158">
        <v>572490.04977777787</v>
      </c>
      <c r="BS286" s="155">
        <f t="shared" si="132"/>
        <v>572490.04977777787</v>
      </c>
      <c r="BT286" s="194">
        <v>493335.6586666666</v>
      </c>
      <c r="BU286" s="194"/>
      <c r="BV286" s="348">
        <f t="shared" si="137"/>
        <v>493335.6586666666</v>
      </c>
      <c r="BW286" s="195">
        <f t="shared" si="133"/>
        <v>255129.9911111111</v>
      </c>
      <c r="BX286" s="157">
        <f t="shared" si="138"/>
        <v>63782.497777777775</v>
      </c>
      <c r="BY286" s="157">
        <f>IF(E286*$CJ$10*'Year 7 Payments'!$L$20*IF(B286="",1,0.8)&lt;=(BW286-(J286*350)),E286*$CJ$10*'Year 7 Payments'!$L$20*IF(B286="",1,0.8),BW286-(IF(B286="",1,0.8)*J286*350))</f>
        <v>215019.42656000002</v>
      </c>
      <c r="BZ286" s="157">
        <f t="shared" si="139"/>
        <v>53754.856640000005</v>
      </c>
      <c r="CA286" s="157">
        <f t="shared" si="140"/>
        <v>40110.564551111078</v>
      </c>
      <c r="CB286" s="157">
        <f t="shared" si="141"/>
        <v>10027.641137777769</v>
      </c>
      <c r="CC286" s="157">
        <f t="shared" si="142"/>
        <v>160442.25820444431</v>
      </c>
      <c r="CD286" s="201">
        <f t="shared" si="143"/>
        <v>40110.564551111078</v>
      </c>
      <c r="CE286" s="155">
        <f t="shared" si="144"/>
        <v>40110.564551111078</v>
      </c>
    </row>
    <row r="287" spans="1:83" x14ac:dyDescent="0.2">
      <c r="A287" s="147" t="s">
        <v>758</v>
      </c>
      <c r="B287" s="57"/>
      <c r="C287" s="57" t="s">
        <v>459</v>
      </c>
      <c r="D287" s="148" t="s">
        <v>315</v>
      </c>
      <c r="E287" s="197">
        <v>59648.777777777774</v>
      </c>
      <c r="F287" s="147">
        <f t="shared" si="134"/>
        <v>66437</v>
      </c>
      <c r="G287" s="342">
        <v>131</v>
      </c>
      <c r="H287" s="149">
        <f t="shared" si="119"/>
        <v>855</v>
      </c>
      <c r="I287" s="346">
        <v>581.84933333333333</v>
      </c>
      <c r="J287" s="150">
        <v>95</v>
      </c>
      <c r="K287"/>
      <c r="L287" s="151">
        <v>7397</v>
      </c>
      <c r="M287" s="151">
        <v>13271</v>
      </c>
      <c r="N287" s="151">
        <v>26508</v>
      </c>
      <c r="O287" s="151">
        <v>11804</v>
      </c>
      <c r="P287" s="151">
        <v>4510</v>
      </c>
      <c r="Q287" s="151">
        <v>2116</v>
      </c>
      <c r="R287" s="151">
        <v>790</v>
      </c>
      <c r="S287" s="151">
        <v>41</v>
      </c>
      <c r="T287" s="151">
        <v>66437</v>
      </c>
      <c r="U287" s="147"/>
      <c r="V287" s="152">
        <f t="shared" si="135"/>
        <v>0.1113385613438295</v>
      </c>
      <c r="W287" s="152">
        <f t="shared" si="120"/>
        <v>0.1997531496003733</v>
      </c>
      <c r="X287" s="152">
        <f t="shared" si="121"/>
        <v>0.39899453617713021</v>
      </c>
      <c r="Y287" s="152">
        <f t="shared" si="122"/>
        <v>0.17767208031669099</v>
      </c>
      <c r="Z287" s="152">
        <f t="shared" si="123"/>
        <v>6.7883859897346355E-2</v>
      </c>
      <c r="AA287" s="152">
        <f t="shared" si="124"/>
        <v>3.1849722293300423E-2</v>
      </c>
      <c r="AB287" s="152">
        <f t="shared" si="125"/>
        <v>1.1890964372262443E-2</v>
      </c>
      <c r="AC287" s="152">
        <f t="shared" si="126"/>
        <v>6.1712599906678508E-4</v>
      </c>
      <c r="AD287" s="152"/>
      <c r="AE287" s="221">
        <v>39</v>
      </c>
      <c r="AF287" s="221">
        <v>138</v>
      </c>
      <c r="AG287" s="221">
        <v>149</v>
      </c>
      <c r="AH287" s="221">
        <v>336</v>
      </c>
      <c r="AI287" s="221">
        <v>67</v>
      </c>
      <c r="AJ287" s="221">
        <v>37</v>
      </c>
      <c r="AK287" s="221">
        <v>6</v>
      </c>
      <c r="AL287" s="221">
        <v>0</v>
      </c>
      <c r="AM287" s="221">
        <v>772</v>
      </c>
      <c r="AN287" s="147"/>
      <c r="AO287" s="221">
        <v>-7</v>
      </c>
      <c r="AP287" s="221">
        <v>-22</v>
      </c>
      <c r="AQ287" s="221">
        <v>-28</v>
      </c>
      <c r="AR287" s="221">
        <v>-20</v>
      </c>
      <c r="AS287" s="221">
        <v>-8</v>
      </c>
      <c r="AT287" s="221">
        <v>1</v>
      </c>
      <c r="AU287" s="221">
        <v>1</v>
      </c>
      <c r="AV287" s="221">
        <v>0</v>
      </c>
      <c r="AW287" s="221">
        <v>-83</v>
      </c>
      <c r="AX287" s="56">
        <f t="shared" si="118"/>
        <v>7</v>
      </c>
      <c r="AY287" s="56">
        <f t="shared" si="118"/>
        <v>22</v>
      </c>
      <c r="AZ287" s="56">
        <f t="shared" si="118"/>
        <v>28</v>
      </c>
      <c r="BA287" s="56">
        <f t="shared" si="117"/>
        <v>20</v>
      </c>
      <c r="BB287" s="56">
        <f t="shared" si="117"/>
        <v>8</v>
      </c>
      <c r="BC287" s="56">
        <f t="shared" si="117"/>
        <v>-1</v>
      </c>
      <c r="BD287" s="56">
        <f t="shared" si="117"/>
        <v>-1</v>
      </c>
      <c r="BE287" s="56">
        <f t="shared" si="117"/>
        <v>0</v>
      </c>
      <c r="BF287" s="56">
        <f t="shared" si="117"/>
        <v>83</v>
      </c>
      <c r="BH287">
        <f t="shared" si="127"/>
        <v>1</v>
      </c>
      <c r="BI287">
        <f t="shared" si="136"/>
        <v>0</v>
      </c>
      <c r="BJ287" s="154">
        <v>235552.34</v>
      </c>
      <c r="BK287" s="155">
        <f t="shared" si="128"/>
        <v>235552.34</v>
      </c>
      <c r="BL287" s="156">
        <v>467341.68</v>
      </c>
      <c r="BM287" s="155">
        <f t="shared" si="129"/>
        <v>467341.68</v>
      </c>
      <c r="BN287" s="158">
        <v>364745.04333333339</v>
      </c>
      <c r="BO287" s="155">
        <f t="shared" si="130"/>
        <v>364745.04333333339</v>
      </c>
      <c r="BP287" s="158">
        <v>898778.53333333344</v>
      </c>
      <c r="BQ287" s="155">
        <f t="shared" si="131"/>
        <v>898778.53333333344</v>
      </c>
      <c r="BR287" s="158">
        <v>731291.21555555565</v>
      </c>
      <c r="BS287" s="155">
        <f t="shared" si="132"/>
        <v>731291.21555555565</v>
      </c>
      <c r="BT287" s="194">
        <v>612591.46666666667</v>
      </c>
      <c r="BU287" s="194"/>
      <c r="BV287" s="348">
        <f t="shared" si="137"/>
        <v>612591.46666666667</v>
      </c>
      <c r="BW287" s="195">
        <f t="shared" si="133"/>
        <v>1288169.0044444446</v>
      </c>
      <c r="BX287" s="157" t="str">
        <f t="shared" si="138"/>
        <v>0</v>
      </c>
      <c r="BY287" s="157">
        <f>IF(E287*$CJ$10*'Year 7 Payments'!$L$20*IF(B287="",1,0.8)&lt;=(BW287-(J287*350)),E287*$CJ$10*'Year 7 Payments'!$L$20*IF(B287="",1,0.8),BW287-(IF(B287="",1,0.8)*J287*350))</f>
        <v>364945.53815111105</v>
      </c>
      <c r="BZ287" s="157" t="str">
        <f t="shared" si="139"/>
        <v>0</v>
      </c>
      <c r="CA287" s="157">
        <f t="shared" si="140"/>
        <v>923223.46629333356</v>
      </c>
      <c r="CB287" s="157">
        <f t="shared" si="141"/>
        <v>0</v>
      </c>
      <c r="CC287" s="157">
        <f t="shared" si="142"/>
        <v>3692893.8651733343</v>
      </c>
      <c r="CD287" s="201">
        <f t="shared" si="143"/>
        <v>0</v>
      </c>
      <c r="CE287" s="155">
        <f t="shared" si="144"/>
        <v>923223.46629333356</v>
      </c>
    </row>
    <row r="288" spans="1:83" x14ac:dyDescent="0.2">
      <c r="A288" s="147" t="s">
        <v>759</v>
      </c>
      <c r="B288" s="57" t="s">
        <v>454</v>
      </c>
      <c r="C288" s="57" t="s">
        <v>443</v>
      </c>
      <c r="D288" s="148" t="s">
        <v>316</v>
      </c>
      <c r="E288" s="197">
        <v>55900.555555555562</v>
      </c>
      <c r="F288" s="147">
        <f t="shared" si="134"/>
        <v>52574</v>
      </c>
      <c r="G288" s="342">
        <v>346</v>
      </c>
      <c r="H288" s="149">
        <f t="shared" si="119"/>
        <v>765</v>
      </c>
      <c r="I288" s="346">
        <v>684.28666666666675</v>
      </c>
      <c r="J288" s="150">
        <v>104</v>
      </c>
      <c r="K288"/>
      <c r="L288" s="151">
        <v>1691</v>
      </c>
      <c r="M288" s="151">
        <v>3894</v>
      </c>
      <c r="N288" s="151">
        <v>14986</v>
      </c>
      <c r="O288" s="151">
        <v>13116</v>
      </c>
      <c r="P288" s="151">
        <v>8864</v>
      </c>
      <c r="Q288" s="151">
        <v>4964</v>
      </c>
      <c r="R288" s="151">
        <v>4650</v>
      </c>
      <c r="S288" s="151">
        <v>409</v>
      </c>
      <c r="T288" s="151">
        <v>52574</v>
      </c>
      <c r="U288" s="147"/>
      <c r="V288" s="152">
        <f t="shared" si="135"/>
        <v>3.2164187621257653E-2</v>
      </c>
      <c r="W288" s="152">
        <f t="shared" si="120"/>
        <v>7.4067029330087117E-2</v>
      </c>
      <c r="X288" s="152">
        <f t="shared" si="121"/>
        <v>0.28504584014912315</v>
      </c>
      <c r="Y288" s="152">
        <f t="shared" si="122"/>
        <v>0.24947692775896832</v>
      </c>
      <c r="Z288" s="152">
        <f t="shared" si="123"/>
        <v>0.16860044889108686</v>
      </c>
      <c r="AA288" s="152">
        <f t="shared" si="124"/>
        <v>9.4419294708410997E-2</v>
      </c>
      <c r="AB288" s="152">
        <f t="shared" si="125"/>
        <v>8.8446760756267354E-2</v>
      </c>
      <c r="AC288" s="152">
        <f t="shared" si="126"/>
        <v>7.7795107847985698E-3</v>
      </c>
      <c r="AD288" s="152"/>
      <c r="AE288" s="221">
        <v>8</v>
      </c>
      <c r="AF288" s="221">
        <v>29</v>
      </c>
      <c r="AG288" s="221">
        <v>216</v>
      </c>
      <c r="AH288" s="221">
        <v>108</v>
      </c>
      <c r="AI288" s="221">
        <v>188</v>
      </c>
      <c r="AJ288" s="221">
        <v>55</v>
      </c>
      <c r="AK288" s="221">
        <v>140</v>
      </c>
      <c r="AL288" s="221">
        <v>12</v>
      </c>
      <c r="AM288" s="221">
        <v>756</v>
      </c>
      <c r="AN288" s="147"/>
      <c r="AO288" s="221">
        <v>9</v>
      </c>
      <c r="AP288" s="221">
        <v>-3</v>
      </c>
      <c r="AQ288" s="221">
        <v>-8</v>
      </c>
      <c r="AR288" s="221">
        <v>-4</v>
      </c>
      <c r="AS288" s="221">
        <v>-3</v>
      </c>
      <c r="AT288" s="221">
        <v>6</v>
      </c>
      <c r="AU288" s="221">
        <v>-3</v>
      </c>
      <c r="AV288" s="221">
        <v>-3</v>
      </c>
      <c r="AW288" s="221">
        <v>-9</v>
      </c>
      <c r="AX288" s="56">
        <f t="shared" si="118"/>
        <v>-9</v>
      </c>
      <c r="AY288" s="56">
        <f t="shared" si="118"/>
        <v>3</v>
      </c>
      <c r="AZ288" s="56">
        <f t="shared" si="118"/>
        <v>8</v>
      </c>
      <c r="BA288" s="56">
        <f t="shared" si="117"/>
        <v>4</v>
      </c>
      <c r="BB288" s="56">
        <f t="shared" si="117"/>
        <v>3</v>
      </c>
      <c r="BC288" s="56">
        <f t="shared" si="117"/>
        <v>-6</v>
      </c>
      <c r="BD288" s="56">
        <f t="shared" si="117"/>
        <v>3</v>
      </c>
      <c r="BE288" s="56">
        <f t="shared" si="117"/>
        <v>3</v>
      </c>
      <c r="BF288" s="56">
        <f t="shared" si="117"/>
        <v>9</v>
      </c>
      <c r="BH288">
        <f t="shared" si="127"/>
        <v>0.8</v>
      </c>
      <c r="BI288">
        <f t="shared" si="136"/>
        <v>0.19999999999999996</v>
      </c>
      <c r="BJ288" s="154">
        <v>648352.61866666656</v>
      </c>
      <c r="BK288" s="155">
        <f t="shared" si="128"/>
        <v>648352.61866666656</v>
      </c>
      <c r="BL288" s="156">
        <v>576124.06044444442</v>
      </c>
      <c r="BM288" s="155">
        <f t="shared" si="129"/>
        <v>576124.06044444442</v>
      </c>
      <c r="BN288" s="158">
        <v>411739.88</v>
      </c>
      <c r="BO288" s="155">
        <f t="shared" si="130"/>
        <v>411739.88</v>
      </c>
      <c r="BP288" s="158">
        <v>759657.28000000014</v>
      </c>
      <c r="BQ288" s="155">
        <f t="shared" si="131"/>
        <v>759657.28000000014</v>
      </c>
      <c r="BR288" s="158">
        <v>705279.28</v>
      </c>
      <c r="BS288" s="155">
        <f t="shared" si="132"/>
        <v>705279.28</v>
      </c>
      <c r="BT288" s="194">
        <v>741930.27377777779</v>
      </c>
      <c r="BU288" s="194"/>
      <c r="BV288" s="348">
        <f t="shared" si="137"/>
        <v>741930.27377777779</v>
      </c>
      <c r="BW288" s="195">
        <f t="shared" si="133"/>
        <v>1140056.4231111112</v>
      </c>
      <c r="BX288" s="157">
        <f t="shared" si="138"/>
        <v>285014.10577777779</v>
      </c>
      <c r="BY288" s="157">
        <f>IF(E288*$CJ$10*'Year 7 Payments'!$L$20*IF(B288="",1,0.8)&lt;=(BW288-(J288*350)),E288*$CJ$10*'Year 7 Payments'!$L$20*IF(B288="",1,0.8),BW288-(IF(B288="",1,0.8)*J288*350))</f>
        <v>273610.41201777779</v>
      </c>
      <c r="BZ288" s="157">
        <f t="shared" si="139"/>
        <v>68402.603004444449</v>
      </c>
      <c r="CA288" s="157">
        <f t="shared" si="140"/>
        <v>866446.01109333336</v>
      </c>
      <c r="CB288" s="157">
        <f t="shared" si="141"/>
        <v>216611.50277333334</v>
      </c>
      <c r="CC288" s="157">
        <f t="shared" si="142"/>
        <v>3465784.0443733335</v>
      </c>
      <c r="CD288" s="201">
        <f t="shared" si="143"/>
        <v>866446.01109333336</v>
      </c>
      <c r="CE288" s="155">
        <f t="shared" si="144"/>
        <v>866446.01109333336</v>
      </c>
    </row>
    <row r="289" spans="1:83" x14ac:dyDescent="0.2">
      <c r="A289" s="147" t="s">
        <v>760</v>
      </c>
      <c r="B289" s="57"/>
      <c r="C289" s="57" t="s">
        <v>472</v>
      </c>
      <c r="D289" s="148" t="s">
        <v>317</v>
      </c>
      <c r="E289" s="197">
        <v>58135.777777777781</v>
      </c>
      <c r="F289" s="147">
        <f t="shared" si="134"/>
        <v>66601</v>
      </c>
      <c r="G289" s="342">
        <v>1079</v>
      </c>
      <c r="H289" s="149">
        <f t="shared" si="119"/>
        <v>475</v>
      </c>
      <c r="I289" s="346">
        <v>185.01244444444447</v>
      </c>
      <c r="J289" s="150">
        <v>42</v>
      </c>
      <c r="K289"/>
      <c r="L289" s="151">
        <v>13552</v>
      </c>
      <c r="M289" s="151">
        <v>17540</v>
      </c>
      <c r="N289" s="151">
        <v>16567</v>
      </c>
      <c r="O289" s="151">
        <v>10198</v>
      </c>
      <c r="P289" s="151">
        <v>5041</v>
      </c>
      <c r="Q289" s="151">
        <v>2339</v>
      </c>
      <c r="R289" s="151">
        <v>1231</v>
      </c>
      <c r="S289" s="151">
        <v>133</v>
      </c>
      <c r="T289" s="151">
        <v>66601</v>
      </c>
      <c r="U289" s="147"/>
      <c r="V289" s="152">
        <f t="shared" si="135"/>
        <v>0.20348042822179846</v>
      </c>
      <c r="W289" s="152">
        <f t="shared" si="120"/>
        <v>0.26335940901788263</v>
      </c>
      <c r="X289" s="152">
        <f t="shared" si="121"/>
        <v>0.24875001876848696</v>
      </c>
      <c r="Y289" s="152">
        <f t="shared" si="122"/>
        <v>0.15312082401165147</v>
      </c>
      <c r="Z289" s="152">
        <f t="shared" si="123"/>
        <v>7.5689554210897736E-2</v>
      </c>
      <c r="AA289" s="152">
        <f t="shared" si="124"/>
        <v>3.5119592798906925E-2</v>
      </c>
      <c r="AB289" s="152">
        <f t="shared" si="125"/>
        <v>1.8483205957868499E-2</v>
      </c>
      <c r="AC289" s="152">
        <f t="shared" si="126"/>
        <v>1.9969670125073195E-3</v>
      </c>
      <c r="AD289" s="152"/>
      <c r="AE289" s="221">
        <v>117</v>
      </c>
      <c r="AF289" s="221">
        <v>89</v>
      </c>
      <c r="AG289" s="221">
        <v>84</v>
      </c>
      <c r="AH289" s="221">
        <v>146</v>
      </c>
      <c r="AI289" s="221">
        <v>43</v>
      </c>
      <c r="AJ289" s="221">
        <v>13</v>
      </c>
      <c r="AK289" s="221">
        <v>15</v>
      </c>
      <c r="AL289" s="221">
        <v>-1</v>
      </c>
      <c r="AM289" s="221">
        <v>506</v>
      </c>
      <c r="AN289" s="147"/>
      <c r="AO289" s="221">
        <v>-37</v>
      </c>
      <c r="AP289" s="221">
        <v>23</v>
      </c>
      <c r="AQ289" s="221">
        <v>16</v>
      </c>
      <c r="AR289" s="221">
        <v>10</v>
      </c>
      <c r="AS289" s="221">
        <v>6</v>
      </c>
      <c r="AT289" s="221">
        <v>8</v>
      </c>
      <c r="AU289" s="221">
        <v>5</v>
      </c>
      <c r="AV289" s="221">
        <v>0</v>
      </c>
      <c r="AW289" s="221">
        <v>31</v>
      </c>
      <c r="AX289" s="56">
        <f t="shared" si="118"/>
        <v>37</v>
      </c>
      <c r="AY289" s="56">
        <f t="shared" si="118"/>
        <v>-23</v>
      </c>
      <c r="AZ289" s="56">
        <f t="shared" si="118"/>
        <v>-16</v>
      </c>
      <c r="BA289" s="56">
        <f t="shared" si="117"/>
        <v>-10</v>
      </c>
      <c r="BB289" s="56">
        <f t="shared" si="117"/>
        <v>-6</v>
      </c>
      <c r="BC289" s="56">
        <f t="shared" si="117"/>
        <v>-8</v>
      </c>
      <c r="BD289" s="56">
        <f t="shared" si="117"/>
        <v>-5</v>
      </c>
      <c r="BE289" s="56">
        <f t="shared" si="117"/>
        <v>0</v>
      </c>
      <c r="BF289" s="56">
        <f t="shared" si="117"/>
        <v>-31</v>
      </c>
      <c r="BH289">
        <f t="shared" si="127"/>
        <v>1</v>
      </c>
      <c r="BI289">
        <f t="shared" si="136"/>
        <v>0</v>
      </c>
      <c r="BJ289" s="154">
        <v>305114.64</v>
      </c>
      <c r="BK289" s="155">
        <f t="shared" si="128"/>
        <v>305114.64</v>
      </c>
      <c r="BL289" s="156">
        <v>789986.21555555554</v>
      </c>
      <c r="BM289" s="155">
        <f t="shared" si="129"/>
        <v>789986.21555555554</v>
      </c>
      <c r="BN289" s="158">
        <v>528153.39666666673</v>
      </c>
      <c r="BO289" s="155">
        <f t="shared" si="130"/>
        <v>528153.39666666673</v>
      </c>
      <c r="BP289" s="158">
        <v>476135.33333333337</v>
      </c>
      <c r="BQ289" s="155">
        <f t="shared" si="131"/>
        <v>476135.33333333337</v>
      </c>
      <c r="BR289" s="158">
        <v>457325.51555555558</v>
      </c>
      <c r="BS289" s="155">
        <f t="shared" si="132"/>
        <v>457325.51555555558</v>
      </c>
      <c r="BT289" s="194">
        <v>540767.84222222224</v>
      </c>
      <c r="BU289" s="194"/>
      <c r="BV289" s="348">
        <f t="shared" si="137"/>
        <v>540767.84222222224</v>
      </c>
      <c r="BW289" s="195">
        <f t="shared" si="133"/>
        <v>653376.27555555559</v>
      </c>
      <c r="BX289" s="157" t="str">
        <f t="shared" si="138"/>
        <v>0</v>
      </c>
      <c r="BY289" s="157">
        <f>IF(E289*$CJ$10*'Year 7 Payments'!$L$20*IF(B289="",1,0.8)&lt;=(BW289-(J289*350)),E289*$CJ$10*'Year 7 Payments'!$L$20*IF(B289="",1,0.8),BW289-(IF(B289="",1,0.8)*J289*350))</f>
        <v>355688.64103111112</v>
      </c>
      <c r="BZ289" s="157" t="str">
        <f t="shared" si="139"/>
        <v>0</v>
      </c>
      <c r="CA289" s="157">
        <f t="shared" si="140"/>
        <v>297687.63452444447</v>
      </c>
      <c r="CB289" s="157">
        <f t="shared" si="141"/>
        <v>0</v>
      </c>
      <c r="CC289" s="157">
        <f t="shared" si="142"/>
        <v>1190750.5380977779</v>
      </c>
      <c r="CD289" s="201">
        <f t="shared" si="143"/>
        <v>0</v>
      </c>
      <c r="CE289" s="155">
        <f t="shared" si="144"/>
        <v>297687.63452444447</v>
      </c>
    </row>
    <row r="290" spans="1:83" x14ac:dyDescent="0.2">
      <c r="A290" s="147" t="s">
        <v>761</v>
      </c>
      <c r="B290" s="57" t="s">
        <v>555</v>
      </c>
      <c r="C290" s="57" t="s">
        <v>472</v>
      </c>
      <c r="D290" s="148" t="s">
        <v>318</v>
      </c>
      <c r="E290" s="197">
        <v>27813.666666666664</v>
      </c>
      <c r="F290" s="147">
        <f t="shared" si="134"/>
        <v>32063</v>
      </c>
      <c r="G290" s="342">
        <v>311</v>
      </c>
      <c r="H290" s="149">
        <f t="shared" si="119"/>
        <v>464</v>
      </c>
      <c r="I290" s="346">
        <v>315.96755555555558</v>
      </c>
      <c r="J290" s="150">
        <v>8</v>
      </c>
      <c r="K290"/>
      <c r="L290" s="151">
        <v>8123</v>
      </c>
      <c r="M290" s="151">
        <v>7031</v>
      </c>
      <c r="N290" s="151">
        <v>6683</v>
      </c>
      <c r="O290" s="151">
        <v>5589</v>
      </c>
      <c r="P290" s="151">
        <v>3183</v>
      </c>
      <c r="Q290" s="151">
        <v>1063</v>
      </c>
      <c r="R290" s="151">
        <v>365</v>
      </c>
      <c r="S290" s="151">
        <v>26</v>
      </c>
      <c r="T290" s="151">
        <v>32063</v>
      </c>
      <c r="U290" s="147"/>
      <c r="V290" s="152">
        <f t="shared" si="135"/>
        <v>0.25334497707638087</v>
      </c>
      <c r="W290" s="152">
        <f t="shared" si="120"/>
        <v>0.21928702866232105</v>
      </c>
      <c r="X290" s="152">
        <f t="shared" si="121"/>
        <v>0.20843339675014816</v>
      </c>
      <c r="Y290" s="152">
        <f t="shared" si="122"/>
        <v>0.17431307114119077</v>
      </c>
      <c r="Z290" s="152">
        <f t="shared" si="123"/>
        <v>9.9273305679443591E-2</v>
      </c>
      <c r="AA290" s="152">
        <f t="shared" si="124"/>
        <v>3.3153479088045411E-2</v>
      </c>
      <c r="AB290" s="152">
        <f t="shared" si="125"/>
        <v>1.1383838068802046E-2</v>
      </c>
      <c r="AC290" s="152">
        <f t="shared" si="126"/>
        <v>8.1090353366809092E-4</v>
      </c>
      <c r="AD290" s="152"/>
      <c r="AE290" s="221">
        <v>58</v>
      </c>
      <c r="AF290" s="221">
        <v>91</v>
      </c>
      <c r="AG290" s="221">
        <v>120</v>
      </c>
      <c r="AH290" s="221">
        <v>113</v>
      </c>
      <c r="AI290" s="221">
        <v>47</v>
      </c>
      <c r="AJ290" s="221">
        <v>-2</v>
      </c>
      <c r="AK290" s="221">
        <v>-1</v>
      </c>
      <c r="AL290" s="221">
        <v>0</v>
      </c>
      <c r="AM290" s="221">
        <v>426</v>
      </c>
      <c r="AN290" s="147"/>
      <c r="AO290" s="221">
        <v>9</v>
      </c>
      <c r="AP290" s="221">
        <v>-11</v>
      </c>
      <c r="AQ290" s="221">
        <v>-2</v>
      </c>
      <c r="AR290" s="221">
        <v>-14</v>
      </c>
      <c r="AS290" s="221">
        <v>-14</v>
      </c>
      <c r="AT290" s="221">
        <v>-4</v>
      </c>
      <c r="AU290" s="221">
        <v>0</v>
      </c>
      <c r="AV290" s="221">
        <v>-2</v>
      </c>
      <c r="AW290" s="221">
        <v>-38</v>
      </c>
      <c r="AX290" s="56">
        <f t="shared" si="118"/>
        <v>-9</v>
      </c>
      <c r="AY290" s="56">
        <f t="shared" si="118"/>
        <v>11</v>
      </c>
      <c r="AZ290" s="56">
        <f t="shared" si="118"/>
        <v>2</v>
      </c>
      <c r="BA290" s="56">
        <f t="shared" si="117"/>
        <v>14</v>
      </c>
      <c r="BB290" s="56">
        <f t="shared" si="117"/>
        <v>14</v>
      </c>
      <c r="BC290" s="56">
        <f t="shared" si="117"/>
        <v>4</v>
      </c>
      <c r="BD290" s="56">
        <f t="shared" si="117"/>
        <v>0</v>
      </c>
      <c r="BE290" s="56">
        <f t="shared" si="117"/>
        <v>2</v>
      </c>
      <c r="BF290" s="56">
        <f t="shared" si="117"/>
        <v>38</v>
      </c>
      <c r="BH290">
        <f t="shared" si="127"/>
        <v>0.8</v>
      </c>
      <c r="BI290">
        <f t="shared" si="136"/>
        <v>0.19999999999999996</v>
      </c>
      <c r="BJ290" s="154">
        <v>260466.83733333336</v>
      </c>
      <c r="BK290" s="155">
        <f t="shared" si="128"/>
        <v>260466.83733333336</v>
      </c>
      <c r="BL290" s="156">
        <v>406950.16711111111</v>
      </c>
      <c r="BM290" s="155">
        <f t="shared" si="129"/>
        <v>406950.16711111111</v>
      </c>
      <c r="BN290" s="158">
        <v>380736.7297777778</v>
      </c>
      <c r="BO290" s="155">
        <f t="shared" si="130"/>
        <v>380736.7297777778</v>
      </c>
      <c r="BP290" s="158">
        <v>213263.57333333336</v>
      </c>
      <c r="BQ290" s="155">
        <f t="shared" si="131"/>
        <v>213263.57333333336</v>
      </c>
      <c r="BR290" s="158">
        <v>326391.70311111119</v>
      </c>
      <c r="BS290" s="155">
        <f t="shared" si="132"/>
        <v>326391.70311111119</v>
      </c>
      <c r="BT290" s="194">
        <v>440255.10044444446</v>
      </c>
      <c r="BU290" s="194"/>
      <c r="BV290" s="348">
        <f t="shared" si="137"/>
        <v>440255.10044444446</v>
      </c>
      <c r="BW290" s="195">
        <f t="shared" si="133"/>
        <v>525009.61777777772</v>
      </c>
      <c r="BX290" s="157">
        <f t="shared" si="138"/>
        <v>131252.40444444443</v>
      </c>
      <c r="BY290" s="157">
        <f>IF(E290*$CJ$10*'Year 7 Payments'!$L$20*IF(B290="",1,0.8)&lt;=(BW290-(J290*350)),E290*$CJ$10*'Year 7 Payments'!$L$20*IF(B290="",1,0.8),BW290-(IF(B290="",1,0.8)*J290*350))</f>
        <v>136136.55035733336</v>
      </c>
      <c r="BZ290" s="157">
        <f t="shared" si="139"/>
        <v>34034.137589333339</v>
      </c>
      <c r="CA290" s="157">
        <f t="shared" si="140"/>
        <v>388873.06742044433</v>
      </c>
      <c r="CB290" s="157">
        <f t="shared" si="141"/>
        <v>97218.266855111084</v>
      </c>
      <c r="CC290" s="157">
        <f t="shared" si="142"/>
        <v>1555492.2696817773</v>
      </c>
      <c r="CD290" s="201">
        <f t="shared" si="143"/>
        <v>388873.06742044433</v>
      </c>
      <c r="CE290" s="155">
        <f t="shared" si="144"/>
        <v>388873.06742044433</v>
      </c>
    </row>
    <row r="291" spans="1:83" x14ac:dyDescent="0.2">
      <c r="A291" s="147" t="s">
        <v>762</v>
      </c>
      <c r="B291" s="57"/>
      <c r="C291" s="57" t="s">
        <v>461</v>
      </c>
      <c r="D291" s="148" t="s">
        <v>319</v>
      </c>
      <c r="E291" s="197">
        <v>119818.55555555553</v>
      </c>
      <c r="F291" s="147">
        <f t="shared" si="134"/>
        <v>124298</v>
      </c>
      <c r="G291" s="342">
        <v>656</v>
      </c>
      <c r="H291" s="149">
        <f t="shared" si="119"/>
        <v>3625</v>
      </c>
      <c r="I291" s="346">
        <v>3452.836888888889</v>
      </c>
      <c r="J291" s="150">
        <v>355</v>
      </c>
      <c r="K291"/>
      <c r="L291" s="151">
        <v>3845</v>
      </c>
      <c r="M291" s="151">
        <v>25163</v>
      </c>
      <c r="N291" s="151">
        <v>37076</v>
      </c>
      <c r="O291" s="151">
        <v>25853</v>
      </c>
      <c r="P291" s="151">
        <v>19384</v>
      </c>
      <c r="Q291" s="151">
        <v>8904</v>
      </c>
      <c r="R291" s="151">
        <v>3520</v>
      </c>
      <c r="S291" s="151">
        <v>553</v>
      </c>
      <c r="T291" s="151">
        <v>124298</v>
      </c>
      <c r="U291" s="147"/>
      <c r="V291" s="152">
        <f t="shared" si="135"/>
        <v>3.0933723792820479E-2</v>
      </c>
      <c r="W291" s="152">
        <f t="shared" si="120"/>
        <v>0.20244090814011489</v>
      </c>
      <c r="X291" s="152">
        <f t="shared" si="121"/>
        <v>0.29828315821654411</v>
      </c>
      <c r="Y291" s="152">
        <f t="shared" si="122"/>
        <v>0.20799208354116719</v>
      </c>
      <c r="Z291" s="152">
        <f t="shared" si="123"/>
        <v>0.15594780286086662</v>
      </c>
      <c r="AA291" s="152">
        <f t="shared" si="124"/>
        <v>7.1634298218796758E-2</v>
      </c>
      <c r="AB291" s="152">
        <f t="shared" si="125"/>
        <v>2.8319039727107434E-2</v>
      </c>
      <c r="AC291" s="152">
        <f t="shared" si="126"/>
        <v>4.4489855025825033E-3</v>
      </c>
      <c r="AD291" s="152"/>
      <c r="AE291" s="221">
        <v>411</v>
      </c>
      <c r="AF291" s="221">
        <v>-54</v>
      </c>
      <c r="AG291" s="221">
        <v>590</v>
      </c>
      <c r="AH291" s="221">
        <v>1194</v>
      </c>
      <c r="AI291" s="221">
        <v>881</v>
      </c>
      <c r="AJ291" s="221">
        <v>314</v>
      </c>
      <c r="AK291" s="221">
        <v>250</v>
      </c>
      <c r="AL291" s="221">
        <v>29</v>
      </c>
      <c r="AM291" s="221">
        <v>3615</v>
      </c>
      <c r="AN291" s="147"/>
      <c r="AO291" s="221">
        <v>3</v>
      </c>
      <c r="AP291" s="221">
        <v>-92</v>
      </c>
      <c r="AQ291" s="221">
        <v>-20</v>
      </c>
      <c r="AR291" s="221">
        <v>52</v>
      </c>
      <c r="AS291" s="221">
        <v>41</v>
      </c>
      <c r="AT291" s="221">
        <v>5</v>
      </c>
      <c r="AU291" s="221">
        <v>2</v>
      </c>
      <c r="AV291" s="221">
        <v>-1</v>
      </c>
      <c r="AW291" s="221">
        <v>-10</v>
      </c>
      <c r="AX291" s="56">
        <f t="shared" si="118"/>
        <v>-3</v>
      </c>
      <c r="AY291" s="56">
        <f t="shared" si="118"/>
        <v>92</v>
      </c>
      <c r="AZ291" s="56">
        <f t="shared" si="118"/>
        <v>20</v>
      </c>
      <c r="BA291" s="56">
        <f t="shared" si="117"/>
        <v>-52</v>
      </c>
      <c r="BB291" s="56">
        <f t="shared" si="117"/>
        <v>-41</v>
      </c>
      <c r="BC291" s="56">
        <f t="shared" si="117"/>
        <v>-5</v>
      </c>
      <c r="BD291" s="56">
        <f t="shared" si="117"/>
        <v>-2</v>
      </c>
      <c r="BE291" s="56">
        <f t="shared" si="117"/>
        <v>1</v>
      </c>
      <c r="BF291" s="56">
        <f t="shared" si="117"/>
        <v>10</v>
      </c>
      <c r="BH291">
        <f t="shared" si="127"/>
        <v>1</v>
      </c>
      <c r="BI291">
        <f t="shared" si="136"/>
        <v>0</v>
      </c>
      <c r="BJ291" s="154">
        <v>4287276.4666666668</v>
      </c>
      <c r="BK291" s="155">
        <f t="shared" si="128"/>
        <v>4287276.4666666668</v>
      </c>
      <c r="BL291" s="156">
        <v>5822532.7866666662</v>
      </c>
      <c r="BM291" s="155">
        <f t="shared" si="129"/>
        <v>5822532.7866666662</v>
      </c>
      <c r="BN291" s="158">
        <v>5961041.9944444448</v>
      </c>
      <c r="BO291" s="155">
        <f t="shared" si="130"/>
        <v>5961041.9944444448</v>
      </c>
      <c r="BP291" s="158">
        <v>3407157.333333333</v>
      </c>
      <c r="BQ291" s="155">
        <f t="shared" si="131"/>
        <v>3407157.333333333</v>
      </c>
      <c r="BR291" s="158">
        <v>5359512.8044444444</v>
      </c>
      <c r="BS291" s="155">
        <f t="shared" si="132"/>
        <v>5359512.8044444444</v>
      </c>
      <c r="BT291" s="194">
        <v>3804246.8177777776</v>
      </c>
      <c r="BU291" s="194"/>
      <c r="BV291" s="348">
        <f t="shared" si="137"/>
        <v>3804246.8177777776</v>
      </c>
      <c r="BW291" s="195">
        <f t="shared" si="133"/>
        <v>6138649.8711111126</v>
      </c>
      <c r="BX291" s="157" t="str">
        <f t="shared" si="138"/>
        <v>0</v>
      </c>
      <c r="BY291" s="157">
        <f>IF(E291*$CJ$10*'Year 7 Payments'!$L$20*IF(B291="",1,0.8)&lt;=(BW291-(J291*350)),E291*$CJ$10*'Year 7 Payments'!$L$20*IF(B291="",1,0.8),BW291-(IF(B291="",1,0.8)*J291*350))</f>
        <v>733078.67934222217</v>
      </c>
      <c r="BZ291" s="157" t="str">
        <f t="shared" si="139"/>
        <v>0</v>
      </c>
      <c r="CA291" s="157">
        <f t="shared" si="140"/>
        <v>5405571.1917688902</v>
      </c>
      <c r="CB291" s="157">
        <f t="shared" si="141"/>
        <v>0</v>
      </c>
      <c r="CC291" s="157">
        <f t="shared" si="142"/>
        <v>21622284.767075561</v>
      </c>
      <c r="CD291" s="201">
        <f t="shared" si="143"/>
        <v>0</v>
      </c>
      <c r="CE291" s="155">
        <f t="shared" si="144"/>
        <v>5405571.1917688902</v>
      </c>
    </row>
    <row r="292" spans="1:83" x14ac:dyDescent="0.2">
      <c r="A292" s="147" t="s">
        <v>763</v>
      </c>
      <c r="B292" s="57"/>
      <c r="C292" s="57" t="s">
        <v>446</v>
      </c>
      <c r="D292" s="148" t="s">
        <v>320</v>
      </c>
      <c r="E292" s="197">
        <v>90746.555555555577</v>
      </c>
      <c r="F292" s="147">
        <f t="shared" si="134"/>
        <v>98248</v>
      </c>
      <c r="G292" s="342">
        <v>687</v>
      </c>
      <c r="H292" s="149">
        <f t="shared" si="119"/>
        <v>554</v>
      </c>
      <c r="I292" s="346">
        <v>128.90266666666662</v>
      </c>
      <c r="J292" s="150">
        <v>45</v>
      </c>
      <c r="K292"/>
      <c r="L292" s="151">
        <v>18634</v>
      </c>
      <c r="M292" s="151">
        <v>21070</v>
      </c>
      <c r="N292" s="151">
        <v>26490</v>
      </c>
      <c r="O292" s="151">
        <v>14716</v>
      </c>
      <c r="P292" s="151">
        <v>7701</v>
      </c>
      <c r="Q292" s="151">
        <v>4500</v>
      </c>
      <c r="R292" s="151">
        <v>4145</v>
      </c>
      <c r="S292" s="151">
        <v>992</v>
      </c>
      <c r="T292" s="151">
        <v>98248</v>
      </c>
      <c r="U292" s="147"/>
      <c r="V292" s="152">
        <f t="shared" si="135"/>
        <v>0.18966289390114813</v>
      </c>
      <c r="W292" s="152">
        <f t="shared" si="120"/>
        <v>0.21445729175148603</v>
      </c>
      <c r="X292" s="152">
        <f t="shared" si="121"/>
        <v>0.26962380913606382</v>
      </c>
      <c r="Y292" s="152">
        <f t="shared" si="122"/>
        <v>0.14978421952609722</v>
      </c>
      <c r="Z292" s="152">
        <f t="shared" si="123"/>
        <v>7.8383274977607692E-2</v>
      </c>
      <c r="AA292" s="152">
        <f t="shared" si="124"/>
        <v>4.580245908313655E-2</v>
      </c>
      <c r="AB292" s="152">
        <f t="shared" si="125"/>
        <v>4.218915397768911E-2</v>
      </c>
      <c r="AC292" s="152">
        <f t="shared" si="126"/>
        <v>1.0096897646771436E-2</v>
      </c>
      <c r="AD292" s="152"/>
      <c r="AE292" s="221">
        <v>129</v>
      </c>
      <c r="AF292" s="221">
        <v>157</v>
      </c>
      <c r="AG292" s="221">
        <v>177</v>
      </c>
      <c r="AH292" s="221">
        <v>84</v>
      </c>
      <c r="AI292" s="221">
        <v>5</v>
      </c>
      <c r="AJ292" s="221">
        <v>44</v>
      </c>
      <c r="AK292" s="221">
        <v>4</v>
      </c>
      <c r="AL292" s="221">
        <v>4</v>
      </c>
      <c r="AM292" s="221">
        <v>604</v>
      </c>
      <c r="AN292" s="147"/>
      <c r="AO292" s="221">
        <v>17</v>
      </c>
      <c r="AP292" s="221">
        <v>10</v>
      </c>
      <c r="AQ292" s="221">
        <v>13</v>
      </c>
      <c r="AR292" s="221">
        <v>0</v>
      </c>
      <c r="AS292" s="221">
        <v>4</v>
      </c>
      <c r="AT292" s="221">
        <v>12</v>
      </c>
      <c r="AU292" s="221">
        <v>-3</v>
      </c>
      <c r="AV292" s="221">
        <v>-3</v>
      </c>
      <c r="AW292" s="221">
        <v>50</v>
      </c>
      <c r="AX292" s="56">
        <f t="shared" si="118"/>
        <v>-17</v>
      </c>
      <c r="AY292" s="56">
        <f t="shared" si="118"/>
        <v>-10</v>
      </c>
      <c r="AZ292" s="56">
        <f t="shared" si="118"/>
        <v>-13</v>
      </c>
      <c r="BA292" s="56">
        <f t="shared" si="117"/>
        <v>0</v>
      </c>
      <c r="BB292" s="56">
        <f t="shared" si="117"/>
        <v>-4</v>
      </c>
      <c r="BC292" s="56">
        <f t="shared" si="117"/>
        <v>-12</v>
      </c>
      <c r="BD292" s="56">
        <f t="shared" si="117"/>
        <v>3</v>
      </c>
      <c r="BE292" s="56">
        <f t="shared" si="117"/>
        <v>3</v>
      </c>
      <c r="BF292" s="56">
        <f t="shared" si="117"/>
        <v>-50</v>
      </c>
      <c r="BH292">
        <f t="shared" si="127"/>
        <v>1</v>
      </c>
      <c r="BI292">
        <f t="shared" si="136"/>
        <v>0</v>
      </c>
      <c r="BJ292" s="154">
        <v>625261.1333333333</v>
      </c>
      <c r="BK292" s="155">
        <f t="shared" si="128"/>
        <v>625261.1333333333</v>
      </c>
      <c r="BL292" s="156">
        <v>329715.25555555557</v>
      </c>
      <c r="BM292" s="155">
        <f t="shared" si="129"/>
        <v>329715.25555555557</v>
      </c>
      <c r="BN292" s="158">
        <v>391323.05444444448</v>
      </c>
      <c r="BO292" s="155">
        <f t="shared" si="130"/>
        <v>391323.05444444448</v>
      </c>
      <c r="BP292" s="158">
        <v>424620.66666666663</v>
      </c>
      <c r="BQ292" s="155">
        <f t="shared" si="131"/>
        <v>424620.66666666663</v>
      </c>
      <c r="BR292" s="158">
        <v>578237.19777777768</v>
      </c>
      <c r="BS292" s="155">
        <f t="shared" si="132"/>
        <v>578237.19777777768</v>
      </c>
      <c r="BT292" s="194">
        <v>649493.49111111113</v>
      </c>
      <c r="BU292" s="194"/>
      <c r="BV292" s="348">
        <f t="shared" si="137"/>
        <v>649493.49111111113</v>
      </c>
      <c r="BW292" s="195">
        <f t="shared" si="133"/>
        <v>768123.56888888881</v>
      </c>
      <c r="BX292" s="157" t="str">
        <f t="shared" si="138"/>
        <v>0</v>
      </c>
      <c r="BY292" s="157">
        <f>IF(E292*$CJ$10*'Year 7 Payments'!$L$20*IF(B292="",1,0.8)&lt;=(BW292-(J292*350)),E292*$CJ$10*'Year 7 Payments'!$L$20*IF(B292="",1,0.8),BW292-(IF(B292="",1,0.8)*J292*350))</f>
        <v>555209.20606222237</v>
      </c>
      <c r="BZ292" s="157" t="str">
        <f t="shared" si="139"/>
        <v>0</v>
      </c>
      <c r="CA292" s="157">
        <f t="shared" si="140"/>
        <v>212914.36282666645</v>
      </c>
      <c r="CB292" s="157">
        <f t="shared" si="141"/>
        <v>0</v>
      </c>
      <c r="CC292" s="157">
        <f t="shared" si="142"/>
        <v>851657.45130666578</v>
      </c>
      <c r="CD292" s="201">
        <f t="shared" si="143"/>
        <v>0</v>
      </c>
      <c r="CE292" s="155">
        <f t="shared" si="144"/>
        <v>212914.36282666645</v>
      </c>
    </row>
    <row r="293" spans="1:83" x14ac:dyDescent="0.2">
      <c r="A293" s="147" t="s">
        <v>764</v>
      </c>
      <c r="B293" s="57" t="s">
        <v>454</v>
      </c>
      <c r="C293" s="57" t="s">
        <v>443</v>
      </c>
      <c r="D293" s="148" t="s">
        <v>321</v>
      </c>
      <c r="E293" s="197">
        <v>51444.555555555562</v>
      </c>
      <c r="F293" s="147">
        <f t="shared" si="134"/>
        <v>48559</v>
      </c>
      <c r="G293" s="342">
        <v>376</v>
      </c>
      <c r="H293" s="149">
        <f t="shared" si="119"/>
        <v>270</v>
      </c>
      <c r="I293" s="346">
        <v>136.66622222222222</v>
      </c>
      <c r="J293" s="150">
        <v>56</v>
      </c>
      <c r="K293"/>
      <c r="L293" s="151">
        <v>3417</v>
      </c>
      <c r="M293" s="151">
        <v>5144</v>
      </c>
      <c r="N293" s="151">
        <v>13468</v>
      </c>
      <c r="O293" s="151">
        <v>9879</v>
      </c>
      <c r="P293" s="151">
        <v>6529</v>
      </c>
      <c r="Q293" s="151">
        <v>4497</v>
      </c>
      <c r="R293" s="151">
        <v>5096</v>
      </c>
      <c r="S293" s="151">
        <v>529</v>
      </c>
      <c r="T293" s="151">
        <v>48559</v>
      </c>
      <c r="U293" s="147"/>
      <c r="V293" s="152">
        <f t="shared" si="135"/>
        <v>7.0368005930929386E-2</v>
      </c>
      <c r="W293" s="152">
        <f t="shared" si="120"/>
        <v>0.10593298873535287</v>
      </c>
      <c r="X293" s="152">
        <f t="shared" si="121"/>
        <v>0.27735332276200086</v>
      </c>
      <c r="Y293" s="152">
        <f t="shared" si="122"/>
        <v>0.20344323400399514</v>
      </c>
      <c r="Z293" s="152">
        <f t="shared" si="123"/>
        <v>0.13445499289524085</v>
      </c>
      <c r="AA293" s="152">
        <f t="shared" si="124"/>
        <v>9.260899112419943E-2</v>
      </c>
      <c r="AB293" s="152">
        <f t="shared" si="125"/>
        <v>0.10494450050454086</v>
      </c>
      <c r="AC293" s="152">
        <f t="shared" si="126"/>
        <v>1.0893964043740604E-2</v>
      </c>
      <c r="AD293" s="152"/>
      <c r="AE293" s="221">
        <v>21</v>
      </c>
      <c r="AF293" s="221">
        <v>48</v>
      </c>
      <c r="AG293" s="221">
        <v>71</v>
      </c>
      <c r="AH293" s="221">
        <v>36</v>
      </c>
      <c r="AI293" s="221">
        <v>104</v>
      </c>
      <c r="AJ293" s="221">
        <v>34</v>
      </c>
      <c r="AK293" s="221">
        <v>42</v>
      </c>
      <c r="AL293" s="221">
        <v>14</v>
      </c>
      <c r="AM293" s="221">
        <v>370</v>
      </c>
      <c r="AN293" s="147"/>
      <c r="AO293" s="221">
        <v>29</v>
      </c>
      <c r="AP293" s="221">
        <v>47</v>
      </c>
      <c r="AQ293" s="221">
        <v>15</v>
      </c>
      <c r="AR293" s="221">
        <v>-4</v>
      </c>
      <c r="AS293" s="221">
        <v>4</v>
      </c>
      <c r="AT293" s="221">
        <v>10</v>
      </c>
      <c r="AU293" s="221">
        <v>1</v>
      </c>
      <c r="AV293" s="221">
        <v>-2</v>
      </c>
      <c r="AW293" s="221">
        <v>100</v>
      </c>
      <c r="AX293" s="56">
        <f t="shared" si="118"/>
        <v>-29</v>
      </c>
      <c r="AY293" s="56">
        <f t="shared" si="118"/>
        <v>-47</v>
      </c>
      <c r="AZ293" s="56">
        <f t="shared" si="118"/>
        <v>-15</v>
      </c>
      <c r="BA293" s="56">
        <f t="shared" si="117"/>
        <v>4</v>
      </c>
      <c r="BB293" s="56">
        <f t="shared" si="117"/>
        <v>-4</v>
      </c>
      <c r="BC293" s="56">
        <f t="shared" si="117"/>
        <v>-10</v>
      </c>
      <c r="BD293" s="56">
        <f t="shared" si="117"/>
        <v>-1</v>
      </c>
      <c r="BE293" s="56">
        <f t="shared" si="117"/>
        <v>2</v>
      </c>
      <c r="BF293" s="56">
        <f t="shared" si="117"/>
        <v>-100</v>
      </c>
      <c r="BH293">
        <f t="shared" si="127"/>
        <v>0.8</v>
      </c>
      <c r="BI293">
        <f t="shared" si="136"/>
        <v>0.19999999999999996</v>
      </c>
      <c r="BJ293" s="154">
        <v>258931.66933333335</v>
      </c>
      <c r="BK293" s="155">
        <f t="shared" si="128"/>
        <v>258931.66933333335</v>
      </c>
      <c r="BL293" s="156">
        <v>338670.8631111111</v>
      </c>
      <c r="BM293" s="155">
        <f t="shared" si="129"/>
        <v>338670.8631111111</v>
      </c>
      <c r="BN293" s="158">
        <v>390037.73155555566</v>
      </c>
      <c r="BO293" s="155">
        <f t="shared" si="130"/>
        <v>390037.73155555566</v>
      </c>
      <c r="BP293" s="158">
        <v>96353.600000000006</v>
      </c>
      <c r="BQ293" s="155">
        <f t="shared" si="131"/>
        <v>96353.600000000006</v>
      </c>
      <c r="BR293" s="158">
        <v>135478.11377777779</v>
      </c>
      <c r="BS293" s="155">
        <f t="shared" si="132"/>
        <v>135478.11377777779</v>
      </c>
      <c r="BT293" s="194">
        <v>553537.51288888894</v>
      </c>
      <c r="BU293" s="194"/>
      <c r="BV293" s="348">
        <f t="shared" si="137"/>
        <v>553537.51288888894</v>
      </c>
      <c r="BW293" s="195">
        <f t="shared" si="133"/>
        <v>434711.4595555556</v>
      </c>
      <c r="BX293" s="157">
        <f t="shared" si="138"/>
        <v>108677.8648888889</v>
      </c>
      <c r="BY293" s="157">
        <f>IF(E293*$CJ$10*'Year 7 Payments'!$L$20*IF(B293="",1,0.8)&lt;=(BW293-(J293*350)),E293*$CJ$10*'Year 7 Payments'!$L$20*IF(B293="",1,0.8),BW293-(IF(B293="",1,0.8)*J293*350))</f>
        <v>251800.11006577779</v>
      </c>
      <c r="BZ293" s="157">
        <f t="shared" si="139"/>
        <v>62950.027516444447</v>
      </c>
      <c r="CA293" s="157">
        <f t="shared" si="140"/>
        <v>182911.34948977781</v>
      </c>
      <c r="CB293" s="157">
        <f t="shared" si="141"/>
        <v>45727.837372444454</v>
      </c>
      <c r="CC293" s="157">
        <f t="shared" si="142"/>
        <v>731645.39795911126</v>
      </c>
      <c r="CD293" s="201">
        <f t="shared" si="143"/>
        <v>182911.34948977781</v>
      </c>
      <c r="CE293" s="155">
        <f t="shared" si="144"/>
        <v>182911.34948977781</v>
      </c>
    </row>
    <row r="294" spans="1:83" x14ac:dyDescent="0.2">
      <c r="A294" s="147" t="s">
        <v>765</v>
      </c>
      <c r="B294" s="57" t="s">
        <v>467</v>
      </c>
      <c r="C294" s="57" t="s">
        <v>459</v>
      </c>
      <c r="D294" s="148" t="s">
        <v>322</v>
      </c>
      <c r="E294" s="197">
        <v>38968.222222222219</v>
      </c>
      <c r="F294" s="147">
        <f t="shared" si="134"/>
        <v>35392</v>
      </c>
      <c r="G294" s="342">
        <v>161</v>
      </c>
      <c r="H294" s="149">
        <f t="shared" si="119"/>
        <v>589</v>
      </c>
      <c r="I294" s="346">
        <v>558.23822222222236</v>
      </c>
      <c r="J294" s="150">
        <v>193</v>
      </c>
      <c r="K294"/>
      <c r="L294" s="151">
        <v>1224</v>
      </c>
      <c r="M294" s="151">
        <v>3788</v>
      </c>
      <c r="N294" s="151">
        <v>8031</v>
      </c>
      <c r="O294" s="151">
        <v>6942</v>
      </c>
      <c r="P294" s="151">
        <v>6353</v>
      </c>
      <c r="Q294" s="151">
        <v>4433</v>
      </c>
      <c r="R294" s="151">
        <v>4195</v>
      </c>
      <c r="S294" s="151">
        <v>426</v>
      </c>
      <c r="T294" s="151">
        <v>35392</v>
      </c>
      <c r="U294" s="147"/>
      <c r="V294" s="152">
        <f t="shared" si="135"/>
        <v>3.4584086799276673E-2</v>
      </c>
      <c r="W294" s="152">
        <f t="shared" si="120"/>
        <v>0.10702983725135624</v>
      </c>
      <c r="X294" s="152">
        <f t="shared" si="121"/>
        <v>0.22691568716094032</v>
      </c>
      <c r="Y294" s="152">
        <f t="shared" si="122"/>
        <v>0.19614602169981918</v>
      </c>
      <c r="Z294" s="152">
        <f t="shared" si="123"/>
        <v>0.17950384267631103</v>
      </c>
      <c r="AA294" s="152">
        <f t="shared" si="124"/>
        <v>0.12525429475587704</v>
      </c>
      <c r="AB294" s="152">
        <f t="shared" si="125"/>
        <v>0.11852961121157324</v>
      </c>
      <c r="AC294" s="152">
        <f t="shared" si="126"/>
        <v>1.2036618444846292E-2</v>
      </c>
      <c r="AD294" s="152"/>
      <c r="AE294" s="221">
        <v>40</v>
      </c>
      <c r="AF294" s="221">
        <v>-20</v>
      </c>
      <c r="AG294" s="221">
        <v>68</v>
      </c>
      <c r="AH294" s="221">
        <v>149</v>
      </c>
      <c r="AI294" s="221">
        <v>161</v>
      </c>
      <c r="AJ294" s="221">
        <v>97</v>
      </c>
      <c r="AK294" s="221">
        <v>84</v>
      </c>
      <c r="AL294" s="221">
        <v>3</v>
      </c>
      <c r="AM294" s="221">
        <v>582</v>
      </c>
      <c r="AN294" s="147"/>
      <c r="AO294" s="221">
        <v>17</v>
      </c>
      <c r="AP294" s="221">
        <v>-9</v>
      </c>
      <c r="AQ294" s="221">
        <v>-2</v>
      </c>
      <c r="AR294" s="221">
        <v>-13</v>
      </c>
      <c r="AS294" s="221">
        <v>0</v>
      </c>
      <c r="AT294" s="221">
        <v>-2</v>
      </c>
      <c r="AU294" s="221">
        <v>4</v>
      </c>
      <c r="AV294" s="221">
        <v>-2</v>
      </c>
      <c r="AW294" s="221">
        <v>-7</v>
      </c>
      <c r="AX294" s="56">
        <f t="shared" si="118"/>
        <v>-17</v>
      </c>
      <c r="AY294" s="56">
        <f t="shared" si="118"/>
        <v>9</v>
      </c>
      <c r="AZ294" s="56">
        <f t="shared" si="118"/>
        <v>2</v>
      </c>
      <c r="BA294" s="56">
        <f t="shared" si="117"/>
        <v>13</v>
      </c>
      <c r="BB294" s="56">
        <f t="shared" si="117"/>
        <v>0</v>
      </c>
      <c r="BC294" s="56">
        <f t="shared" si="117"/>
        <v>2</v>
      </c>
      <c r="BD294" s="56">
        <f t="shared" si="117"/>
        <v>-4</v>
      </c>
      <c r="BE294" s="56">
        <f t="shared" si="117"/>
        <v>2</v>
      </c>
      <c r="BF294" s="56">
        <f t="shared" si="117"/>
        <v>7</v>
      </c>
      <c r="BH294">
        <f t="shared" si="127"/>
        <v>0.8</v>
      </c>
      <c r="BI294">
        <f t="shared" si="136"/>
        <v>0.19999999999999996</v>
      </c>
      <c r="BJ294" s="154">
        <v>714364.84266666672</v>
      </c>
      <c r="BK294" s="155">
        <f t="shared" si="128"/>
        <v>714364.84266666672</v>
      </c>
      <c r="BL294" s="156">
        <v>533561.87733333325</v>
      </c>
      <c r="BM294" s="155">
        <f t="shared" si="129"/>
        <v>533561.87733333325</v>
      </c>
      <c r="BN294" s="158">
        <v>794502.47555555543</v>
      </c>
      <c r="BO294" s="155">
        <f t="shared" si="130"/>
        <v>794502.47555555543</v>
      </c>
      <c r="BP294" s="158">
        <v>834634.87999999989</v>
      </c>
      <c r="BQ294" s="155">
        <f t="shared" si="131"/>
        <v>834634.87999999989</v>
      </c>
      <c r="BR294" s="158">
        <v>721234.58311111107</v>
      </c>
      <c r="BS294" s="155">
        <f t="shared" si="132"/>
        <v>721234.58311111107</v>
      </c>
      <c r="BT294" s="194">
        <v>681333.34577777784</v>
      </c>
      <c r="BU294" s="194"/>
      <c r="BV294" s="348">
        <f t="shared" si="137"/>
        <v>681333.34577777784</v>
      </c>
      <c r="BW294" s="195">
        <f t="shared" si="133"/>
        <v>927860.63288888894</v>
      </c>
      <c r="BX294" s="157">
        <f t="shared" si="138"/>
        <v>231965.15822222224</v>
      </c>
      <c r="BY294" s="157">
        <f>IF(E294*$CJ$10*'Year 7 Payments'!$L$20*IF(B294="",1,0.8)&lt;=(BW294-(J294*350)),E294*$CJ$10*'Year 7 Payments'!$L$20*IF(B294="",1,0.8),BW294-(IF(B294="",1,0.8)*J294*350))</f>
        <v>190733.54874311108</v>
      </c>
      <c r="BZ294" s="157">
        <f t="shared" si="139"/>
        <v>47683.38718577777</v>
      </c>
      <c r="CA294" s="157">
        <f t="shared" si="140"/>
        <v>737127.08414577786</v>
      </c>
      <c r="CB294" s="157">
        <f t="shared" si="141"/>
        <v>184281.77103644446</v>
      </c>
      <c r="CC294" s="157">
        <f t="shared" si="142"/>
        <v>2948508.3365831114</v>
      </c>
      <c r="CD294" s="201">
        <f t="shared" si="143"/>
        <v>737127.08414577786</v>
      </c>
      <c r="CE294" s="155">
        <f t="shared" si="144"/>
        <v>737127.08414577786</v>
      </c>
    </row>
    <row r="295" spans="1:83" x14ac:dyDescent="0.2">
      <c r="A295" s="147" t="s">
        <v>766</v>
      </c>
      <c r="B295" s="57" t="s">
        <v>520</v>
      </c>
      <c r="C295" s="57" t="s">
        <v>443</v>
      </c>
      <c r="D295" s="148" t="s">
        <v>323</v>
      </c>
      <c r="E295" s="197">
        <v>56785.666666666664</v>
      </c>
      <c r="F295" s="147">
        <f t="shared" si="134"/>
        <v>54466</v>
      </c>
      <c r="G295" s="342">
        <v>307</v>
      </c>
      <c r="H295" s="149">
        <f t="shared" si="119"/>
        <v>1097</v>
      </c>
      <c r="I295" s="346">
        <v>950.52399999999989</v>
      </c>
      <c r="J295" s="150">
        <v>196</v>
      </c>
      <c r="K295"/>
      <c r="L295" s="151">
        <v>1670</v>
      </c>
      <c r="M295" s="151">
        <v>5663</v>
      </c>
      <c r="N295" s="151">
        <v>16217</v>
      </c>
      <c r="O295" s="151">
        <v>12197</v>
      </c>
      <c r="P295" s="151">
        <v>9063</v>
      </c>
      <c r="Q295" s="151">
        <v>5148</v>
      </c>
      <c r="R295" s="151">
        <v>4069</v>
      </c>
      <c r="S295" s="151">
        <v>439</v>
      </c>
      <c r="T295" s="151">
        <v>54466</v>
      </c>
      <c r="U295" s="147"/>
      <c r="V295" s="152">
        <f t="shared" si="135"/>
        <v>3.0661330004039217E-2</v>
      </c>
      <c r="W295" s="152">
        <f t="shared" si="120"/>
        <v>0.10397312084603239</v>
      </c>
      <c r="X295" s="152">
        <f t="shared" si="121"/>
        <v>0.29774538244042154</v>
      </c>
      <c r="Y295" s="152">
        <f t="shared" si="122"/>
        <v>0.22393786949656666</v>
      </c>
      <c r="Z295" s="152">
        <f t="shared" si="123"/>
        <v>0.16639738552491462</v>
      </c>
      <c r="AA295" s="152">
        <f t="shared" si="124"/>
        <v>9.4517680754966402E-2</v>
      </c>
      <c r="AB295" s="152">
        <f t="shared" si="125"/>
        <v>7.4707156758344662E-2</v>
      </c>
      <c r="AC295" s="152">
        <f t="shared" si="126"/>
        <v>8.0600741747145002E-3</v>
      </c>
      <c r="AD295" s="152"/>
      <c r="AE295" s="221">
        <v>14</v>
      </c>
      <c r="AF295" s="221">
        <v>103</v>
      </c>
      <c r="AG295" s="221">
        <v>376</v>
      </c>
      <c r="AH295" s="221">
        <v>212</v>
      </c>
      <c r="AI295" s="221">
        <v>180</v>
      </c>
      <c r="AJ295" s="221">
        <v>149</v>
      </c>
      <c r="AK295" s="221">
        <v>68</v>
      </c>
      <c r="AL295" s="221">
        <v>6</v>
      </c>
      <c r="AM295" s="221">
        <v>1108</v>
      </c>
      <c r="AN295" s="147"/>
      <c r="AO295" s="221">
        <v>-4</v>
      </c>
      <c r="AP295" s="221">
        <v>-7</v>
      </c>
      <c r="AQ295" s="221">
        <v>-3</v>
      </c>
      <c r="AR295" s="221">
        <v>17</v>
      </c>
      <c r="AS295" s="221">
        <v>7</v>
      </c>
      <c r="AT295" s="221">
        <v>-5</v>
      </c>
      <c r="AU295" s="221">
        <v>3</v>
      </c>
      <c r="AV295" s="221">
        <v>3</v>
      </c>
      <c r="AW295" s="221">
        <v>11</v>
      </c>
      <c r="AX295" s="56">
        <f t="shared" si="118"/>
        <v>4</v>
      </c>
      <c r="AY295" s="56">
        <f t="shared" si="118"/>
        <v>7</v>
      </c>
      <c r="AZ295" s="56">
        <f t="shared" si="118"/>
        <v>3</v>
      </c>
      <c r="BA295" s="56">
        <f t="shared" si="117"/>
        <v>-17</v>
      </c>
      <c r="BB295" s="56">
        <f t="shared" si="117"/>
        <v>-7</v>
      </c>
      <c r="BC295" s="56">
        <f t="shared" si="117"/>
        <v>5</v>
      </c>
      <c r="BD295" s="56">
        <f t="shared" si="117"/>
        <v>-3</v>
      </c>
      <c r="BE295" s="56">
        <f t="shared" si="117"/>
        <v>-3</v>
      </c>
      <c r="BF295" s="56">
        <f t="shared" si="117"/>
        <v>-11</v>
      </c>
      <c r="BH295">
        <f t="shared" si="127"/>
        <v>0.8</v>
      </c>
      <c r="BI295">
        <f t="shared" si="136"/>
        <v>0.19999999999999996</v>
      </c>
      <c r="BJ295" s="154">
        <v>451595.25333333336</v>
      </c>
      <c r="BK295" s="155">
        <f t="shared" si="128"/>
        <v>451595.25333333336</v>
      </c>
      <c r="BL295" s="156">
        <v>546049.61955555563</v>
      </c>
      <c r="BM295" s="155">
        <f t="shared" si="129"/>
        <v>546049.61955555563</v>
      </c>
      <c r="BN295" s="158">
        <v>376308.93600000005</v>
      </c>
      <c r="BO295" s="155">
        <f t="shared" si="130"/>
        <v>376308.93600000005</v>
      </c>
      <c r="BP295" s="158">
        <v>712973.97333333327</v>
      </c>
      <c r="BQ295" s="155">
        <f t="shared" si="131"/>
        <v>712973.97333333327</v>
      </c>
      <c r="BR295" s="158">
        <v>736167.1911111112</v>
      </c>
      <c r="BS295" s="155">
        <f t="shared" si="132"/>
        <v>736167.1911111112</v>
      </c>
      <c r="BT295" s="194">
        <v>1106345.4079999998</v>
      </c>
      <c r="BU295" s="194"/>
      <c r="BV295" s="348">
        <f t="shared" si="137"/>
        <v>1106345.4079999998</v>
      </c>
      <c r="BW295" s="195">
        <f t="shared" si="133"/>
        <v>1495929.4613333335</v>
      </c>
      <c r="BX295" s="157">
        <f t="shared" si="138"/>
        <v>373982.36533333338</v>
      </c>
      <c r="BY295" s="157">
        <f>IF(E295*$CJ$10*'Year 7 Payments'!$L$20*IF(B295="",1,0.8)&lt;=(BW295-(J295*350)),E295*$CJ$10*'Year 7 Payments'!$L$20*IF(B295="",1,0.8),BW295-(IF(B295="",1,0.8)*J295*350))</f>
        <v>277942.6697813333</v>
      </c>
      <c r="BZ295" s="157">
        <f t="shared" si="139"/>
        <v>69485.667445333325</v>
      </c>
      <c r="CA295" s="157">
        <f t="shared" si="140"/>
        <v>1217986.7915520002</v>
      </c>
      <c r="CB295" s="157">
        <f t="shared" si="141"/>
        <v>304496.69788800005</v>
      </c>
      <c r="CC295" s="157">
        <f t="shared" si="142"/>
        <v>4871947.1662080009</v>
      </c>
      <c r="CD295" s="201">
        <f t="shared" si="143"/>
        <v>1217986.7915520002</v>
      </c>
      <c r="CE295" s="155">
        <f t="shared" si="144"/>
        <v>1217986.7915520002</v>
      </c>
    </row>
    <row r="296" spans="1:83" x14ac:dyDescent="0.2">
      <c r="A296" s="147" t="s">
        <v>767</v>
      </c>
      <c r="B296" s="57"/>
      <c r="C296" s="57" t="s">
        <v>464</v>
      </c>
      <c r="D296" s="148" t="s">
        <v>324</v>
      </c>
      <c r="E296" s="197">
        <v>117966.11111111111</v>
      </c>
      <c r="F296" s="147">
        <f t="shared" si="134"/>
        <v>152459</v>
      </c>
      <c r="G296" s="342">
        <v>1666</v>
      </c>
      <c r="H296" s="149">
        <f t="shared" si="119"/>
        <v>1821</v>
      </c>
      <c r="I296" s="346">
        <v>1186.3577777777775</v>
      </c>
      <c r="J296" s="150">
        <v>459</v>
      </c>
      <c r="K296"/>
      <c r="L296" s="151">
        <v>78650</v>
      </c>
      <c r="M296" s="151">
        <v>28246</v>
      </c>
      <c r="N296" s="151">
        <v>21528</v>
      </c>
      <c r="O296" s="151">
        <v>13707</v>
      </c>
      <c r="P296" s="151">
        <v>6936</v>
      </c>
      <c r="Q296" s="151">
        <v>2262</v>
      </c>
      <c r="R296" s="151">
        <v>1049</v>
      </c>
      <c r="S296" s="151">
        <v>81</v>
      </c>
      <c r="T296" s="151">
        <v>152459</v>
      </c>
      <c r="U296" s="147"/>
      <c r="V296" s="152">
        <f t="shared" si="135"/>
        <v>0.51587639955660214</v>
      </c>
      <c r="W296" s="152">
        <f t="shared" si="120"/>
        <v>0.1852694822870411</v>
      </c>
      <c r="X296" s="152">
        <f t="shared" si="121"/>
        <v>0.14120517647367489</v>
      </c>
      <c r="Y296" s="152">
        <f t="shared" si="122"/>
        <v>8.9906138699584803E-2</v>
      </c>
      <c r="Z296" s="152">
        <f t="shared" si="123"/>
        <v>4.5494198440236389E-2</v>
      </c>
      <c r="AA296" s="152">
        <f t="shared" si="124"/>
        <v>1.4836775788900622E-2</v>
      </c>
      <c r="AB296" s="152">
        <f t="shared" si="125"/>
        <v>6.8805383742514383E-3</v>
      </c>
      <c r="AC296" s="152">
        <f t="shared" si="126"/>
        <v>5.3129037970864302E-4</v>
      </c>
      <c r="AD296" s="152"/>
      <c r="AE296" s="221">
        <v>367</v>
      </c>
      <c r="AF296" s="221">
        <v>487</v>
      </c>
      <c r="AG296" s="221">
        <v>406</v>
      </c>
      <c r="AH296" s="221">
        <v>269</v>
      </c>
      <c r="AI296" s="221">
        <v>307</v>
      </c>
      <c r="AJ296" s="221">
        <v>48</v>
      </c>
      <c r="AK296" s="221">
        <v>17</v>
      </c>
      <c r="AL296" s="221">
        <v>-2</v>
      </c>
      <c r="AM296" s="221">
        <v>1899</v>
      </c>
      <c r="AN296" s="147"/>
      <c r="AO296" s="221">
        <v>41</v>
      </c>
      <c r="AP296" s="221">
        <v>3</v>
      </c>
      <c r="AQ296" s="221">
        <v>22</v>
      </c>
      <c r="AR296" s="221">
        <v>5</v>
      </c>
      <c r="AS296" s="221">
        <v>2</v>
      </c>
      <c r="AT296" s="221">
        <v>3</v>
      </c>
      <c r="AU296" s="221">
        <v>3</v>
      </c>
      <c r="AV296" s="221">
        <v>-1</v>
      </c>
      <c r="AW296" s="221">
        <v>78</v>
      </c>
      <c r="AX296" s="56">
        <f t="shared" si="118"/>
        <v>-41</v>
      </c>
      <c r="AY296" s="56">
        <f t="shared" si="118"/>
        <v>-3</v>
      </c>
      <c r="AZ296" s="56">
        <f t="shared" si="118"/>
        <v>-22</v>
      </c>
      <c r="BA296" s="56">
        <f t="shared" si="117"/>
        <v>-5</v>
      </c>
      <c r="BB296" s="56">
        <f t="shared" si="117"/>
        <v>-2</v>
      </c>
      <c r="BC296" s="56">
        <f t="shared" si="117"/>
        <v>-3</v>
      </c>
      <c r="BD296" s="56">
        <f t="shared" si="117"/>
        <v>-3</v>
      </c>
      <c r="BE296" s="56">
        <f t="shared" si="117"/>
        <v>1</v>
      </c>
      <c r="BF296" s="56">
        <f t="shared" si="117"/>
        <v>-78</v>
      </c>
      <c r="BH296">
        <f t="shared" si="127"/>
        <v>1</v>
      </c>
      <c r="BI296">
        <f t="shared" si="136"/>
        <v>0</v>
      </c>
      <c r="BJ296" s="154">
        <v>1198710.3466666669</v>
      </c>
      <c r="BK296" s="155">
        <f t="shared" si="128"/>
        <v>1198710.3466666669</v>
      </c>
      <c r="BL296" s="156">
        <v>1838923.2955555553</v>
      </c>
      <c r="BM296" s="155">
        <f t="shared" si="129"/>
        <v>1838923.2955555553</v>
      </c>
      <c r="BN296" s="158">
        <v>1334297.5366666669</v>
      </c>
      <c r="BO296" s="155">
        <f t="shared" si="130"/>
        <v>1334297.5366666669</v>
      </c>
      <c r="BP296" s="158">
        <v>825003.99999999988</v>
      </c>
      <c r="BQ296" s="155">
        <f t="shared" si="131"/>
        <v>825003.99999999988</v>
      </c>
      <c r="BR296" s="158">
        <v>1811105.5111111111</v>
      </c>
      <c r="BS296" s="155">
        <f t="shared" si="132"/>
        <v>1811105.5111111111</v>
      </c>
      <c r="BT296" s="194">
        <v>1642621.5244444446</v>
      </c>
      <c r="BU296" s="194"/>
      <c r="BV296" s="348">
        <f t="shared" si="137"/>
        <v>1642621.5244444446</v>
      </c>
      <c r="BW296" s="195">
        <f t="shared" si="133"/>
        <v>2697000.3822222217</v>
      </c>
      <c r="BX296" s="157" t="str">
        <f t="shared" si="138"/>
        <v>0</v>
      </c>
      <c r="BY296" s="157">
        <f>IF(E296*$CJ$10*'Year 7 Payments'!$L$20*IF(B296="",1,0.8)&lt;=(BW296-(J296*350)),E296*$CJ$10*'Year 7 Payments'!$L$20*IF(B296="",1,0.8),BW296-(IF(B296="",1,0.8)*J296*350))</f>
        <v>721744.97964444454</v>
      </c>
      <c r="BZ296" s="157" t="str">
        <f t="shared" si="139"/>
        <v>0</v>
      </c>
      <c r="CA296" s="157">
        <f t="shared" si="140"/>
        <v>1975255.4025777772</v>
      </c>
      <c r="CB296" s="157">
        <f t="shared" si="141"/>
        <v>0</v>
      </c>
      <c r="CC296" s="157">
        <f t="shared" si="142"/>
        <v>7901021.6103111086</v>
      </c>
      <c r="CD296" s="201">
        <f t="shared" si="143"/>
        <v>0</v>
      </c>
      <c r="CE296" s="155">
        <f t="shared" si="144"/>
        <v>1975255.4025777772</v>
      </c>
    </row>
    <row r="297" spans="1:83" x14ac:dyDescent="0.2">
      <c r="A297" s="147" t="s">
        <v>768</v>
      </c>
      <c r="B297" s="57"/>
      <c r="C297" s="57" t="s">
        <v>476</v>
      </c>
      <c r="D297" s="148" t="s">
        <v>325</v>
      </c>
      <c r="E297" s="197">
        <v>90783.666666666672</v>
      </c>
      <c r="F297" s="147">
        <f t="shared" si="134"/>
        <v>114371</v>
      </c>
      <c r="G297" s="342">
        <v>959</v>
      </c>
      <c r="H297" s="149">
        <f t="shared" si="119"/>
        <v>1031</v>
      </c>
      <c r="I297" s="346">
        <v>471.30977777777775</v>
      </c>
      <c r="J297" s="150">
        <v>239</v>
      </c>
      <c r="K297"/>
      <c r="L297" s="151">
        <v>50863</v>
      </c>
      <c r="M297" s="151">
        <v>26579</v>
      </c>
      <c r="N297" s="151">
        <v>18018</v>
      </c>
      <c r="O297" s="151">
        <v>10124</v>
      </c>
      <c r="P297" s="151">
        <v>5580</v>
      </c>
      <c r="Q297" s="151">
        <v>2379</v>
      </c>
      <c r="R297" s="151">
        <v>776</v>
      </c>
      <c r="S297" s="151">
        <v>52</v>
      </c>
      <c r="T297" s="151">
        <v>114371</v>
      </c>
      <c r="U297" s="147"/>
      <c r="V297" s="152">
        <f t="shared" si="135"/>
        <v>0.44471937816404505</v>
      </c>
      <c r="W297" s="152">
        <f t="shared" si="120"/>
        <v>0.23239282685296098</v>
      </c>
      <c r="X297" s="152">
        <f t="shared" si="121"/>
        <v>0.15753993582289216</v>
      </c>
      <c r="Y297" s="152">
        <f t="shared" si="122"/>
        <v>8.8518942738981032E-2</v>
      </c>
      <c r="Z297" s="152">
        <f t="shared" si="123"/>
        <v>4.8788591513582988E-2</v>
      </c>
      <c r="AA297" s="152">
        <f t="shared" si="124"/>
        <v>2.0800727457135113E-2</v>
      </c>
      <c r="AB297" s="152">
        <f t="shared" si="125"/>
        <v>6.7849367409570606E-3</v>
      </c>
      <c r="AC297" s="152">
        <f t="shared" si="126"/>
        <v>4.5466070944557625E-4</v>
      </c>
      <c r="AD297" s="152"/>
      <c r="AE297" s="221">
        <v>213</v>
      </c>
      <c r="AF297" s="221">
        <v>287</v>
      </c>
      <c r="AG297" s="221">
        <v>257</v>
      </c>
      <c r="AH297" s="221">
        <v>57</v>
      </c>
      <c r="AI297" s="221">
        <v>8</v>
      </c>
      <c r="AJ297" s="221">
        <v>9</v>
      </c>
      <c r="AK297" s="221">
        <v>12</v>
      </c>
      <c r="AL297" s="221">
        <v>-1</v>
      </c>
      <c r="AM297" s="221">
        <v>842</v>
      </c>
      <c r="AN297" s="147"/>
      <c r="AO297" s="221">
        <v>-102</v>
      </c>
      <c r="AP297" s="221">
        <v>-68</v>
      </c>
      <c r="AQ297" s="221">
        <v>-8</v>
      </c>
      <c r="AR297" s="221">
        <v>6</v>
      </c>
      <c r="AS297" s="221">
        <v>-15</v>
      </c>
      <c r="AT297" s="221">
        <v>-3</v>
      </c>
      <c r="AU297" s="221">
        <v>1</v>
      </c>
      <c r="AV297" s="221">
        <v>0</v>
      </c>
      <c r="AW297" s="221">
        <v>-189</v>
      </c>
      <c r="AX297" s="56">
        <f t="shared" si="118"/>
        <v>102</v>
      </c>
      <c r="AY297" s="56">
        <f t="shared" si="118"/>
        <v>68</v>
      </c>
      <c r="AZ297" s="56">
        <f t="shared" si="118"/>
        <v>8</v>
      </c>
      <c r="BA297" s="56">
        <f t="shared" si="117"/>
        <v>-6</v>
      </c>
      <c r="BB297" s="56">
        <f t="shared" si="117"/>
        <v>15</v>
      </c>
      <c r="BC297" s="56">
        <f t="shared" si="117"/>
        <v>3</v>
      </c>
      <c r="BD297" s="56">
        <f t="shared" si="117"/>
        <v>-1</v>
      </c>
      <c r="BE297" s="56">
        <f t="shared" si="117"/>
        <v>0</v>
      </c>
      <c r="BF297" s="56">
        <f t="shared" si="117"/>
        <v>189</v>
      </c>
      <c r="BH297">
        <f t="shared" si="127"/>
        <v>1</v>
      </c>
      <c r="BI297">
        <f t="shared" si="136"/>
        <v>0</v>
      </c>
      <c r="BJ297" s="154">
        <v>911506</v>
      </c>
      <c r="BK297" s="155">
        <f t="shared" si="128"/>
        <v>911506</v>
      </c>
      <c r="BL297" s="156">
        <v>1095219.3400000001</v>
      </c>
      <c r="BM297" s="155">
        <f t="shared" si="129"/>
        <v>1095219.3400000001</v>
      </c>
      <c r="BN297" s="158">
        <v>576926.81888888893</v>
      </c>
      <c r="BO297" s="155">
        <f t="shared" si="130"/>
        <v>576926.81888888893</v>
      </c>
      <c r="BP297" s="158">
        <v>1261903.7333333334</v>
      </c>
      <c r="BQ297" s="155">
        <f t="shared" si="131"/>
        <v>1261903.7333333334</v>
      </c>
      <c r="BR297" s="158">
        <v>1173987.8622222221</v>
      </c>
      <c r="BS297" s="155">
        <f t="shared" si="132"/>
        <v>1173987.8622222221</v>
      </c>
      <c r="BT297" s="194">
        <v>966399.32666666666</v>
      </c>
      <c r="BU297" s="194"/>
      <c r="BV297" s="348">
        <f t="shared" si="137"/>
        <v>966399.32666666666</v>
      </c>
      <c r="BW297" s="195">
        <f t="shared" si="133"/>
        <v>1359982.8444444444</v>
      </c>
      <c r="BX297" s="157" t="str">
        <f t="shared" si="138"/>
        <v>0</v>
      </c>
      <c r="BY297" s="157">
        <f>IF(E297*$CJ$10*'Year 7 Payments'!$L$20*IF(B297="",1,0.8)&lt;=(BW297-(J297*350)),E297*$CJ$10*'Year 7 Payments'!$L$20*IF(B297="",1,0.8),BW297-(IF(B297="",1,0.8)*J297*350))</f>
        <v>555436.2607466667</v>
      </c>
      <c r="BZ297" s="157" t="str">
        <f t="shared" si="139"/>
        <v>0</v>
      </c>
      <c r="CA297" s="157">
        <f t="shared" si="140"/>
        <v>804546.58369777771</v>
      </c>
      <c r="CB297" s="157">
        <f t="shared" si="141"/>
        <v>0</v>
      </c>
      <c r="CC297" s="157">
        <f t="shared" si="142"/>
        <v>3218186.3347911108</v>
      </c>
      <c r="CD297" s="201">
        <f t="shared" si="143"/>
        <v>0</v>
      </c>
      <c r="CE297" s="155">
        <f t="shared" si="144"/>
        <v>804546.58369777771</v>
      </c>
    </row>
    <row r="298" spans="1:83" x14ac:dyDescent="0.2">
      <c r="A298" s="147" t="s">
        <v>769</v>
      </c>
      <c r="B298" s="57"/>
      <c r="C298" s="57" t="s">
        <v>461</v>
      </c>
      <c r="D298" s="148" t="s">
        <v>326</v>
      </c>
      <c r="E298" s="197">
        <v>92299.555555555547</v>
      </c>
      <c r="F298" s="147">
        <f t="shared" si="134"/>
        <v>102779</v>
      </c>
      <c r="G298" s="342">
        <v>477</v>
      </c>
      <c r="H298" s="149">
        <f t="shared" si="119"/>
        <v>1216</v>
      </c>
      <c r="I298" s="346">
        <v>687.2462222222224</v>
      </c>
      <c r="J298" s="150">
        <v>229</v>
      </c>
      <c r="K298"/>
      <c r="L298" s="151">
        <v>4284</v>
      </c>
      <c r="M298" s="151">
        <v>29651</v>
      </c>
      <c r="N298" s="151">
        <v>35462</v>
      </c>
      <c r="O298" s="151">
        <v>22875</v>
      </c>
      <c r="P298" s="151">
        <v>8255</v>
      </c>
      <c r="Q298" s="151">
        <v>1794</v>
      </c>
      <c r="R298" s="151">
        <v>428</v>
      </c>
      <c r="S298" s="151">
        <v>30</v>
      </c>
      <c r="T298" s="151">
        <v>102779</v>
      </c>
      <c r="U298" s="147"/>
      <c r="V298" s="152">
        <f t="shared" si="135"/>
        <v>4.1681666488290407E-2</v>
      </c>
      <c r="W298" s="152">
        <f t="shared" si="120"/>
        <v>0.28849278549119955</v>
      </c>
      <c r="X298" s="152">
        <f t="shared" si="121"/>
        <v>0.34503157259751505</v>
      </c>
      <c r="Y298" s="152">
        <f t="shared" si="122"/>
        <v>0.2225649208495899</v>
      </c>
      <c r="Z298" s="152">
        <f t="shared" si="123"/>
        <v>8.0317963786376595E-2</v>
      </c>
      <c r="AA298" s="152">
        <f t="shared" si="124"/>
        <v>1.7454927563023574E-2</v>
      </c>
      <c r="AB298" s="152">
        <f t="shared" si="125"/>
        <v>4.1642748032185567E-3</v>
      </c>
      <c r="AC298" s="152">
        <f t="shared" si="126"/>
        <v>2.9188842078634741E-4</v>
      </c>
      <c r="AD298" s="152"/>
      <c r="AE298" s="221">
        <v>208</v>
      </c>
      <c r="AF298" s="221">
        <v>324</v>
      </c>
      <c r="AG298" s="221">
        <v>549</v>
      </c>
      <c r="AH298" s="221">
        <v>91</v>
      </c>
      <c r="AI298" s="221">
        <v>95</v>
      </c>
      <c r="AJ298" s="221">
        <v>5</v>
      </c>
      <c r="AK298" s="221">
        <v>1</v>
      </c>
      <c r="AL298" s="221">
        <v>1</v>
      </c>
      <c r="AM298" s="221">
        <v>1274</v>
      </c>
      <c r="AN298" s="147"/>
      <c r="AO298" s="221">
        <v>18</v>
      </c>
      <c r="AP298" s="221">
        <v>33</v>
      </c>
      <c r="AQ298" s="221">
        <v>22</v>
      </c>
      <c r="AR298" s="221">
        <v>-12</v>
      </c>
      <c r="AS298" s="221">
        <v>0</v>
      </c>
      <c r="AT298" s="221">
        <v>0</v>
      </c>
      <c r="AU298" s="221">
        <v>-3</v>
      </c>
      <c r="AV298" s="221">
        <v>0</v>
      </c>
      <c r="AW298" s="221">
        <v>58</v>
      </c>
      <c r="AX298" s="56">
        <f t="shared" si="118"/>
        <v>-18</v>
      </c>
      <c r="AY298" s="56">
        <f t="shared" si="118"/>
        <v>-33</v>
      </c>
      <c r="AZ298" s="56">
        <f t="shared" si="118"/>
        <v>-22</v>
      </c>
      <c r="BA298" s="56">
        <f t="shared" si="117"/>
        <v>12</v>
      </c>
      <c r="BB298" s="56">
        <f t="shared" si="117"/>
        <v>0</v>
      </c>
      <c r="BC298" s="56">
        <f t="shared" si="117"/>
        <v>0</v>
      </c>
      <c r="BD298" s="56">
        <f t="shared" si="117"/>
        <v>3</v>
      </c>
      <c r="BE298" s="56">
        <f t="shared" si="117"/>
        <v>0</v>
      </c>
      <c r="BF298" s="56">
        <f t="shared" si="117"/>
        <v>-58</v>
      </c>
      <c r="BH298">
        <f t="shared" si="127"/>
        <v>1</v>
      </c>
      <c r="BI298">
        <f t="shared" si="136"/>
        <v>0</v>
      </c>
      <c r="BJ298" s="154">
        <v>643011.51333333331</v>
      </c>
      <c r="BK298" s="155">
        <f t="shared" si="128"/>
        <v>643011.51333333331</v>
      </c>
      <c r="BL298" s="156">
        <v>792165.87</v>
      </c>
      <c r="BM298" s="155">
        <f t="shared" si="129"/>
        <v>792165.87</v>
      </c>
      <c r="BN298" s="158">
        <v>1063185.9544444445</v>
      </c>
      <c r="BO298" s="155">
        <f t="shared" si="130"/>
        <v>1063185.9544444445</v>
      </c>
      <c r="BP298" s="158">
        <v>1045821.7333333333</v>
      </c>
      <c r="BQ298" s="155">
        <f t="shared" si="131"/>
        <v>1045821.7333333333</v>
      </c>
      <c r="BR298" s="158">
        <v>1032780.8400000001</v>
      </c>
      <c r="BS298" s="155">
        <f t="shared" si="132"/>
        <v>1032780.8400000001</v>
      </c>
      <c r="BT298" s="194">
        <v>1410673.8022222223</v>
      </c>
      <c r="BU298" s="194"/>
      <c r="BV298" s="348">
        <f t="shared" si="137"/>
        <v>1410673.8022222223</v>
      </c>
      <c r="BW298" s="195">
        <f t="shared" si="133"/>
        <v>1696045.1644444442</v>
      </c>
      <c r="BX298" s="157" t="str">
        <f t="shared" si="138"/>
        <v>0</v>
      </c>
      <c r="BY298" s="157">
        <f>IF(E298*$CJ$10*'Year 7 Payments'!$L$20*IF(B298="",1,0.8)&lt;=(BW298-(J298*350)),E298*$CJ$10*'Year 7 Payments'!$L$20*IF(B298="",1,0.8),BW298-(IF(B298="",1,0.8)*J298*350))</f>
        <v>564710.83278222219</v>
      </c>
      <c r="BZ298" s="157" t="str">
        <f t="shared" si="139"/>
        <v>0</v>
      </c>
      <c r="CA298" s="157">
        <f t="shared" si="140"/>
        <v>1131334.331662222</v>
      </c>
      <c r="CB298" s="157">
        <f t="shared" si="141"/>
        <v>0</v>
      </c>
      <c r="CC298" s="157">
        <f t="shared" si="142"/>
        <v>4525337.3266488882</v>
      </c>
      <c r="CD298" s="201">
        <f t="shared" si="143"/>
        <v>0</v>
      </c>
      <c r="CE298" s="155">
        <f t="shared" si="144"/>
        <v>1131334.331662222</v>
      </c>
    </row>
    <row r="299" spans="1:83" x14ac:dyDescent="0.2">
      <c r="A299" s="147" t="s">
        <v>770</v>
      </c>
      <c r="B299" s="57"/>
      <c r="C299" s="57" t="s">
        <v>461</v>
      </c>
      <c r="D299" s="148" t="s">
        <v>327</v>
      </c>
      <c r="E299" s="197">
        <v>153162.11111111112</v>
      </c>
      <c r="F299" s="147">
        <f t="shared" si="134"/>
        <v>141691</v>
      </c>
      <c r="G299" s="342">
        <v>220</v>
      </c>
      <c r="H299" s="149">
        <f t="shared" si="119"/>
        <v>1923</v>
      </c>
      <c r="I299" s="346">
        <v>1941.684888888889</v>
      </c>
      <c r="J299" s="150">
        <v>486</v>
      </c>
      <c r="K299"/>
      <c r="L299" s="151">
        <v>6606</v>
      </c>
      <c r="M299" s="151">
        <v>12363</v>
      </c>
      <c r="N299" s="151">
        <v>36271</v>
      </c>
      <c r="O299" s="151">
        <v>32780</v>
      </c>
      <c r="P299" s="151">
        <v>22511</v>
      </c>
      <c r="Q299" s="151">
        <v>15380</v>
      </c>
      <c r="R299" s="151">
        <v>13086</v>
      </c>
      <c r="S299" s="151">
        <v>2694</v>
      </c>
      <c r="T299" s="151">
        <v>141691</v>
      </c>
      <c r="U299" s="147"/>
      <c r="V299" s="152">
        <f t="shared" si="135"/>
        <v>4.6622580121532066E-2</v>
      </c>
      <c r="W299" s="152">
        <f t="shared" si="120"/>
        <v>8.7253248265592026E-2</v>
      </c>
      <c r="X299" s="152">
        <f t="shared" si="121"/>
        <v>0.25598661876901146</v>
      </c>
      <c r="Y299" s="152">
        <f t="shared" si="122"/>
        <v>0.23134849778743885</v>
      </c>
      <c r="Z299" s="152">
        <f t="shared" si="123"/>
        <v>0.15887388754402185</v>
      </c>
      <c r="AA299" s="152">
        <f t="shared" si="124"/>
        <v>0.1085460615000247</v>
      </c>
      <c r="AB299" s="152">
        <f t="shared" si="125"/>
        <v>9.2355901221672518E-2</v>
      </c>
      <c r="AC299" s="152">
        <f t="shared" si="126"/>
        <v>1.9013204790706537E-2</v>
      </c>
      <c r="AD299" s="152"/>
      <c r="AE299" s="221">
        <v>20</v>
      </c>
      <c r="AF299" s="221">
        <v>-15</v>
      </c>
      <c r="AG299" s="221">
        <v>10</v>
      </c>
      <c r="AH299" s="221">
        <v>348</v>
      </c>
      <c r="AI299" s="221">
        <v>710</v>
      </c>
      <c r="AJ299" s="221">
        <v>399</v>
      </c>
      <c r="AK299" s="221">
        <v>355</v>
      </c>
      <c r="AL299" s="221">
        <v>53</v>
      </c>
      <c r="AM299" s="221">
        <v>1880</v>
      </c>
      <c r="AN299" s="147"/>
      <c r="AO299" s="221">
        <v>-4</v>
      </c>
      <c r="AP299" s="221">
        <v>3</v>
      </c>
      <c r="AQ299" s="221">
        <v>-9</v>
      </c>
      <c r="AR299" s="221">
        <v>-15</v>
      </c>
      <c r="AS299" s="221">
        <v>4</v>
      </c>
      <c r="AT299" s="221">
        <v>-8</v>
      </c>
      <c r="AU299" s="221">
        <v>-12</v>
      </c>
      <c r="AV299" s="221">
        <v>-2</v>
      </c>
      <c r="AW299" s="221">
        <v>-43</v>
      </c>
      <c r="AX299" s="56">
        <f t="shared" si="118"/>
        <v>4</v>
      </c>
      <c r="AY299" s="56">
        <f t="shared" si="118"/>
        <v>-3</v>
      </c>
      <c r="AZ299" s="56">
        <f t="shared" si="118"/>
        <v>9</v>
      </c>
      <c r="BA299" s="56">
        <f t="shared" si="117"/>
        <v>15</v>
      </c>
      <c r="BB299" s="56">
        <f t="shared" si="117"/>
        <v>-4</v>
      </c>
      <c r="BC299" s="56">
        <f t="shared" si="117"/>
        <v>8</v>
      </c>
      <c r="BD299" s="56">
        <f t="shared" si="117"/>
        <v>12</v>
      </c>
      <c r="BE299" s="56">
        <f t="shared" si="117"/>
        <v>2</v>
      </c>
      <c r="BF299" s="56">
        <f t="shared" si="117"/>
        <v>43</v>
      </c>
      <c r="BH299">
        <f t="shared" si="127"/>
        <v>1</v>
      </c>
      <c r="BI299">
        <f t="shared" si="136"/>
        <v>0</v>
      </c>
      <c r="BJ299" s="154">
        <v>1081014.1333333335</v>
      </c>
      <c r="BK299" s="155">
        <f t="shared" si="128"/>
        <v>1081014.1333333335</v>
      </c>
      <c r="BL299" s="156">
        <v>1729622.18</v>
      </c>
      <c r="BM299" s="155">
        <f t="shared" si="129"/>
        <v>1729622.18</v>
      </c>
      <c r="BN299" s="158">
        <v>2392958.1155555556</v>
      </c>
      <c r="BO299" s="155">
        <f t="shared" si="130"/>
        <v>2392958.1155555556</v>
      </c>
      <c r="BP299" s="158">
        <v>1318848</v>
      </c>
      <c r="BQ299" s="155">
        <f t="shared" si="131"/>
        <v>1318848</v>
      </c>
      <c r="BR299" s="158">
        <v>2530945.868888889</v>
      </c>
      <c r="BS299" s="155">
        <f t="shared" si="132"/>
        <v>2530945.868888889</v>
      </c>
      <c r="BT299" s="194">
        <v>3904938.4111111108</v>
      </c>
      <c r="BU299" s="194"/>
      <c r="BV299" s="348">
        <f t="shared" si="137"/>
        <v>3904938.4111111108</v>
      </c>
      <c r="BW299" s="195">
        <f t="shared" si="133"/>
        <v>4077106.0933333342</v>
      </c>
      <c r="BX299" s="157" t="str">
        <f t="shared" si="138"/>
        <v>0</v>
      </c>
      <c r="BY299" s="157">
        <f>IF(E299*$CJ$10*'Year 7 Payments'!$L$20*IF(B299="",1,0.8)&lt;=(BW299-(J299*350)),E299*$CJ$10*'Year 7 Payments'!$L$20*IF(B299="",1,0.8),BW299-(IF(B299="",1,0.8)*J299*350))</f>
        <v>937082.55468444456</v>
      </c>
      <c r="BZ299" s="157" t="str">
        <f t="shared" si="139"/>
        <v>0</v>
      </c>
      <c r="CA299" s="157">
        <f t="shared" si="140"/>
        <v>3140023.5386488894</v>
      </c>
      <c r="CB299" s="157">
        <f t="shared" si="141"/>
        <v>0</v>
      </c>
      <c r="CC299" s="157">
        <f t="shared" si="142"/>
        <v>12560094.154595558</v>
      </c>
      <c r="CD299" s="201">
        <f t="shared" si="143"/>
        <v>0</v>
      </c>
      <c r="CE299" s="155">
        <f t="shared" si="144"/>
        <v>3140023.5386488894</v>
      </c>
    </row>
    <row r="300" spans="1:83" x14ac:dyDescent="0.2">
      <c r="A300" s="147" t="s">
        <v>771</v>
      </c>
      <c r="B300" s="57"/>
      <c r="C300" s="57" t="s">
        <v>446</v>
      </c>
      <c r="D300" s="148" t="s">
        <v>328</v>
      </c>
      <c r="E300" s="197">
        <v>80741.888888888876</v>
      </c>
      <c r="F300" s="147">
        <f t="shared" si="134"/>
        <v>92063</v>
      </c>
      <c r="G300" s="342">
        <v>666</v>
      </c>
      <c r="H300" s="149">
        <f t="shared" si="119"/>
        <v>823</v>
      </c>
      <c r="I300" s="346">
        <v>439.14355555555568</v>
      </c>
      <c r="J300" s="150">
        <v>145</v>
      </c>
      <c r="K300"/>
      <c r="L300" s="151">
        <v>26587</v>
      </c>
      <c r="M300" s="151">
        <v>20280</v>
      </c>
      <c r="N300" s="151">
        <v>19207</v>
      </c>
      <c r="O300" s="151">
        <v>11653</v>
      </c>
      <c r="P300" s="151">
        <v>7084</v>
      </c>
      <c r="Q300" s="151">
        <v>4442</v>
      </c>
      <c r="R300" s="151">
        <v>2605</v>
      </c>
      <c r="S300" s="151">
        <v>205</v>
      </c>
      <c r="T300" s="151">
        <v>92063</v>
      </c>
      <c r="U300" s="147"/>
      <c r="V300" s="152">
        <f t="shared" si="135"/>
        <v>0.28879137112629394</v>
      </c>
      <c r="W300" s="152">
        <f t="shared" si="120"/>
        <v>0.2202839360003476</v>
      </c>
      <c r="X300" s="152">
        <f t="shared" si="121"/>
        <v>0.20862887370604913</v>
      </c>
      <c r="Y300" s="152">
        <f t="shared" si="122"/>
        <v>0.12657636618402615</v>
      </c>
      <c r="Z300" s="152">
        <f t="shared" si="123"/>
        <v>7.6947307821817662E-2</v>
      </c>
      <c r="AA300" s="152">
        <f t="shared" si="124"/>
        <v>4.8249568230450887E-2</v>
      </c>
      <c r="AB300" s="152">
        <f t="shared" si="125"/>
        <v>2.8295840891563385E-2</v>
      </c>
      <c r="AC300" s="152">
        <f t="shared" si="126"/>
        <v>2.2267360394512452E-3</v>
      </c>
      <c r="AD300" s="152"/>
      <c r="AE300" s="221">
        <v>99</v>
      </c>
      <c r="AF300" s="221">
        <v>205</v>
      </c>
      <c r="AG300" s="221">
        <v>129</v>
      </c>
      <c r="AH300" s="221">
        <v>66</v>
      </c>
      <c r="AI300" s="221">
        <v>155</v>
      </c>
      <c r="AJ300" s="221">
        <v>39</v>
      </c>
      <c r="AK300" s="221">
        <v>13</v>
      </c>
      <c r="AL300" s="221">
        <v>2</v>
      </c>
      <c r="AM300" s="221">
        <v>708</v>
      </c>
      <c r="AN300" s="147"/>
      <c r="AO300" s="221">
        <v>-43</v>
      </c>
      <c r="AP300" s="221">
        <v>-50</v>
      </c>
      <c r="AQ300" s="221">
        <v>-34</v>
      </c>
      <c r="AR300" s="221">
        <v>2</v>
      </c>
      <c r="AS300" s="221">
        <v>11</v>
      </c>
      <c r="AT300" s="221">
        <v>1</v>
      </c>
      <c r="AU300" s="221">
        <v>-1</v>
      </c>
      <c r="AV300" s="221">
        <v>-1</v>
      </c>
      <c r="AW300" s="221">
        <v>-115</v>
      </c>
      <c r="AX300" s="56">
        <f t="shared" si="118"/>
        <v>43</v>
      </c>
      <c r="AY300" s="56">
        <f t="shared" si="118"/>
        <v>50</v>
      </c>
      <c r="AZ300" s="56">
        <f t="shared" si="118"/>
        <v>34</v>
      </c>
      <c r="BA300" s="56">
        <f t="shared" si="117"/>
        <v>-2</v>
      </c>
      <c r="BB300" s="56">
        <f t="shared" si="117"/>
        <v>-11</v>
      </c>
      <c r="BC300" s="56">
        <f t="shared" si="117"/>
        <v>-1</v>
      </c>
      <c r="BD300" s="56">
        <f t="shared" si="117"/>
        <v>1</v>
      </c>
      <c r="BE300" s="56">
        <f t="shared" si="117"/>
        <v>1</v>
      </c>
      <c r="BF300" s="56">
        <f t="shared" si="117"/>
        <v>115</v>
      </c>
      <c r="BH300">
        <f t="shared" si="127"/>
        <v>1</v>
      </c>
      <c r="BI300">
        <f t="shared" si="136"/>
        <v>0</v>
      </c>
      <c r="BJ300" s="154">
        <v>670516.60666666657</v>
      </c>
      <c r="BK300" s="155">
        <f t="shared" si="128"/>
        <v>670516.60666666657</v>
      </c>
      <c r="BL300" s="156">
        <v>1027541.0511111111</v>
      </c>
      <c r="BM300" s="155">
        <f t="shared" si="129"/>
        <v>1027541.0511111111</v>
      </c>
      <c r="BN300" s="158">
        <v>883469.41555555549</v>
      </c>
      <c r="BO300" s="155">
        <f t="shared" si="130"/>
        <v>883469.41555555549</v>
      </c>
      <c r="BP300" s="158">
        <v>1296816.8</v>
      </c>
      <c r="BQ300" s="155">
        <f t="shared" si="131"/>
        <v>1296816.8</v>
      </c>
      <c r="BR300" s="158">
        <v>606098.08666666679</v>
      </c>
      <c r="BS300" s="155">
        <f t="shared" si="132"/>
        <v>606098.08666666679</v>
      </c>
      <c r="BT300" s="194">
        <v>1025473.6488888889</v>
      </c>
      <c r="BU300" s="194"/>
      <c r="BV300" s="348">
        <f t="shared" si="137"/>
        <v>1025473.6488888889</v>
      </c>
      <c r="BW300" s="195">
        <f t="shared" si="133"/>
        <v>1216444.6711111111</v>
      </c>
      <c r="BX300" s="157" t="str">
        <f t="shared" si="138"/>
        <v>0</v>
      </c>
      <c r="BY300" s="157">
        <f>IF(E300*$CJ$10*'Year 7 Payments'!$L$20*IF(B300="",1,0.8)&lt;=(BW300-(J300*350)),E300*$CJ$10*'Year 7 Payments'!$L$20*IF(B300="",1,0.8),BW300-(IF(B300="",1,0.8)*J300*350))</f>
        <v>493998.25427555543</v>
      </c>
      <c r="BZ300" s="157" t="str">
        <f t="shared" si="139"/>
        <v>0</v>
      </c>
      <c r="CA300" s="157">
        <f t="shared" si="140"/>
        <v>722446.41683555557</v>
      </c>
      <c r="CB300" s="157">
        <f t="shared" si="141"/>
        <v>0</v>
      </c>
      <c r="CC300" s="157">
        <f t="shared" si="142"/>
        <v>2889785.6673422223</v>
      </c>
      <c r="CD300" s="201">
        <f t="shared" si="143"/>
        <v>0</v>
      </c>
      <c r="CE300" s="155">
        <f t="shared" si="144"/>
        <v>722446.41683555557</v>
      </c>
    </row>
    <row r="301" spans="1:83" x14ac:dyDescent="0.2">
      <c r="A301" s="147" t="s">
        <v>772</v>
      </c>
      <c r="B301" s="57" t="s">
        <v>663</v>
      </c>
      <c r="C301" s="57" t="s">
        <v>476</v>
      </c>
      <c r="D301" s="148" t="s">
        <v>329</v>
      </c>
      <c r="E301" s="197">
        <v>61699.555555555562</v>
      </c>
      <c r="F301" s="147">
        <f t="shared" si="134"/>
        <v>62008</v>
      </c>
      <c r="G301" s="342">
        <v>522</v>
      </c>
      <c r="H301" s="149">
        <f t="shared" si="119"/>
        <v>597</v>
      </c>
      <c r="I301" s="346">
        <v>375.53511111111112</v>
      </c>
      <c r="J301" s="150">
        <v>140</v>
      </c>
      <c r="K301"/>
      <c r="L301" s="151">
        <v>4735</v>
      </c>
      <c r="M301" s="151">
        <v>11527</v>
      </c>
      <c r="N301" s="151">
        <v>16790</v>
      </c>
      <c r="O301" s="151">
        <v>12505</v>
      </c>
      <c r="P301" s="151">
        <v>7166</v>
      </c>
      <c r="Q301" s="151">
        <v>4892</v>
      </c>
      <c r="R301" s="151">
        <v>3969</v>
      </c>
      <c r="S301" s="151">
        <v>424</v>
      </c>
      <c r="T301" s="151">
        <v>62008</v>
      </c>
      <c r="U301" s="147"/>
      <c r="V301" s="152">
        <f t="shared" si="135"/>
        <v>7.6361114694878079E-2</v>
      </c>
      <c r="W301" s="152">
        <f t="shared" si="120"/>
        <v>0.1858953683395691</v>
      </c>
      <c r="X301" s="152">
        <f t="shared" si="121"/>
        <v>0.27077151335311572</v>
      </c>
      <c r="Y301" s="152">
        <f t="shared" si="122"/>
        <v>0.20166752677073926</v>
      </c>
      <c r="Z301" s="152">
        <f t="shared" si="123"/>
        <v>0.1155657334537479</v>
      </c>
      <c r="AA301" s="152">
        <f t="shared" si="124"/>
        <v>7.8893046058573085E-2</v>
      </c>
      <c r="AB301" s="152">
        <f t="shared" si="125"/>
        <v>6.4007869952264221E-2</v>
      </c>
      <c r="AC301" s="152">
        <f t="shared" si="126"/>
        <v>6.8378273771126305E-3</v>
      </c>
      <c r="AD301" s="152"/>
      <c r="AE301" s="221">
        <v>26</v>
      </c>
      <c r="AF301" s="221">
        <v>45</v>
      </c>
      <c r="AG301" s="221">
        <v>223</v>
      </c>
      <c r="AH301" s="221">
        <v>134</v>
      </c>
      <c r="AI301" s="221">
        <v>126</v>
      </c>
      <c r="AJ301" s="221">
        <v>26</v>
      </c>
      <c r="AK301" s="221">
        <v>36</v>
      </c>
      <c r="AL301" s="221">
        <v>6</v>
      </c>
      <c r="AM301" s="221">
        <v>622</v>
      </c>
      <c r="AN301" s="147"/>
      <c r="AO301" s="221">
        <v>1</v>
      </c>
      <c r="AP301" s="221">
        <v>-4</v>
      </c>
      <c r="AQ301" s="221">
        <v>19</v>
      </c>
      <c r="AR301" s="221">
        <v>-1</v>
      </c>
      <c r="AS301" s="221">
        <v>9</v>
      </c>
      <c r="AT301" s="221">
        <v>6</v>
      </c>
      <c r="AU301" s="221">
        <v>-8</v>
      </c>
      <c r="AV301" s="221">
        <v>3</v>
      </c>
      <c r="AW301" s="221">
        <v>25</v>
      </c>
      <c r="AX301" s="56">
        <f t="shared" si="118"/>
        <v>-1</v>
      </c>
      <c r="AY301" s="56">
        <f t="shared" si="118"/>
        <v>4</v>
      </c>
      <c r="AZ301" s="56">
        <f t="shared" si="118"/>
        <v>-19</v>
      </c>
      <c r="BA301" s="56">
        <f t="shared" si="117"/>
        <v>1</v>
      </c>
      <c r="BB301" s="56">
        <f t="shared" si="117"/>
        <v>-9</v>
      </c>
      <c r="BC301" s="56">
        <f t="shared" si="117"/>
        <v>-6</v>
      </c>
      <c r="BD301" s="56">
        <f t="shared" si="117"/>
        <v>8</v>
      </c>
      <c r="BE301" s="56">
        <f t="shared" si="117"/>
        <v>-3</v>
      </c>
      <c r="BF301" s="56">
        <f t="shared" si="117"/>
        <v>-25</v>
      </c>
      <c r="BH301">
        <f t="shared" si="127"/>
        <v>0.8</v>
      </c>
      <c r="BI301">
        <f t="shared" si="136"/>
        <v>0.19999999999999996</v>
      </c>
      <c r="BJ301" s="154">
        <v>292449.50400000002</v>
      </c>
      <c r="BK301" s="155">
        <f t="shared" si="128"/>
        <v>292449.50400000002</v>
      </c>
      <c r="BL301" s="156">
        <v>525479.69333333336</v>
      </c>
      <c r="BM301" s="155">
        <f t="shared" si="129"/>
        <v>525479.69333333336</v>
      </c>
      <c r="BN301" s="158">
        <v>191404.96888888892</v>
      </c>
      <c r="BO301" s="155">
        <f t="shared" si="130"/>
        <v>191404.96888888892</v>
      </c>
      <c r="BP301" s="158">
        <v>212430.61333333334</v>
      </c>
      <c r="BQ301" s="155">
        <f t="shared" si="131"/>
        <v>212430.61333333334</v>
      </c>
      <c r="BR301" s="158">
        <v>401122.76622222224</v>
      </c>
      <c r="BS301" s="155">
        <f t="shared" si="132"/>
        <v>401122.76622222224</v>
      </c>
      <c r="BT301" s="194">
        <v>634676.53511111112</v>
      </c>
      <c r="BU301" s="194"/>
      <c r="BV301" s="348">
        <f t="shared" si="137"/>
        <v>634676.53511111112</v>
      </c>
      <c r="BW301" s="195">
        <f t="shared" si="133"/>
        <v>800716.93866666663</v>
      </c>
      <c r="BX301" s="157">
        <f t="shared" si="138"/>
        <v>200179.23466666666</v>
      </c>
      <c r="BY301" s="157">
        <f>IF(E301*$CJ$10*'Year 7 Payments'!$L$20*IF(B301="",1,0.8)&lt;=(BW301-(J301*350)),E301*$CJ$10*'Year 7 Payments'!$L$20*IF(B301="",1,0.8),BW301-(IF(B301="",1,0.8)*J301*350))</f>
        <v>301994.15102577786</v>
      </c>
      <c r="BZ301" s="157">
        <f t="shared" si="139"/>
        <v>75498.537756444464</v>
      </c>
      <c r="CA301" s="157">
        <f t="shared" si="140"/>
        <v>498722.78764088877</v>
      </c>
      <c r="CB301" s="157">
        <f t="shared" si="141"/>
        <v>124680.69691022219</v>
      </c>
      <c r="CC301" s="157">
        <f t="shared" si="142"/>
        <v>1994891.1505635551</v>
      </c>
      <c r="CD301" s="201">
        <f t="shared" si="143"/>
        <v>498722.78764088877</v>
      </c>
      <c r="CE301" s="155">
        <f t="shared" si="144"/>
        <v>498722.78764088877</v>
      </c>
    </row>
    <row r="302" spans="1:83" x14ac:dyDescent="0.2">
      <c r="A302" s="147" t="s">
        <v>773</v>
      </c>
      <c r="B302" s="57" t="s">
        <v>500</v>
      </c>
      <c r="C302" s="57" t="s">
        <v>459</v>
      </c>
      <c r="D302" s="148" t="s">
        <v>330</v>
      </c>
      <c r="E302" s="197">
        <v>38929.111111111109</v>
      </c>
      <c r="F302" s="147">
        <f t="shared" si="134"/>
        <v>38918</v>
      </c>
      <c r="G302" s="342">
        <v>212</v>
      </c>
      <c r="H302" s="149">
        <f t="shared" si="119"/>
        <v>287</v>
      </c>
      <c r="I302" s="346">
        <v>83.061333333333351</v>
      </c>
      <c r="J302" s="150">
        <v>13</v>
      </c>
      <c r="K302"/>
      <c r="L302" s="151">
        <v>390</v>
      </c>
      <c r="M302" s="151">
        <v>4071</v>
      </c>
      <c r="N302" s="151">
        <v>14213</v>
      </c>
      <c r="O302" s="151">
        <v>12470</v>
      </c>
      <c r="P302" s="151">
        <v>3641</v>
      </c>
      <c r="Q302" s="151">
        <v>2165</v>
      </c>
      <c r="R302" s="151">
        <v>1888</v>
      </c>
      <c r="S302" s="151">
        <v>80</v>
      </c>
      <c r="T302" s="151">
        <v>38918</v>
      </c>
      <c r="U302" s="147"/>
      <c r="V302" s="152">
        <f t="shared" si="135"/>
        <v>1.0021069941929184E-2</v>
      </c>
      <c r="W302" s="152">
        <f t="shared" si="120"/>
        <v>0.10460455316306079</v>
      </c>
      <c r="X302" s="152">
        <f t="shared" si="121"/>
        <v>0.36520376175548591</v>
      </c>
      <c r="Y302" s="152">
        <f t="shared" si="122"/>
        <v>0.32041728763040239</v>
      </c>
      <c r="Z302" s="152">
        <f t="shared" si="123"/>
        <v>9.3555681175805538E-2</v>
      </c>
      <c r="AA302" s="152">
        <f t="shared" si="124"/>
        <v>5.5629785703273552E-2</v>
      </c>
      <c r="AB302" s="152">
        <f t="shared" si="125"/>
        <v>4.8512256539390515E-2</v>
      </c>
      <c r="AC302" s="152">
        <f t="shared" si="126"/>
        <v>2.0556040906521402E-3</v>
      </c>
      <c r="AD302" s="152"/>
      <c r="AE302" s="221">
        <v>98</v>
      </c>
      <c r="AF302" s="221">
        <v>78</v>
      </c>
      <c r="AG302" s="221">
        <v>126</v>
      </c>
      <c r="AH302" s="221">
        <v>12</v>
      </c>
      <c r="AI302" s="221">
        <v>14</v>
      </c>
      <c r="AJ302" s="221">
        <v>24</v>
      </c>
      <c r="AK302" s="221">
        <v>16</v>
      </c>
      <c r="AL302" s="221">
        <v>-2</v>
      </c>
      <c r="AM302" s="221">
        <v>366</v>
      </c>
      <c r="AN302" s="147"/>
      <c r="AO302" s="221">
        <v>-4</v>
      </c>
      <c r="AP302" s="221">
        <v>-8</v>
      </c>
      <c r="AQ302" s="221">
        <v>38</v>
      </c>
      <c r="AR302" s="221">
        <v>35</v>
      </c>
      <c r="AS302" s="221">
        <v>8</v>
      </c>
      <c r="AT302" s="221">
        <v>3</v>
      </c>
      <c r="AU302" s="221">
        <v>7</v>
      </c>
      <c r="AV302" s="221">
        <v>0</v>
      </c>
      <c r="AW302" s="221">
        <v>79</v>
      </c>
      <c r="AX302" s="56">
        <f t="shared" si="118"/>
        <v>4</v>
      </c>
      <c r="AY302" s="56">
        <f t="shared" si="118"/>
        <v>8</v>
      </c>
      <c r="AZ302" s="56">
        <f t="shared" si="118"/>
        <v>-38</v>
      </c>
      <c r="BA302" s="56">
        <f t="shared" si="117"/>
        <v>-35</v>
      </c>
      <c r="BB302" s="56">
        <f t="shared" si="117"/>
        <v>-8</v>
      </c>
      <c r="BC302" s="56">
        <f t="shared" si="117"/>
        <v>-3</v>
      </c>
      <c r="BD302" s="56">
        <f t="shared" si="117"/>
        <v>-7</v>
      </c>
      <c r="BE302" s="56">
        <f t="shared" si="117"/>
        <v>0</v>
      </c>
      <c r="BF302" s="56">
        <f t="shared" si="117"/>
        <v>-79</v>
      </c>
      <c r="BH302">
        <f t="shared" si="127"/>
        <v>0.8</v>
      </c>
      <c r="BI302">
        <f t="shared" si="136"/>
        <v>0.19999999999999996</v>
      </c>
      <c r="BJ302" s="154">
        <v>419612.58666666673</v>
      </c>
      <c r="BK302" s="155">
        <f t="shared" si="128"/>
        <v>419612.58666666673</v>
      </c>
      <c r="BL302" s="156">
        <v>1096748.1715555559</v>
      </c>
      <c r="BM302" s="155">
        <f t="shared" si="129"/>
        <v>1096748.1715555559</v>
      </c>
      <c r="BN302" s="158">
        <v>531769.49244444445</v>
      </c>
      <c r="BO302" s="155">
        <f t="shared" si="130"/>
        <v>531769.49244444445</v>
      </c>
      <c r="BP302" s="158">
        <v>683324.15999999992</v>
      </c>
      <c r="BQ302" s="155">
        <f t="shared" si="131"/>
        <v>683324.15999999992</v>
      </c>
      <c r="BR302" s="158">
        <v>548477.90044444439</v>
      </c>
      <c r="BS302" s="155">
        <f t="shared" si="132"/>
        <v>548477.90044444439</v>
      </c>
      <c r="BT302" s="194">
        <v>229470.62755555558</v>
      </c>
      <c r="BU302" s="194"/>
      <c r="BV302" s="348">
        <f t="shared" si="137"/>
        <v>229470.62755555558</v>
      </c>
      <c r="BW302" s="195">
        <f t="shared" si="133"/>
        <v>295819.95022222225</v>
      </c>
      <c r="BX302" s="157">
        <f t="shared" si="138"/>
        <v>73954.987555555563</v>
      </c>
      <c r="BY302" s="157">
        <f>IF(E302*$CJ$10*'Year 7 Payments'!$L$20*IF(B302="",1,0.8)&lt;=(BW302-(J302*350)),E302*$CJ$10*'Year 7 Payments'!$L$20*IF(B302="",1,0.8),BW302-(IF(B302="",1,0.8)*J302*350))</f>
        <v>190542.11581155556</v>
      </c>
      <c r="BZ302" s="157">
        <f t="shared" si="139"/>
        <v>47635.52895288889</v>
      </c>
      <c r="CA302" s="157">
        <f t="shared" si="140"/>
        <v>105277.83441066669</v>
      </c>
      <c r="CB302" s="157">
        <f t="shared" si="141"/>
        <v>26319.458602666673</v>
      </c>
      <c r="CC302" s="157">
        <f t="shared" si="142"/>
        <v>421111.33764266677</v>
      </c>
      <c r="CD302" s="201">
        <f t="shared" si="143"/>
        <v>105277.83441066669</v>
      </c>
      <c r="CE302" s="155">
        <f t="shared" si="144"/>
        <v>105277.83441066669</v>
      </c>
    </row>
    <row r="303" spans="1:83" x14ac:dyDescent="0.2">
      <c r="A303" s="147" t="s">
        <v>774</v>
      </c>
      <c r="B303" s="57" t="s">
        <v>458</v>
      </c>
      <c r="C303" s="57" t="s">
        <v>459</v>
      </c>
      <c r="D303" s="148" t="s">
        <v>331</v>
      </c>
      <c r="E303" s="197">
        <v>45876.666666666664</v>
      </c>
      <c r="F303" s="147">
        <f t="shared" si="134"/>
        <v>55808</v>
      </c>
      <c r="G303" s="342">
        <v>488</v>
      </c>
      <c r="H303" s="149">
        <f t="shared" si="119"/>
        <v>240</v>
      </c>
      <c r="I303" s="346">
        <v>42.493333333333339</v>
      </c>
      <c r="J303" s="150">
        <v>14</v>
      </c>
      <c r="K303"/>
      <c r="L303" s="151">
        <v>18911</v>
      </c>
      <c r="M303" s="151">
        <v>15250</v>
      </c>
      <c r="N303" s="151">
        <v>10517</v>
      </c>
      <c r="O303" s="151">
        <v>6425</v>
      </c>
      <c r="P303" s="151">
        <v>3082</v>
      </c>
      <c r="Q303" s="151">
        <v>1003</v>
      </c>
      <c r="R303" s="151">
        <v>577</v>
      </c>
      <c r="S303" s="151">
        <v>43</v>
      </c>
      <c r="T303" s="151">
        <v>55808</v>
      </c>
      <c r="U303" s="147"/>
      <c r="V303" s="152">
        <f>L303/T303</f>
        <v>0.33885822821100919</v>
      </c>
      <c r="W303" s="152">
        <f t="shared" si="120"/>
        <v>0.27325831422018348</v>
      </c>
      <c r="X303" s="152">
        <f t="shared" si="121"/>
        <v>0.18844968463302753</v>
      </c>
      <c r="Y303" s="152">
        <f t="shared" si="122"/>
        <v>0.11512686353211009</v>
      </c>
      <c r="Z303" s="152">
        <f t="shared" si="123"/>
        <v>5.5225057339449539E-2</v>
      </c>
      <c r="AA303" s="152">
        <f t="shared" si="124"/>
        <v>1.7972333715596329E-2</v>
      </c>
      <c r="AB303" s="152">
        <f t="shared" si="125"/>
        <v>1.0339019495412844E-2</v>
      </c>
      <c r="AC303" s="152">
        <f t="shared" si="126"/>
        <v>7.7049885321100922E-4</v>
      </c>
      <c r="AD303" s="152"/>
      <c r="AE303" s="221">
        <v>32</v>
      </c>
      <c r="AF303" s="221">
        <v>24</v>
      </c>
      <c r="AG303" s="221">
        <v>33</v>
      </c>
      <c r="AH303" s="221">
        <v>46</v>
      </c>
      <c r="AI303" s="221">
        <v>52</v>
      </c>
      <c r="AJ303" s="221">
        <v>4</v>
      </c>
      <c r="AK303" s="221">
        <v>2</v>
      </c>
      <c r="AL303" s="221">
        <v>0</v>
      </c>
      <c r="AM303" s="221">
        <v>193</v>
      </c>
      <c r="AN303" s="147"/>
      <c r="AO303" s="221">
        <v>-26</v>
      </c>
      <c r="AP303" s="221">
        <v>-18</v>
      </c>
      <c r="AQ303" s="221">
        <v>4</v>
      </c>
      <c r="AR303" s="221">
        <v>1</v>
      </c>
      <c r="AS303" s="221">
        <v>-4</v>
      </c>
      <c r="AT303" s="221">
        <v>-3</v>
      </c>
      <c r="AU303" s="221">
        <v>0</v>
      </c>
      <c r="AV303" s="221">
        <v>-1</v>
      </c>
      <c r="AW303" s="221">
        <v>-47</v>
      </c>
      <c r="AX303" s="56">
        <f t="shared" si="118"/>
        <v>26</v>
      </c>
      <c r="AY303" s="56">
        <f t="shared" si="118"/>
        <v>18</v>
      </c>
      <c r="AZ303" s="56">
        <f t="shared" si="118"/>
        <v>-4</v>
      </c>
      <c r="BA303" s="56">
        <f t="shared" si="117"/>
        <v>-1</v>
      </c>
      <c r="BB303" s="56">
        <f t="shared" si="117"/>
        <v>4</v>
      </c>
      <c r="BC303" s="56">
        <f t="shared" si="117"/>
        <v>3</v>
      </c>
      <c r="BD303" s="56">
        <f t="shared" ref="BD303:BF331" si="145">AU303*$AW$3</f>
        <v>0</v>
      </c>
      <c r="BE303" s="56">
        <f t="shared" si="145"/>
        <v>1</v>
      </c>
      <c r="BF303" s="56">
        <f t="shared" si="145"/>
        <v>47</v>
      </c>
      <c r="BH303">
        <f t="shared" si="127"/>
        <v>0.8</v>
      </c>
      <c r="BI303">
        <f t="shared" si="136"/>
        <v>0.19999999999999996</v>
      </c>
      <c r="BJ303" s="154">
        <v>200851.14666666667</v>
      </c>
      <c r="BK303" s="155">
        <f t="shared" si="128"/>
        <v>200851.14666666667</v>
      </c>
      <c r="BL303" s="156">
        <v>330020.14400000003</v>
      </c>
      <c r="BM303" s="155">
        <f t="shared" si="129"/>
        <v>330020.14400000003</v>
      </c>
      <c r="BN303" s="158">
        <v>238409.78666666668</v>
      </c>
      <c r="BO303" s="155">
        <f t="shared" si="130"/>
        <v>238409.78666666668</v>
      </c>
      <c r="BP303" s="158">
        <v>435185.91999999993</v>
      </c>
      <c r="BQ303" s="155">
        <f t="shared" si="131"/>
        <v>435185.91999999993</v>
      </c>
      <c r="BR303" s="158">
        <v>327334.73955555563</v>
      </c>
      <c r="BS303" s="155">
        <f t="shared" si="132"/>
        <v>327334.73955555563</v>
      </c>
      <c r="BT303" s="194">
        <v>168270.50488888889</v>
      </c>
      <c r="BU303" s="194"/>
      <c r="BV303" s="348">
        <f t="shared" si="137"/>
        <v>168270.50488888889</v>
      </c>
      <c r="BW303" s="195">
        <f t="shared" si="133"/>
        <v>280464.44800000003</v>
      </c>
      <c r="BX303" s="157">
        <f t="shared" si="138"/>
        <v>70116.112000000008</v>
      </c>
      <c r="BY303" s="157">
        <f>IF(E303*$CJ$10*'Year 7 Payments'!$L$20*IF(B303="",1,0.8)&lt;=(BW303-(J303*350)),E303*$CJ$10*'Year 7 Payments'!$L$20*IF(B303="",1,0.8),BW303-(IF(B303="",1,0.8)*J303*350))</f>
        <v>224547.56565333335</v>
      </c>
      <c r="BZ303" s="157">
        <f t="shared" si="139"/>
        <v>56136.891413333338</v>
      </c>
      <c r="CA303" s="157">
        <f t="shared" si="140"/>
        <v>55916.88234666668</v>
      </c>
      <c r="CB303" s="157">
        <f t="shared" si="141"/>
        <v>13979.22058666667</v>
      </c>
      <c r="CC303" s="157">
        <f t="shared" si="142"/>
        <v>223667.52938666672</v>
      </c>
      <c r="CD303" s="201">
        <f t="shared" si="143"/>
        <v>55916.88234666668</v>
      </c>
      <c r="CE303" s="155">
        <f t="shared" si="144"/>
        <v>55916.88234666668</v>
      </c>
    </row>
    <row r="304" spans="1:83" x14ac:dyDescent="0.2">
      <c r="A304" s="147" t="s">
        <v>775</v>
      </c>
      <c r="B304" s="57" t="s">
        <v>568</v>
      </c>
      <c r="C304" s="57" t="s">
        <v>443</v>
      </c>
      <c r="D304" s="148" t="s">
        <v>332</v>
      </c>
      <c r="E304" s="197">
        <v>61993.222222222212</v>
      </c>
      <c r="F304" s="147">
        <f t="shared" si="134"/>
        <v>52610</v>
      </c>
      <c r="G304" s="342">
        <v>544</v>
      </c>
      <c r="H304" s="149">
        <f t="shared" si="119"/>
        <v>396</v>
      </c>
      <c r="I304" s="346">
        <v>204.24933333333342</v>
      </c>
      <c r="J304" s="150">
        <v>62</v>
      </c>
      <c r="K304"/>
      <c r="L304" s="151">
        <v>955</v>
      </c>
      <c r="M304" s="151">
        <v>3287</v>
      </c>
      <c r="N304" s="151">
        <v>9720</v>
      </c>
      <c r="O304" s="151">
        <v>12365</v>
      </c>
      <c r="P304" s="151">
        <v>9287</v>
      </c>
      <c r="Q304" s="151">
        <v>6774</v>
      </c>
      <c r="R304" s="151">
        <v>8185</v>
      </c>
      <c r="S304" s="151">
        <v>2037</v>
      </c>
      <c r="T304" s="151">
        <v>52610</v>
      </c>
      <c r="U304" s="147"/>
      <c r="V304" s="152">
        <f>L304/T304</f>
        <v>1.8152442501425583E-2</v>
      </c>
      <c r="W304" s="152">
        <f t="shared" si="120"/>
        <v>6.2478616232655389E-2</v>
      </c>
      <c r="X304" s="152">
        <f t="shared" si="121"/>
        <v>0.18475574985744156</v>
      </c>
      <c r="Y304" s="152">
        <f t="shared" si="122"/>
        <v>0.2350313628587721</v>
      </c>
      <c r="Z304" s="152">
        <f t="shared" si="123"/>
        <v>0.17652537540391561</v>
      </c>
      <c r="AA304" s="152">
        <f t="shared" si="124"/>
        <v>0.12875879110435279</v>
      </c>
      <c r="AB304" s="152">
        <f t="shared" si="125"/>
        <v>0.15557878730279415</v>
      </c>
      <c r="AC304" s="152">
        <f t="shared" si="126"/>
        <v>3.8718874738642842E-2</v>
      </c>
      <c r="AD304" s="152"/>
      <c r="AE304" s="221">
        <v>39</v>
      </c>
      <c r="AF304" s="221">
        <v>26</v>
      </c>
      <c r="AG304" s="221">
        <v>157</v>
      </c>
      <c r="AH304" s="221">
        <v>66</v>
      </c>
      <c r="AI304" s="221">
        <v>31</v>
      </c>
      <c r="AJ304" s="221">
        <v>52</v>
      </c>
      <c r="AK304" s="221">
        <v>76</v>
      </c>
      <c r="AL304" s="221">
        <v>25</v>
      </c>
      <c r="AM304" s="221">
        <v>472</v>
      </c>
      <c r="AN304" s="147"/>
      <c r="AO304" s="221">
        <v>7</v>
      </c>
      <c r="AP304" s="221">
        <v>0</v>
      </c>
      <c r="AQ304" s="221">
        <v>27</v>
      </c>
      <c r="AR304" s="221">
        <v>9</v>
      </c>
      <c r="AS304" s="221">
        <v>9</v>
      </c>
      <c r="AT304" s="221">
        <v>5</v>
      </c>
      <c r="AU304" s="221">
        <v>14</v>
      </c>
      <c r="AV304" s="221">
        <v>5</v>
      </c>
      <c r="AW304" s="221">
        <v>76</v>
      </c>
      <c r="AX304" s="56">
        <f t="shared" si="118"/>
        <v>-7</v>
      </c>
      <c r="AY304" s="56">
        <f t="shared" si="118"/>
        <v>0</v>
      </c>
      <c r="AZ304" s="56">
        <f t="shared" si="118"/>
        <v>-27</v>
      </c>
      <c r="BA304" s="56">
        <f t="shared" si="118"/>
        <v>-9</v>
      </c>
      <c r="BB304" s="56">
        <f t="shared" si="118"/>
        <v>-9</v>
      </c>
      <c r="BC304" s="56">
        <f t="shared" si="118"/>
        <v>-5</v>
      </c>
      <c r="BD304" s="56">
        <f t="shared" si="145"/>
        <v>-14</v>
      </c>
      <c r="BE304" s="56">
        <f t="shared" si="145"/>
        <v>-5</v>
      </c>
      <c r="BF304" s="56">
        <f t="shared" si="145"/>
        <v>-76</v>
      </c>
      <c r="BH304">
        <f t="shared" si="127"/>
        <v>0.8</v>
      </c>
      <c r="BI304">
        <f t="shared" si="136"/>
        <v>0.19999999999999996</v>
      </c>
      <c r="BJ304" s="154">
        <v>311255.31200000003</v>
      </c>
      <c r="BK304" s="155">
        <f t="shared" si="128"/>
        <v>311255.31200000003</v>
      </c>
      <c r="BL304" s="156">
        <v>336507.48800000001</v>
      </c>
      <c r="BM304" s="155">
        <f t="shared" si="129"/>
        <v>336507.48800000001</v>
      </c>
      <c r="BN304" s="158">
        <v>357219.97244444449</v>
      </c>
      <c r="BO304" s="155">
        <f t="shared" si="130"/>
        <v>357219.97244444449</v>
      </c>
      <c r="BP304" s="158">
        <v>377921.17333333334</v>
      </c>
      <c r="BQ304" s="155">
        <f t="shared" si="131"/>
        <v>377921.17333333334</v>
      </c>
      <c r="BR304" s="158">
        <v>279454.39466666663</v>
      </c>
      <c r="BS304" s="155">
        <f t="shared" si="132"/>
        <v>279454.39466666663</v>
      </c>
      <c r="BT304" s="194">
        <v>567163.15911111119</v>
      </c>
      <c r="BU304" s="194"/>
      <c r="BV304" s="348">
        <f t="shared" si="137"/>
        <v>567163.15911111119</v>
      </c>
      <c r="BW304" s="195">
        <f t="shared" si="133"/>
        <v>570720.81777777779</v>
      </c>
      <c r="BX304" s="157">
        <f t="shared" si="138"/>
        <v>142680.20444444445</v>
      </c>
      <c r="BY304" s="157">
        <f>IF(E304*$CJ$10*'Year 7 Payments'!$L$20*IF(B304="",1,0.8)&lt;=(BW304-(J304*350)),E304*$CJ$10*'Year 7 Payments'!$L$20*IF(B304="",1,0.8),BW304-(IF(B304="",1,0.8)*J304*350))</f>
        <v>303431.52954311104</v>
      </c>
      <c r="BZ304" s="157">
        <f t="shared" si="139"/>
        <v>75857.882385777761</v>
      </c>
      <c r="CA304" s="157">
        <f t="shared" si="140"/>
        <v>267289.28823466675</v>
      </c>
      <c r="CB304" s="157">
        <f t="shared" si="141"/>
        <v>66822.322058666687</v>
      </c>
      <c r="CC304" s="157">
        <f t="shared" si="142"/>
        <v>1069157.152938667</v>
      </c>
      <c r="CD304" s="201">
        <f t="shared" si="143"/>
        <v>267289.28823466675</v>
      </c>
      <c r="CE304" s="155">
        <f t="shared" si="144"/>
        <v>267289.28823466675</v>
      </c>
    </row>
    <row r="305" spans="1:83" x14ac:dyDescent="0.2">
      <c r="A305" s="147" t="s">
        <v>776</v>
      </c>
      <c r="B305" s="57" t="s">
        <v>564</v>
      </c>
      <c r="C305" s="57" t="s">
        <v>443</v>
      </c>
      <c r="D305" s="148" t="s">
        <v>333</v>
      </c>
      <c r="E305" s="197">
        <v>73235.111111111109</v>
      </c>
      <c r="F305" s="147">
        <f t="shared" si="134"/>
        <v>68254</v>
      </c>
      <c r="G305" s="342">
        <v>537</v>
      </c>
      <c r="H305" s="149">
        <f t="shared" si="119"/>
        <v>610</v>
      </c>
      <c r="I305" s="346">
        <v>343.39288888888882</v>
      </c>
      <c r="J305" s="150">
        <v>95</v>
      </c>
      <c r="K305"/>
      <c r="L305" s="151">
        <v>4010</v>
      </c>
      <c r="M305" s="151">
        <v>7727</v>
      </c>
      <c r="N305" s="151">
        <v>16602</v>
      </c>
      <c r="O305" s="151">
        <v>14089</v>
      </c>
      <c r="P305" s="151">
        <v>10820</v>
      </c>
      <c r="Q305" s="151">
        <v>7405</v>
      </c>
      <c r="R305" s="151">
        <v>6709</v>
      </c>
      <c r="S305" s="151">
        <v>892</v>
      </c>
      <c r="T305" s="151">
        <v>68254</v>
      </c>
      <c r="U305" s="147"/>
      <c r="V305" s="152">
        <f t="shared" si="135"/>
        <v>5.8751135464588156E-2</v>
      </c>
      <c r="W305" s="152">
        <f t="shared" si="120"/>
        <v>0.11320948222814781</v>
      </c>
      <c r="X305" s="152">
        <f t="shared" si="121"/>
        <v>0.24323849151698068</v>
      </c>
      <c r="Y305" s="152">
        <f t="shared" si="122"/>
        <v>0.2064201365487737</v>
      </c>
      <c r="Z305" s="152">
        <f t="shared" si="123"/>
        <v>0.15852550766255458</v>
      </c>
      <c r="AA305" s="152">
        <f t="shared" si="124"/>
        <v>0.10849181000380929</v>
      </c>
      <c r="AB305" s="152">
        <f t="shared" si="125"/>
        <v>9.8294605444369562E-2</v>
      </c>
      <c r="AC305" s="152">
        <f t="shared" si="126"/>
        <v>1.3068831130776217E-2</v>
      </c>
      <c r="AD305" s="152"/>
      <c r="AE305" s="221">
        <v>94</v>
      </c>
      <c r="AF305" s="221">
        <v>96</v>
      </c>
      <c r="AG305" s="221">
        <v>65</v>
      </c>
      <c r="AH305" s="221">
        <v>156</v>
      </c>
      <c r="AI305" s="221">
        <v>54</v>
      </c>
      <c r="AJ305" s="221">
        <v>30</v>
      </c>
      <c r="AK305" s="221">
        <v>53</v>
      </c>
      <c r="AL305" s="221">
        <v>11</v>
      </c>
      <c r="AM305" s="221">
        <v>559</v>
      </c>
      <c r="AN305" s="147"/>
      <c r="AO305" s="221">
        <v>21</v>
      </c>
      <c r="AP305" s="221">
        <v>-2</v>
      </c>
      <c r="AQ305" s="221">
        <v>-37</v>
      </c>
      <c r="AR305" s="221">
        <v>-13</v>
      </c>
      <c r="AS305" s="221">
        <v>-8</v>
      </c>
      <c r="AT305" s="221">
        <v>0</v>
      </c>
      <c r="AU305" s="221">
        <v>-5</v>
      </c>
      <c r="AV305" s="221">
        <v>-7</v>
      </c>
      <c r="AW305" s="221">
        <v>-51</v>
      </c>
      <c r="AX305" s="56">
        <f t="shared" si="118"/>
        <v>-21</v>
      </c>
      <c r="AY305" s="56">
        <f t="shared" si="118"/>
        <v>2</v>
      </c>
      <c r="AZ305" s="56">
        <f t="shared" si="118"/>
        <v>37</v>
      </c>
      <c r="BA305" s="56">
        <f t="shared" si="118"/>
        <v>13</v>
      </c>
      <c r="BB305" s="56">
        <f t="shared" si="118"/>
        <v>8</v>
      </c>
      <c r="BC305" s="56">
        <f t="shared" si="118"/>
        <v>0</v>
      </c>
      <c r="BD305" s="56">
        <f t="shared" si="145"/>
        <v>5</v>
      </c>
      <c r="BE305" s="56">
        <f t="shared" si="145"/>
        <v>7</v>
      </c>
      <c r="BF305" s="56">
        <f t="shared" si="145"/>
        <v>51</v>
      </c>
      <c r="BH305">
        <f t="shared" si="127"/>
        <v>0.8</v>
      </c>
      <c r="BI305">
        <f t="shared" si="136"/>
        <v>0.19999999999999996</v>
      </c>
      <c r="BJ305" s="154">
        <v>522340.91200000013</v>
      </c>
      <c r="BK305" s="155">
        <f t="shared" si="128"/>
        <v>522340.91200000013</v>
      </c>
      <c r="BL305" s="156">
        <v>908878.19911111111</v>
      </c>
      <c r="BM305" s="155">
        <f t="shared" si="129"/>
        <v>908878.19911111111</v>
      </c>
      <c r="BN305" s="158">
        <v>1058835.122666667</v>
      </c>
      <c r="BO305" s="155">
        <f t="shared" si="130"/>
        <v>1058835.122666667</v>
      </c>
      <c r="BP305" s="158">
        <v>798144.7466666667</v>
      </c>
      <c r="BQ305" s="155">
        <f t="shared" si="131"/>
        <v>798144.7466666667</v>
      </c>
      <c r="BR305" s="158">
        <v>1042245.9982222222</v>
      </c>
      <c r="BS305" s="155">
        <f t="shared" si="132"/>
        <v>1042245.9982222222</v>
      </c>
      <c r="BT305" s="194">
        <v>749536.74133333331</v>
      </c>
      <c r="BU305" s="194"/>
      <c r="BV305" s="348">
        <f t="shared" si="137"/>
        <v>749536.74133333331</v>
      </c>
      <c r="BW305" s="195">
        <f t="shared" si="133"/>
        <v>805248.01066666655</v>
      </c>
      <c r="BX305" s="157">
        <f t="shared" si="138"/>
        <v>201312.00266666664</v>
      </c>
      <c r="BY305" s="157">
        <f>IF(E305*$CJ$10*'Year 7 Payments'!$L$20*IF(B305="",1,0.8)&lt;=(BW305-(J305*350)),E305*$CJ$10*'Year 7 Payments'!$L$20*IF(B305="",1,0.8),BW305-(IF(B305="",1,0.8)*J305*350))</f>
        <v>358455.98896355554</v>
      </c>
      <c r="BZ305" s="157">
        <f t="shared" si="139"/>
        <v>89613.997240888886</v>
      </c>
      <c r="CA305" s="157">
        <f t="shared" si="140"/>
        <v>446792.02170311101</v>
      </c>
      <c r="CB305" s="157">
        <f t="shared" si="141"/>
        <v>111698.00542577775</v>
      </c>
      <c r="CC305" s="157">
        <f t="shared" si="142"/>
        <v>1787168.086812444</v>
      </c>
      <c r="CD305" s="201">
        <f t="shared" si="143"/>
        <v>446792.02170311101</v>
      </c>
      <c r="CE305" s="155">
        <f t="shared" si="144"/>
        <v>446792.02170311101</v>
      </c>
    </row>
    <row r="306" spans="1:83" x14ac:dyDescent="0.2">
      <c r="A306" s="147" t="s">
        <v>777</v>
      </c>
      <c r="B306" s="57" t="s">
        <v>533</v>
      </c>
      <c r="C306" s="57" t="s">
        <v>449</v>
      </c>
      <c r="D306" s="148" t="s">
        <v>334</v>
      </c>
      <c r="E306" s="197">
        <v>28598.888888888891</v>
      </c>
      <c r="F306" s="147">
        <f t="shared" si="134"/>
        <v>34481</v>
      </c>
      <c r="G306" s="342">
        <v>271</v>
      </c>
      <c r="H306" s="149">
        <f t="shared" si="119"/>
        <v>377</v>
      </c>
      <c r="I306" s="346">
        <v>202.93777777777768</v>
      </c>
      <c r="J306" s="150">
        <v>192</v>
      </c>
      <c r="K306"/>
      <c r="L306" s="151">
        <v>10524</v>
      </c>
      <c r="M306" s="151">
        <v>10016</v>
      </c>
      <c r="N306" s="151">
        <v>6914</v>
      </c>
      <c r="O306" s="151">
        <v>3617</v>
      </c>
      <c r="P306" s="151">
        <v>2113</v>
      </c>
      <c r="Q306" s="151">
        <v>785</v>
      </c>
      <c r="R306" s="151">
        <v>472</v>
      </c>
      <c r="S306" s="151">
        <v>40</v>
      </c>
      <c r="T306" s="151">
        <v>34481</v>
      </c>
      <c r="U306" s="147"/>
      <c r="V306" s="152">
        <f t="shared" si="135"/>
        <v>0.30521156578985531</v>
      </c>
      <c r="W306" s="152">
        <f t="shared" si="120"/>
        <v>0.29047881441953538</v>
      </c>
      <c r="X306" s="152">
        <f t="shared" si="121"/>
        <v>0.20051622632754271</v>
      </c>
      <c r="Y306" s="152">
        <f t="shared" si="122"/>
        <v>0.10489834981584061</v>
      </c>
      <c r="Z306" s="152">
        <f t="shared" si="123"/>
        <v>6.1280125286389604E-2</v>
      </c>
      <c r="AA306" s="152">
        <f t="shared" si="124"/>
        <v>2.2766161074214784E-2</v>
      </c>
      <c r="AB306" s="152">
        <f t="shared" si="125"/>
        <v>1.3688698123604303E-2</v>
      </c>
      <c r="AC306" s="152">
        <f t="shared" si="126"/>
        <v>1.1600591630173138E-3</v>
      </c>
      <c r="AD306" s="152"/>
      <c r="AE306" s="221">
        <v>67</v>
      </c>
      <c r="AF306" s="221">
        <v>147</v>
      </c>
      <c r="AG306" s="221">
        <v>126</v>
      </c>
      <c r="AH306" s="221">
        <v>36</v>
      </c>
      <c r="AI306" s="221">
        <v>12</v>
      </c>
      <c r="AJ306" s="221">
        <v>3</v>
      </c>
      <c r="AK306" s="221">
        <v>10</v>
      </c>
      <c r="AL306" s="221">
        <v>1</v>
      </c>
      <c r="AM306" s="221">
        <v>402</v>
      </c>
      <c r="AN306" s="147"/>
      <c r="AO306" s="221">
        <v>20</v>
      </c>
      <c r="AP306" s="221">
        <v>-10</v>
      </c>
      <c r="AQ306" s="221">
        <v>-3</v>
      </c>
      <c r="AR306" s="221">
        <v>2</v>
      </c>
      <c r="AS306" s="221">
        <v>7</v>
      </c>
      <c r="AT306" s="221">
        <v>5</v>
      </c>
      <c r="AU306" s="221">
        <v>4</v>
      </c>
      <c r="AV306" s="221">
        <v>0</v>
      </c>
      <c r="AW306" s="221">
        <v>25</v>
      </c>
      <c r="AX306" s="56">
        <f t="shared" si="118"/>
        <v>-20</v>
      </c>
      <c r="AY306" s="56">
        <f t="shared" si="118"/>
        <v>10</v>
      </c>
      <c r="AZ306" s="56">
        <f t="shared" si="118"/>
        <v>3</v>
      </c>
      <c r="BA306" s="56">
        <f t="shared" si="118"/>
        <v>-2</v>
      </c>
      <c r="BB306" s="56">
        <f t="shared" si="118"/>
        <v>-7</v>
      </c>
      <c r="BC306" s="56">
        <f t="shared" si="118"/>
        <v>-5</v>
      </c>
      <c r="BD306" s="56">
        <f t="shared" si="145"/>
        <v>-4</v>
      </c>
      <c r="BE306" s="56">
        <f t="shared" si="145"/>
        <v>0</v>
      </c>
      <c r="BF306" s="56">
        <f t="shared" si="145"/>
        <v>-25</v>
      </c>
      <c r="BH306">
        <f t="shared" si="127"/>
        <v>0.8</v>
      </c>
      <c r="BI306">
        <f t="shared" si="136"/>
        <v>0.19999999999999996</v>
      </c>
      <c r="BJ306" s="154">
        <v>244987.22666666668</v>
      </c>
      <c r="BK306" s="155">
        <f t="shared" si="128"/>
        <v>244987.22666666668</v>
      </c>
      <c r="BL306" s="156">
        <v>215618.35911111115</v>
      </c>
      <c r="BM306" s="155">
        <f t="shared" si="129"/>
        <v>215618.35911111115</v>
      </c>
      <c r="BN306" s="158">
        <v>154152.80888888889</v>
      </c>
      <c r="BO306" s="155">
        <f t="shared" si="130"/>
        <v>154152.80888888889</v>
      </c>
      <c r="BP306" s="158">
        <v>233425.6</v>
      </c>
      <c r="BQ306" s="155">
        <f t="shared" si="131"/>
        <v>233425.6</v>
      </c>
      <c r="BR306" s="158">
        <v>152800.06222222222</v>
      </c>
      <c r="BS306" s="155">
        <f t="shared" si="132"/>
        <v>152800.06222222222</v>
      </c>
      <c r="BT306" s="194">
        <v>456382.20444444451</v>
      </c>
      <c r="BU306" s="194"/>
      <c r="BV306" s="348">
        <f t="shared" si="137"/>
        <v>456382.20444444451</v>
      </c>
      <c r="BW306" s="195">
        <f t="shared" si="133"/>
        <v>442064.29866666667</v>
      </c>
      <c r="BX306" s="157">
        <f t="shared" si="138"/>
        <v>110516.07466666667</v>
      </c>
      <c r="BY306" s="157">
        <f>IF(E306*$CJ$10*'Year 7 Payments'!$L$20*IF(B306="",1,0.8)&lt;=(BW306-(J306*350)),E306*$CJ$10*'Year 7 Payments'!$L$20*IF(B306="",1,0.8),BW306-(IF(B306="",1,0.8)*J306*350))</f>
        <v>139979.89276444443</v>
      </c>
      <c r="BZ306" s="157">
        <f t="shared" si="139"/>
        <v>34994.973191111108</v>
      </c>
      <c r="CA306" s="157">
        <f t="shared" si="140"/>
        <v>302084.40590222226</v>
      </c>
      <c r="CB306" s="157">
        <f t="shared" si="141"/>
        <v>75521.101475555566</v>
      </c>
      <c r="CC306" s="157">
        <f t="shared" si="142"/>
        <v>1208337.6236088891</v>
      </c>
      <c r="CD306" s="201">
        <f t="shared" si="143"/>
        <v>302084.40590222226</v>
      </c>
      <c r="CE306" s="155">
        <f t="shared" si="144"/>
        <v>302084.40590222226</v>
      </c>
    </row>
    <row r="307" spans="1:83" x14ac:dyDescent="0.2">
      <c r="A307" s="147" t="s">
        <v>778</v>
      </c>
      <c r="B307" s="57" t="s">
        <v>500</v>
      </c>
      <c r="C307" s="57" t="s">
        <v>459</v>
      </c>
      <c r="D307" s="171" t="s">
        <v>335</v>
      </c>
      <c r="E307" s="197">
        <v>50010.777777777774</v>
      </c>
      <c r="F307" s="147">
        <f t="shared" si="134"/>
        <v>47584</v>
      </c>
      <c r="G307" s="342">
        <v>197</v>
      </c>
      <c r="H307" s="149">
        <f t="shared" si="119"/>
        <v>556</v>
      </c>
      <c r="I307" s="346">
        <v>350.40133333333324</v>
      </c>
      <c r="J307" s="150">
        <v>60</v>
      </c>
      <c r="L307" s="151">
        <v>893</v>
      </c>
      <c r="M307" s="151">
        <v>5107</v>
      </c>
      <c r="N307" s="151">
        <v>15429</v>
      </c>
      <c r="O307" s="151">
        <v>12000</v>
      </c>
      <c r="P307" s="151">
        <v>5291</v>
      </c>
      <c r="Q307" s="151">
        <v>4375</v>
      </c>
      <c r="R307" s="151">
        <v>3826</v>
      </c>
      <c r="S307" s="151">
        <v>663</v>
      </c>
      <c r="T307" s="151">
        <v>47584</v>
      </c>
      <c r="U307" s="147"/>
      <c r="V307" s="152">
        <f t="shared" si="135"/>
        <v>1.8766812373907194E-2</v>
      </c>
      <c r="W307" s="152">
        <f t="shared" si="120"/>
        <v>0.10732599193006052</v>
      </c>
      <c r="X307" s="152">
        <f t="shared" si="121"/>
        <v>0.32424764626765301</v>
      </c>
      <c r="Y307" s="152">
        <f t="shared" si="122"/>
        <v>0.25218560860793543</v>
      </c>
      <c r="Z307" s="152">
        <f t="shared" si="123"/>
        <v>0.11119283792871554</v>
      </c>
      <c r="AA307" s="152">
        <f t="shared" si="124"/>
        <v>9.1942669804976465E-2</v>
      </c>
      <c r="AB307" s="152">
        <f t="shared" si="125"/>
        <v>8.0405178211163414E-2</v>
      </c>
      <c r="AC307" s="152">
        <f t="shared" si="126"/>
        <v>1.3933254875588432E-2</v>
      </c>
      <c r="AD307" s="152"/>
      <c r="AE307" s="221">
        <v>141</v>
      </c>
      <c r="AF307" s="221">
        <v>39</v>
      </c>
      <c r="AG307" s="221">
        <v>85</v>
      </c>
      <c r="AH307" s="221">
        <v>191</v>
      </c>
      <c r="AI307" s="221">
        <v>33</v>
      </c>
      <c r="AJ307" s="221">
        <v>25</v>
      </c>
      <c r="AK307" s="221">
        <v>39</v>
      </c>
      <c r="AL307" s="221">
        <v>13</v>
      </c>
      <c r="AM307" s="221">
        <v>566</v>
      </c>
      <c r="AN307" s="147"/>
      <c r="AO307" s="221">
        <v>4</v>
      </c>
      <c r="AP307" s="221">
        <v>11</v>
      </c>
      <c r="AQ307" s="221">
        <v>4</v>
      </c>
      <c r="AR307" s="221">
        <v>-8</v>
      </c>
      <c r="AS307" s="221">
        <v>0</v>
      </c>
      <c r="AT307" s="221">
        <v>-5</v>
      </c>
      <c r="AU307" s="221">
        <v>-1</v>
      </c>
      <c r="AV307" s="221">
        <v>5</v>
      </c>
      <c r="AW307" s="221">
        <v>10</v>
      </c>
      <c r="AX307" s="140">
        <f t="shared" si="118"/>
        <v>-4</v>
      </c>
      <c r="AY307" s="140">
        <f t="shared" si="118"/>
        <v>-11</v>
      </c>
      <c r="AZ307" s="140">
        <f t="shared" si="118"/>
        <v>-4</v>
      </c>
      <c r="BA307" s="140">
        <f t="shared" si="118"/>
        <v>8</v>
      </c>
      <c r="BB307" s="140">
        <f t="shared" si="118"/>
        <v>0</v>
      </c>
      <c r="BC307" s="140">
        <f t="shared" si="118"/>
        <v>5</v>
      </c>
      <c r="BD307" s="140">
        <f t="shared" si="145"/>
        <v>1</v>
      </c>
      <c r="BE307" s="140">
        <f t="shared" si="145"/>
        <v>-5</v>
      </c>
      <c r="BF307" s="140">
        <f t="shared" si="145"/>
        <v>-10</v>
      </c>
      <c r="BG307" s="57"/>
      <c r="BH307">
        <f t="shared" si="127"/>
        <v>0.8</v>
      </c>
      <c r="BI307">
        <f t="shared" si="136"/>
        <v>0.19999999999999996</v>
      </c>
      <c r="BJ307" s="154">
        <v>221831.77599999998</v>
      </c>
      <c r="BK307" s="155">
        <f t="shared" si="128"/>
        <v>221831.77599999998</v>
      </c>
      <c r="BL307" s="156">
        <v>424527.33777777781</v>
      </c>
      <c r="BM307" s="155">
        <f t="shared" si="129"/>
        <v>424527.33777777781</v>
      </c>
      <c r="BN307" s="158">
        <v>420731.94133333332</v>
      </c>
      <c r="BO307" s="155">
        <f t="shared" si="130"/>
        <v>420731.94133333332</v>
      </c>
      <c r="BP307" s="158">
        <v>293676.37333333335</v>
      </c>
      <c r="BQ307" s="155">
        <f t="shared" si="131"/>
        <v>293676.37333333335</v>
      </c>
      <c r="BR307" s="158">
        <v>365646.60444444447</v>
      </c>
      <c r="BS307" s="155">
        <f t="shared" si="132"/>
        <v>365646.60444444447</v>
      </c>
      <c r="BT307" s="194">
        <v>516769.26933333336</v>
      </c>
      <c r="BU307" s="194"/>
      <c r="BV307" s="348">
        <f t="shared" si="137"/>
        <v>516769.26933333336</v>
      </c>
      <c r="BW307" s="195">
        <f t="shared" si="133"/>
        <v>690350.24355555559</v>
      </c>
      <c r="BX307" s="157">
        <f t="shared" si="138"/>
        <v>172587.5608888889</v>
      </c>
      <c r="BY307" s="157">
        <f>IF(E307*$CJ$10*'Year 7 Payments'!$L$20*IF(B307="",1,0.8)&lt;=(BW307-(J307*350)),E307*$CJ$10*'Year 7 Payments'!$L$20*IF(B307="",1,0.8),BW307-(IF(B307="",1,0.8)*J307*350))</f>
        <v>244782.35282488886</v>
      </c>
      <c r="BZ307" s="157">
        <f t="shared" si="139"/>
        <v>61195.588206222215</v>
      </c>
      <c r="CA307" s="157">
        <f t="shared" si="140"/>
        <v>445567.8907306667</v>
      </c>
      <c r="CB307" s="157">
        <f t="shared" si="141"/>
        <v>111391.97268266667</v>
      </c>
      <c r="CC307" s="157">
        <f t="shared" si="142"/>
        <v>1782271.5629226668</v>
      </c>
      <c r="CD307" s="201">
        <f t="shared" si="143"/>
        <v>445567.8907306667</v>
      </c>
      <c r="CE307" s="155">
        <f t="shared" si="144"/>
        <v>445567.8907306667</v>
      </c>
    </row>
    <row r="308" spans="1:83" x14ac:dyDescent="0.2">
      <c r="A308" s="147" t="s">
        <v>779</v>
      </c>
      <c r="B308" s="57"/>
      <c r="C308" s="57" t="s">
        <v>443</v>
      </c>
      <c r="D308" s="148" t="s">
        <v>336</v>
      </c>
      <c r="E308" s="197">
        <v>70904.444444444453</v>
      </c>
      <c r="F308" s="147">
        <f t="shared" si="134"/>
        <v>67355</v>
      </c>
      <c r="G308" s="342">
        <v>338</v>
      </c>
      <c r="H308" s="149">
        <f t="shared" si="119"/>
        <v>587</v>
      </c>
      <c r="I308" s="346">
        <v>351.04888888888894</v>
      </c>
      <c r="J308" s="150">
        <v>162</v>
      </c>
      <c r="K308"/>
      <c r="L308" s="151">
        <v>2450</v>
      </c>
      <c r="M308" s="151">
        <v>6454</v>
      </c>
      <c r="N308" s="151">
        <v>19273</v>
      </c>
      <c r="O308" s="151">
        <v>17054</v>
      </c>
      <c r="P308" s="151">
        <v>10281</v>
      </c>
      <c r="Q308" s="151">
        <v>6670</v>
      </c>
      <c r="R308" s="151">
        <v>4466</v>
      </c>
      <c r="S308" s="151">
        <v>707</v>
      </c>
      <c r="T308" s="151">
        <v>67355</v>
      </c>
      <c r="U308" s="147"/>
      <c r="V308" s="152">
        <f t="shared" si="135"/>
        <v>3.6374433969267317E-2</v>
      </c>
      <c r="W308" s="152">
        <f t="shared" si="120"/>
        <v>9.5820651770469903E-2</v>
      </c>
      <c r="X308" s="152">
        <f t="shared" si="121"/>
        <v>0.28614059832232203</v>
      </c>
      <c r="Y308" s="152">
        <f t="shared" si="122"/>
        <v>0.2531957538415856</v>
      </c>
      <c r="Z308" s="152">
        <f t="shared" si="123"/>
        <v>0.1526390023012397</v>
      </c>
      <c r="AA308" s="152">
        <f t="shared" si="124"/>
        <v>9.9027540642862441E-2</v>
      </c>
      <c r="AB308" s="152">
        <f t="shared" si="125"/>
        <v>6.6305396778264414E-2</v>
      </c>
      <c r="AC308" s="152">
        <f t="shared" si="126"/>
        <v>1.0496622373988568E-2</v>
      </c>
      <c r="AD308" s="152"/>
      <c r="AE308" s="221">
        <v>-19</v>
      </c>
      <c r="AF308" s="221">
        <v>81</v>
      </c>
      <c r="AG308" s="221">
        <v>238</v>
      </c>
      <c r="AH308" s="221">
        <v>-7</v>
      </c>
      <c r="AI308" s="221">
        <v>62</v>
      </c>
      <c r="AJ308" s="221">
        <v>73</v>
      </c>
      <c r="AK308" s="221">
        <v>71</v>
      </c>
      <c r="AL308" s="221">
        <v>11</v>
      </c>
      <c r="AM308" s="221">
        <v>510</v>
      </c>
      <c r="AN308" s="147"/>
      <c r="AO308" s="221">
        <v>-23</v>
      </c>
      <c r="AP308" s="221">
        <v>-31</v>
      </c>
      <c r="AQ308" s="221">
        <v>-9</v>
      </c>
      <c r="AR308" s="221">
        <v>-11</v>
      </c>
      <c r="AS308" s="221">
        <v>-13</v>
      </c>
      <c r="AT308" s="221">
        <v>4</v>
      </c>
      <c r="AU308" s="221">
        <v>5</v>
      </c>
      <c r="AV308" s="221">
        <v>1</v>
      </c>
      <c r="AW308" s="221">
        <v>-77</v>
      </c>
      <c r="AX308" s="56">
        <f t="shared" si="118"/>
        <v>23</v>
      </c>
      <c r="AY308" s="56">
        <f t="shared" si="118"/>
        <v>31</v>
      </c>
      <c r="AZ308" s="56">
        <f t="shared" si="118"/>
        <v>9</v>
      </c>
      <c r="BA308" s="56">
        <f t="shared" si="118"/>
        <v>11</v>
      </c>
      <c r="BB308" s="56">
        <f t="shared" si="118"/>
        <v>13</v>
      </c>
      <c r="BC308" s="56">
        <f t="shared" si="118"/>
        <v>-4</v>
      </c>
      <c r="BD308" s="56">
        <f t="shared" si="145"/>
        <v>-5</v>
      </c>
      <c r="BE308" s="56">
        <f t="shared" si="145"/>
        <v>-1</v>
      </c>
      <c r="BF308" s="56">
        <f t="shared" si="145"/>
        <v>77</v>
      </c>
      <c r="BH308">
        <f t="shared" si="127"/>
        <v>1</v>
      </c>
      <c r="BI308">
        <f t="shared" si="136"/>
        <v>0</v>
      </c>
      <c r="BJ308" s="154">
        <v>401862.20666666667</v>
      </c>
      <c r="BK308" s="155">
        <f t="shared" si="128"/>
        <v>401862.20666666667</v>
      </c>
      <c r="BL308" s="156">
        <v>519170.7111111111</v>
      </c>
      <c r="BM308" s="155">
        <f t="shared" si="129"/>
        <v>519170.7111111111</v>
      </c>
      <c r="BN308" s="158">
        <v>576714.27555555559</v>
      </c>
      <c r="BO308" s="155">
        <f t="shared" si="130"/>
        <v>576714.27555555559</v>
      </c>
      <c r="BP308" s="158">
        <v>763855.06666666653</v>
      </c>
      <c r="BQ308" s="155">
        <f t="shared" si="131"/>
        <v>763855.06666666653</v>
      </c>
      <c r="BR308" s="158">
        <v>800653.32444444438</v>
      </c>
      <c r="BS308" s="155">
        <f t="shared" si="132"/>
        <v>800653.32444444438</v>
      </c>
      <c r="BT308" s="194">
        <v>891877.14</v>
      </c>
      <c r="BU308" s="194"/>
      <c r="BV308" s="348">
        <f t="shared" si="137"/>
        <v>891877.14</v>
      </c>
      <c r="BW308" s="195">
        <f t="shared" si="133"/>
        <v>1027460.7466666666</v>
      </c>
      <c r="BX308" s="157" t="str">
        <f t="shared" si="138"/>
        <v>0</v>
      </c>
      <c r="BY308" s="157">
        <f>IF(E308*$CJ$10*'Year 7 Payments'!$L$20*IF(B308="",1,0.8)&lt;=(BW308-(J308*350)),E308*$CJ$10*'Year 7 Payments'!$L$20*IF(B308="",1,0.8),BW308-(IF(B308="",1,0.8)*J308*350))</f>
        <v>433810.40817777783</v>
      </c>
      <c r="BZ308" s="157" t="str">
        <f t="shared" si="139"/>
        <v>0</v>
      </c>
      <c r="CA308" s="157">
        <f t="shared" si="140"/>
        <v>593650.33848888869</v>
      </c>
      <c r="CB308" s="157">
        <f t="shared" si="141"/>
        <v>0</v>
      </c>
      <c r="CC308" s="157">
        <f t="shared" si="142"/>
        <v>2374601.3539555548</v>
      </c>
      <c r="CD308" s="201">
        <f t="shared" si="143"/>
        <v>0</v>
      </c>
      <c r="CE308" s="155">
        <f t="shared" si="144"/>
        <v>593650.33848888869</v>
      </c>
    </row>
    <row r="309" spans="1:83" x14ac:dyDescent="0.2">
      <c r="A309" s="147" t="s">
        <v>780</v>
      </c>
      <c r="B309" s="57" t="s">
        <v>555</v>
      </c>
      <c r="C309" s="57" t="s">
        <v>472</v>
      </c>
      <c r="D309" s="148" t="s">
        <v>337</v>
      </c>
      <c r="E309" s="197">
        <v>24241.444444444442</v>
      </c>
      <c r="F309" s="147">
        <f t="shared" si="134"/>
        <v>25403</v>
      </c>
      <c r="G309" s="342">
        <v>121</v>
      </c>
      <c r="H309" s="149">
        <f t="shared" si="119"/>
        <v>196</v>
      </c>
      <c r="I309" s="346">
        <v>85.478666666666683</v>
      </c>
      <c r="J309" s="150">
        <v>14</v>
      </c>
      <c r="K309"/>
      <c r="L309" s="151">
        <v>3440</v>
      </c>
      <c r="M309" s="151">
        <v>6381</v>
      </c>
      <c r="N309" s="151">
        <v>5283</v>
      </c>
      <c r="O309" s="151">
        <v>4114</v>
      </c>
      <c r="P309" s="151">
        <v>3330</v>
      </c>
      <c r="Q309" s="151">
        <v>1760</v>
      </c>
      <c r="R309" s="151">
        <v>1013</v>
      </c>
      <c r="S309" s="151">
        <v>82</v>
      </c>
      <c r="T309" s="151">
        <v>25403</v>
      </c>
      <c r="U309" s="147"/>
      <c r="V309" s="152">
        <f t="shared" si="135"/>
        <v>0.13541707672322167</v>
      </c>
      <c r="W309" s="152">
        <f t="shared" si="120"/>
        <v>0.25119080423572021</v>
      </c>
      <c r="X309" s="152">
        <f t="shared" si="121"/>
        <v>0.20796756288627327</v>
      </c>
      <c r="Y309" s="152">
        <f t="shared" si="122"/>
        <v>0.1619493760579459</v>
      </c>
      <c r="Z309" s="152">
        <f t="shared" si="123"/>
        <v>0.13108687950242098</v>
      </c>
      <c r="AA309" s="152">
        <f t="shared" si="124"/>
        <v>6.9283155532811086E-2</v>
      </c>
      <c r="AB309" s="152">
        <f t="shared" si="125"/>
        <v>3.9877179860646379E-2</v>
      </c>
      <c r="AC309" s="152">
        <f t="shared" si="126"/>
        <v>3.2279652009605166E-3</v>
      </c>
      <c r="AD309" s="152"/>
      <c r="AE309" s="221">
        <v>34</v>
      </c>
      <c r="AF309" s="221">
        <v>37</v>
      </c>
      <c r="AG309" s="221">
        <v>61</v>
      </c>
      <c r="AH309" s="221">
        <v>11</v>
      </c>
      <c r="AI309" s="221">
        <v>31</v>
      </c>
      <c r="AJ309" s="221">
        <v>11</v>
      </c>
      <c r="AK309" s="221">
        <v>4</v>
      </c>
      <c r="AL309" s="221">
        <v>1</v>
      </c>
      <c r="AM309" s="221">
        <v>190</v>
      </c>
      <c r="AN309" s="147"/>
      <c r="AO309" s="221">
        <v>-2</v>
      </c>
      <c r="AP309" s="221">
        <v>-5</v>
      </c>
      <c r="AQ309" s="221">
        <v>-5</v>
      </c>
      <c r="AR309" s="221">
        <v>1</v>
      </c>
      <c r="AS309" s="221">
        <v>9</v>
      </c>
      <c r="AT309" s="221">
        <v>-3</v>
      </c>
      <c r="AU309" s="221">
        <v>-2</v>
      </c>
      <c r="AV309" s="221">
        <v>1</v>
      </c>
      <c r="AW309" s="221">
        <v>-6</v>
      </c>
      <c r="AX309" s="56">
        <f t="shared" si="118"/>
        <v>2</v>
      </c>
      <c r="AY309" s="56">
        <f t="shared" si="118"/>
        <v>5</v>
      </c>
      <c r="AZ309" s="56">
        <f t="shared" si="118"/>
        <v>5</v>
      </c>
      <c r="BA309" s="56">
        <f t="shared" si="118"/>
        <v>-1</v>
      </c>
      <c r="BB309" s="56">
        <f t="shared" si="118"/>
        <v>-9</v>
      </c>
      <c r="BC309" s="56">
        <f t="shared" si="118"/>
        <v>3</v>
      </c>
      <c r="BD309" s="56">
        <f t="shared" si="145"/>
        <v>2</v>
      </c>
      <c r="BE309" s="56">
        <f t="shared" si="145"/>
        <v>-1</v>
      </c>
      <c r="BF309" s="56">
        <f t="shared" si="145"/>
        <v>6</v>
      </c>
      <c r="BH309">
        <f t="shared" si="127"/>
        <v>0.8</v>
      </c>
      <c r="BI309">
        <f t="shared" si="136"/>
        <v>0.19999999999999996</v>
      </c>
      <c r="BJ309" s="154">
        <v>323920.44800000009</v>
      </c>
      <c r="BK309" s="155">
        <f t="shared" si="128"/>
        <v>323920.44800000009</v>
      </c>
      <c r="BL309" s="156">
        <v>568621.72799999989</v>
      </c>
      <c r="BM309" s="155">
        <f t="shared" si="129"/>
        <v>568621.72799999989</v>
      </c>
      <c r="BN309" s="158">
        <v>133254.66755555556</v>
      </c>
      <c r="BO309" s="155">
        <f t="shared" si="130"/>
        <v>133254.66755555556</v>
      </c>
      <c r="BP309" s="158">
        <v>222996.90666666671</v>
      </c>
      <c r="BQ309" s="155">
        <f t="shared" si="131"/>
        <v>222996.90666666671</v>
      </c>
      <c r="BR309" s="158">
        <v>248974.79466666674</v>
      </c>
      <c r="BS309" s="155">
        <f t="shared" si="132"/>
        <v>248974.79466666674</v>
      </c>
      <c r="BT309" s="194">
        <v>247526.64533333338</v>
      </c>
      <c r="BU309" s="194"/>
      <c r="BV309" s="348">
        <f t="shared" si="137"/>
        <v>247526.64533333338</v>
      </c>
      <c r="BW309" s="195">
        <f t="shared" si="133"/>
        <v>227167.77955555558</v>
      </c>
      <c r="BX309" s="157">
        <f t="shared" si="138"/>
        <v>56791.944888888895</v>
      </c>
      <c r="BY309" s="157">
        <f>IF(E309*$CJ$10*'Year 7 Payments'!$L$20*IF(B309="",1,0.8)&lt;=(BW309-(J309*350)),E309*$CJ$10*'Year 7 Payments'!$L$20*IF(B309="",1,0.8),BW309-(IF(B309="",1,0.8)*J309*350))</f>
        <v>118651.98004622222</v>
      </c>
      <c r="BZ309" s="157">
        <f t="shared" si="139"/>
        <v>29662.995011555555</v>
      </c>
      <c r="CA309" s="157">
        <f t="shared" si="140"/>
        <v>108515.79950933336</v>
      </c>
      <c r="CB309" s="157">
        <f t="shared" si="141"/>
        <v>27128.94987733334</v>
      </c>
      <c r="CC309" s="157">
        <f t="shared" si="142"/>
        <v>434063.19803733344</v>
      </c>
      <c r="CD309" s="201">
        <f t="shared" si="143"/>
        <v>108515.79950933336</v>
      </c>
      <c r="CE309" s="155">
        <f t="shared" si="144"/>
        <v>108515.79950933336</v>
      </c>
    </row>
    <row r="310" spans="1:83" x14ac:dyDescent="0.2">
      <c r="A310" s="147" t="s">
        <v>781</v>
      </c>
      <c r="B310" s="57" t="s">
        <v>528</v>
      </c>
      <c r="C310" s="57" t="s">
        <v>472</v>
      </c>
      <c r="D310" s="148" t="s">
        <v>338</v>
      </c>
      <c r="E310" s="197">
        <v>49988.222222222219</v>
      </c>
      <c r="F310" s="147">
        <f t="shared" si="134"/>
        <v>50355</v>
      </c>
      <c r="G310" s="342">
        <v>336</v>
      </c>
      <c r="H310" s="149">
        <f t="shared" si="119"/>
        <v>440</v>
      </c>
      <c r="I310" s="346">
        <v>223.15822222222221</v>
      </c>
      <c r="J310" s="150">
        <v>74</v>
      </c>
      <c r="K310"/>
      <c r="L310" s="151">
        <v>5495</v>
      </c>
      <c r="M310" s="151">
        <v>8683</v>
      </c>
      <c r="N310" s="151">
        <v>11748</v>
      </c>
      <c r="O310" s="151">
        <v>9959</v>
      </c>
      <c r="P310" s="151">
        <v>7433</v>
      </c>
      <c r="Q310" s="151">
        <v>4427</v>
      </c>
      <c r="R310" s="151">
        <v>2338</v>
      </c>
      <c r="S310" s="151">
        <v>272</v>
      </c>
      <c r="T310" s="151">
        <v>50355</v>
      </c>
      <c r="U310" s="147"/>
      <c r="V310" s="152">
        <f t="shared" si="135"/>
        <v>0.1091252110018866</v>
      </c>
      <c r="W310" s="152">
        <f t="shared" si="120"/>
        <v>0.17243570648396386</v>
      </c>
      <c r="X310" s="152">
        <f t="shared" si="121"/>
        <v>0.23330354483169496</v>
      </c>
      <c r="Y310" s="152">
        <f t="shared" si="122"/>
        <v>0.19777579187766856</v>
      </c>
      <c r="Z310" s="152">
        <f t="shared" si="123"/>
        <v>0.14761195511865755</v>
      </c>
      <c r="AA310" s="152">
        <f t="shared" si="124"/>
        <v>8.7915797835368875E-2</v>
      </c>
      <c r="AB310" s="152">
        <f t="shared" si="125"/>
        <v>4.6430344553668949E-2</v>
      </c>
      <c r="AC310" s="152">
        <f t="shared" si="126"/>
        <v>5.4016482970906561E-3</v>
      </c>
      <c r="AD310" s="152"/>
      <c r="AE310" s="221">
        <v>45</v>
      </c>
      <c r="AF310" s="221">
        <v>73</v>
      </c>
      <c r="AG310" s="221">
        <v>118</v>
      </c>
      <c r="AH310" s="221">
        <v>88</v>
      </c>
      <c r="AI310" s="221">
        <v>34</v>
      </c>
      <c r="AJ310" s="221">
        <v>32</v>
      </c>
      <c r="AK310" s="221">
        <v>7</v>
      </c>
      <c r="AL310" s="221">
        <v>4</v>
      </c>
      <c r="AM310" s="221">
        <v>401</v>
      </c>
      <c r="AN310" s="147"/>
      <c r="AO310" s="221">
        <v>5</v>
      </c>
      <c r="AP310" s="221">
        <v>-7</v>
      </c>
      <c r="AQ310" s="221">
        <v>-29</v>
      </c>
      <c r="AR310" s="221">
        <v>0</v>
      </c>
      <c r="AS310" s="221">
        <v>-9</v>
      </c>
      <c r="AT310" s="221">
        <v>-4</v>
      </c>
      <c r="AU310" s="221">
        <v>4</v>
      </c>
      <c r="AV310" s="221">
        <v>1</v>
      </c>
      <c r="AW310" s="221">
        <v>-39</v>
      </c>
      <c r="AX310" s="56">
        <f t="shared" si="118"/>
        <v>-5</v>
      </c>
      <c r="AY310" s="56">
        <f t="shared" si="118"/>
        <v>7</v>
      </c>
      <c r="AZ310" s="56">
        <f t="shared" si="118"/>
        <v>29</v>
      </c>
      <c r="BA310" s="56">
        <f t="shared" si="118"/>
        <v>0</v>
      </c>
      <c r="BB310" s="56">
        <f t="shared" si="118"/>
        <v>9</v>
      </c>
      <c r="BC310" s="56">
        <f t="shared" si="118"/>
        <v>4</v>
      </c>
      <c r="BD310" s="56">
        <f t="shared" si="145"/>
        <v>-4</v>
      </c>
      <c r="BE310" s="56">
        <f t="shared" si="145"/>
        <v>-1</v>
      </c>
      <c r="BF310" s="56">
        <f t="shared" si="145"/>
        <v>39</v>
      </c>
      <c r="BH310">
        <f t="shared" si="127"/>
        <v>0.8</v>
      </c>
      <c r="BI310">
        <f t="shared" si="136"/>
        <v>0.19999999999999996</v>
      </c>
      <c r="BJ310" s="154">
        <v>352832.77866666671</v>
      </c>
      <c r="BK310" s="155">
        <f t="shared" si="128"/>
        <v>352832.77866666671</v>
      </c>
      <c r="BL310" s="156">
        <v>277584.51199999999</v>
      </c>
      <c r="BM310" s="155">
        <f t="shared" si="129"/>
        <v>277584.51199999999</v>
      </c>
      <c r="BN310" s="158">
        <v>326397.39555555559</v>
      </c>
      <c r="BO310" s="155">
        <f t="shared" si="130"/>
        <v>326397.39555555559</v>
      </c>
      <c r="BP310" s="158">
        <v>528151.2533333333</v>
      </c>
      <c r="BQ310" s="155">
        <f t="shared" si="131"/>
        <v>528151.2533333333</v>
      </c>
      <c r="BR310" s="158">
        <v>452325.23199999996</v>
      </c>
      <c r="BS310" s="155">
        <f t="shared" si="132"/>
        <v>452325.23199999996</v>
      </c>
      <c r="BT310" s="194">
        <v>346505.82400000002</v>
      </c>
      <c r="BU310" s="194"/>
      <c r="BV310" s="348">
        <f t="shared" si="137"/>
        <v>346505.82400000002</v>
      </c>
      <c r="BW310" s="195">
        <f t="shared" si="133"/>
        <v>538459.06488888885</v>
      </c>
      <c r="BX310" s="157">
        <f t="shared" si="138"/>
        <v>134614.76622222221</v>
      </c>
      <c r="BY310" s="157">
        <f>IF(E310*$CJ$10*'Year 7 Payments'!$L$20*IF(B310="",1,0.8)&lt;=(BW310-(J310*350)),E310*$CJ$10*'Year 7 Payments'!$L$20*IF(B310="",1,0.8),BW310-(IF(B310="",1,0.8)*J310*350))</f>
        <v>244671.9525831111</v>
      </c>
      <c r="BZ310" s="157">
        <f t="shared" si="139"/>
        <v>61167.988145777774</v>
      </c>
      <c r="CA310" s="157">
        <f t="shared" si="140"/>
        <v>293787.11230577773</v>
      </c>
      <c r="CB310" s="157">
        <f t="shared" si="141"/>
        <v>73446.778076444432</v>
      </c>
      <c r="CC310" s="157">
        <f t="shared" si="142"/>
        <v>1175148.4492231109</v>
      </c>
      <c r="CD310" s="201">
        <f t="shared" si="143"/>
        <v>293787.11230577773</v>
      </c>
      <c r="CE310" s="155">
        <f t="shared" si="144"/>
        <v>293787.11230577773</v>
      </c>
    </row>
    <row r="311" spans="1:83" x14ac:dyDescent="0.2">
      <c r="A311" s="147" t="s">
        <v>782</v>
      </c>
      <c r="B311" s="57" t="s">
        <v>503</v>
      </c>
      <c r="C311" s="57" t="s">
        <v>446</v>
      </c>
      <c r="D311" s="148" t="s">
        <v>339</v>
      </c>
      <c r="E311" s="197">
        <v>43434.555555555555</v>
      </c>
      <c r="F311" s="147">
        <f t="shared" si="134"/>
        <v>48903</v>
      </c>
      <c r="G311" s="342">
        <v>636</v>
      </c>
      <c r="H311" s="149">
        <f t="shared" si="119"/>
        <v>345</v>
      </c>
      <c r="I311" s="346">
        <v>165.37288888888887</v>
      </c>
      <c r="J311" s="150">
        <v>92</v>
      </c>
      <c r="K311"/>
      <c r="L311" s="151">
        <v>14386</v>
      </c>
      <c r="M311" s="151">
        <v>8865</v>
      </c>
      <c r="N311" s="151">
        <v>9766</v>
      </c>
      <c r="O311" s="151">
        <v>6993</v>
      </c>
      <c r="P311" s="151">
        <v>4776</v>
      </c>
      <c r="Q311" s="151">
        <v>2464</v>
      </c>
      <c r="R311" s="151">
        <v>1562</v>
      </c>
      <c r="S311" s="151">
        <v>91</v>
      </c>
      <c r="T311" s="151">
        <v>48903</v>
      </c>
      <c r="U311" s="147"/>
      <c r="V311" s="152">
        <f t="shared" si="135"/>
        <v>0.29417418154305464</v>
      </c>
      <c r="W311" s="152">
        <f t="shared" si="120"/>
        <v>0.1812772222563033</v>
      </c>
      <c r="X311" s="152">
        <f t="shared" si="121"/>
        <v>0.19970144980880519</v>
      </c>
      <c r="Y311" s="152">
        <f t="shared" si="122"/>
        <v>0.14299736212502301</v>
      </c>
      <c r="Z311" s="152">
        <f t="shared" si="123"/>
        <v>9.7662720078522794E-2</v>
      </c>
      <c r="AA311" s="152">
        <f t="shared" si="124"/>
        <v>5.0385456924933028E-2</v>
      </c>
      <c r="AB311" s="152">
        <f t="shared" si="125"/>
        <v>3.194078072919862E-2</v>
      </c>
      <c r="AC311" s="152">
        <f t="shared" si="126"/>
        <v>1.8608265341594585E-3</v>
      </c>
      <c r="AD311" s="152"/>
      <c r="AE311" s="221">
        <v>84</v>
      </c>
      <c r="AF311" s="221">
        <v>89</v>
      </c>
      <c r="AG311" s="221">
        <v>76</v>
      </c>
      <c r="AH311" s="221">
        <v>70</v>
      </c>
      <c r="AI311" s="221">
        <v>44</v>
      </c>
      <c r="AJ311" s="221">
        <v>52</v>
      </c>
      <c r="AK311" s="221">
        <v>10</v>
      </c>
      <c r="AL311" s="221">
        <v>-1</v>
      </c>
      <c r="AM311" s="221">
        <v>424</v>
      </c>
      <c r="AN311" s="147"/>
      <c r="AO311" s="221">
        <v>44</v>
      </c>
      <c r="AP311" s="221">
        <v>39</v>
      </c>
      <c r="AQ311" s="221">
        <v>-11</v>
      </c>
      <c r="AR311" s="221">
        <v>-18</v>
      </c>
      <c r="AS311" s="221">
        <v>11</v>
      </c>
      <c r="AT311" s="221">
        <v>5</v>
      </c>
      <c r="AU311" s="221">
        <v>10</v>
      </c>
      <c r="AV311" s="221">
        <v>-1</v>
      </c>
      <c r="AW311" s="221">
        <v>79</v>
      </c>
      <c r="AX311" s="56">
        <f t="shared" si="118"/>
        <v>-44</v>
      </c>
      <c r="AY311" s="56">
        <f t="shared" si="118"/>
        <v>-39</v>
      </c>
      <c r="AZ311" s="56">
        <f t="shared" si="118"/>
        <v>11</v>
      </c>
      <c r="BA311" s="56">
        <f t="shared" si="118"/>
        <v>18</v>
      </c>
      <c r="BB311" s="56">
        <f t="shared" si="118"/>
        <v>-11</v>
      </c>
      <c r="BC311" s="56">
        <f t="shared" si="118"/>
        <v>-5</v>
      </c>
      <c r="BD311" s="56">
        <f t="shared" si="145"/>
        <v>-10</v>
      </c>
      <c r="BE311" s="56">
        <f t="shared" si="145"/>
        <v>1</v>
      </c>
      <c r="BF311" s="56">
        <f t="shared" si="145"/>
        <v>-79</v>
      </c>
      <c r="BH311">
        <f t="shared" si="127"/>
        <v>0.8</v>
      </c>
      <c r="BI311">
        <f t="shared" si="136"/>
        <v>0.19999999999999996</v>
      </c>
      <c r="BJ311" s="154">
        <v>174241.56799999997</v>
      </c>
      <c r="BK311" s="155">
        <f t="shared" si="128"/>
        <v>174241.56799999997</v>
      </c>
      <c r="BL311" s="156">
        <v>44966.847999999998</v>
      </c>
      <c r="BM311" s="155">
        <f t="shared" si="129"/>
        <v>44966.847999999998</v>
      </c>
      <c r="BN311" s="158">
        <v>392920.37777777785</v>
      </c>
      <c r="BO311" s="155">
        <f t="shared" si="130"/>
        <v>392920.37777777785</v>
      </c>
      <c r="BP311" s="158">
        <v>437364.2666666666</v>
      </c>
      <c r="BQ311" s="155">
        <f t="shared" si="131"/>
        <v>437364.2666666666</v>
      </c>
      <c r="BR311" s="158">
        <v>319307.17511111114</v>
      </c>
      <c r="BS311" s="155">
        <f t="shared" si="132"/>
        <v>319307.17511111114</v>
      </c>
      <c r="BT311" s="194">
        <v>345408.07466666668</v>
      </c>
      <c r="BU311" s="194"/>
      <c r="BV311" s="348">
        <f t="shared" si="137"/>
        <v>345408.07466666668</v>
      </c>
      <c r="BW311" s="195">
        <f t="shared" si="133"/>
        <v>440712.63288888888</v>
      </c>
      <c r="BX311" s="157">
        <f t="shared" si="138"/>
        <v>110178.15822222222</v>
      </c>
      <c r="BY311" s="157">
        <f>IF(E311*$CJ$10*'Year 7 Payments'!$L$20*IF(B311="",1,0.8)&lt;=(BW311-(J311*350)),E311*$CJ$10*'Year 7 Payments'!$L$20*IF(B311="",1,0.8),BW311-(IF(B311="",1,0.8)*J311*350))</f>
        <v>212594.42814577778</v>
      </c>
      <c r="BZ311" s="157">
        <f t="shared" si="139"/>
        <v>53148.607036444446</v>
      </c>
      <c r="CA311" s="157">
        <f t="shared" si="140"/>
        <v>228118.2047431111</v>
      </c>
      <c r="CB311" s="157">
        <f t="shared" si="141"/>
        <v>57029.551185777775</v>
      </c>
      <c r="CC311" s="157">
        <f t="shared" si="142"/>
        <v>912472.81897244439</v>
      </c>
      <c r="CD311" s="201">
        <f t="shared" si="143"/>
        <v>228118.2047431111</v>
      </c>
      <c r="CE311" s="155">
        <f t="shared" si="144"/>
        <v>228118.2047431111</v>
      </c>
    </row>
    <row r="312" spans="1:83" x14ac:dyDescent="0.2">
      <c r="A312" s="147" t="s">
        <v>783</v>
      </c>
      <c r="B312" s="57" t="s">
        <v>484</v>
      </c>
      <c r="C312" s="57" t="s">
        <v>449</v>
      </c>
      <c r="D312" s="148" t="s">
        <v>340</v>
      </c>
      <c r="E312" s="197">
        <v>35631.222222222219</v>
      </c>
      <c r="F312" s="147">
        <f t="shared" si="134"/>
        <v>42486</v>
      </c>
      <c r="G312" s="342">
        <v>517</v>
      </c>
      <c r="H312" s="149">
        <f t="shared" si="119"/>
        <v>378</v>
      </c>
      <c r="I312" s="346">
        <v>169.25288888888889</v>
      </c>
      <c r="J312" s="150">
        <v>5</v>
      </c>
      <c r="K312"/>
      <c r="L312" s="151">
        <v>15922</v>
      </c>
      <c r="M312" s="151">
        <v>7963</v>
      </c>
      <c r="N312" s="151">
        <v>7566</v>
      </c>
      <c r="O312" s="151">
        <v>5674</v>
      </c>
      <c r="P312" s="151">
        <v>3372</v>
      </c>
      <c r="Q312" s="151">
        <v>1411</v>
      </c>
      <c r="R312" s="151">
        <v>512</v>
      </c>
      <c r="S312" s="151">
        <v>66</v>
      </c>
      <c r="T312" s="151">
        <v>42486</v>
      </c>
      <c r="U312" s="147"/>
      <c r="V312" s="152">
        <f t="shared" si="135"/>
        <v>0.37475874405686577</v>
      </c>
      <c r="W312" s="152">
        <f t="shared" si="120"/>
        <v>0.18742644635880054</v>
      </c>
      <c r="X312" s="152">
        <f t="shared" si="121"/>
        <v>0.17808219178082191</v>
      </c>
      <c r="Y312" s="152">
        <f t="shared" si="122"/>
        <v>0.13354987525302453</v>
      </c>
      <c r="Z312" s="152">
        <f t="shared" si="123"/>
        <v>7.936732099985877E-2</v>
      </c>
      <c r="AA312" s="152">
        <f t="shared" si="124"/>
        <v>3.3210940074377443E-2</v>
      </c>
      <c r="AB312" s="152">
        <f t="shared" si="125"/>
        <v>1.2051028574118532E-2</v>
      </c>
      <c r="AC312" s="152">
        <f t="shared" si="126"/>
        <v>1.5534529021324671E-3</v>
      </c>
      <c r="AD312" s="152"/>
      <c r="AE312" s="221">
        <v>167</v>
      </c>
      <c r="AF312" s="221">
        <v>69</v>
      </c>
      <c r="AG312" s="221">
        <v>32</v>
      </c>
      <c r="AH312" s="221">
        <v>36</v>
      </c>
      <c r="AI312" s="221">
        <v>23</v>
      </c>
      <c r="AJ312" s="221">
        <v>16</v>
      </c>
      <c r="AK312" s="221">
        <v>3</v>
      </c>
      <c r="AL312" s="221">
        <v>4</v>
      </c>
      <c r="AM312" s="221">
        <v>350</v>
      </c>
      <c r="AN312" s="147"/>
      <c r="AO312" s="221">
        <v>-33</v>
      </c>
      <c r="AP312" s="221">
        <v>-5</v>
      </c>
      <c r="AQ312" s="221">
        <v>8</v>
      </c>
      <c r="AR312" s="221">
        <v>4</v>
      </c>
      <c r="AS312" s="221">
        <v>2</v>
      </c>
      <c r="AT312" s="221">
        <v>-4</v>
      </c>
      <c r="AU312" s="221">
        <v>0</v>
      </c>
      <c r="AV312" s="221">
        <v>0</v>
      </c>
      <c r="AW312" s="221">
        <v>-28</v>
      </c>
      <c r="AX312" s="56">
        <f t="shared" si="118"/>
        <v>33</v>
      </c>
      <c r="AY312" s="56">
        <f t="shared" si="118"/>
        <v>5</v>
      </c>
      <c r="AZ312" s="56">
        <f t="shared" si="118"/>
        <v>-8</v>
      </c>
      <c r="BA312" s="56">
        <f t="shared" si="118"/>
        <v>-4</v>
      </c>
      <c r="BB312" s="56">
        <f t="shared" si="118"/>
        <v>-2</v>
      </c>
      <c r="BC312" s="56">
        <f t="shared" si="118"/>
        <v>4</v>
      </c>
      <c r="BD312" s="56">
        <f t="shared" si="145"/>
        <v>0</v>
      </c>
      <c r="BE312" s="56">
        <f t="shared" si="145"/>
        <v>0</v>
      </c>
      <c r="BF312" s="56">
        <f t="shared" si="145"/>
        <v>28</v>
      </c>
      <c r="BH312">
        <f t="shared" si="127"/>
        <v>0.8</v>
      </c>
      <c r="BI312">
        <f t="shared" si="136"/>
        <v>0.19999999999999996</v>
      </c>
      <c r="BJ312" s="154">
        <v>462341.42933333322</v>
      </c>
      <c r="BK312" s="155">
        <f t="shared" si="128"/>
        <v>462341.42933333322</v>
      </c>
      <c r="BL312" s="156">
        <v>337931.40977777774</v>
      </c>
      <c r="BM312" s="155">
        <f t="shared" si="129"/>
        <v>337931.40977777774</v>
      </c>
      <c r="BN312" s="158">
        <v>282580.11111111112</v>
      </c>
      <c r="BO312" s="155">
        <f t="shared" si="130"/>
        <v>282580.11111111112</v>
      </c>
      <c r="BP312" s="158">
        <v>465943.57333333336</v>
      </c>
      <c r="BQ312" s="155">
        <f t="shared" si="131"/>
        <v>465943.57333333336</v>
      </c>
      <c r="BR312" s="158">
        <v>437629.18577777781</v>
      </c>
      <c r="BS312" s="155">
        <f t="shared" si="132"/>
        <v>437629.18577777781</v>
      </c>
      <c r="BT312" s="194">
        <v>494157.55199999991</v>
      </c>
      <c r="BU312" s="194"/>
      <c r="BV312" s="348">
        <f t="shared" si="137"/>
        <v>494157.55199999991</v>
      </c>
      <c r="BW312" s="195">
        <f t="shared" si="133"/>
        <v>382906.25422222214</v>
      </c>
      <c r="BX312" s="157">
        <f t="shared" si="138"/>
        <v>95726.563555555535</v>
      </c>
      <c r="BY312" s="157">
        <f>IF(E312*$CJ$10*'Year 7 Payments'!$L$20*IF(B312="",1,0.8)&lt;=(BW312-(J312*350)),E312*$CJ$10*'Year 7 Payments'!$L$20*IF(B312="",1,0.8),BW312-(IF(B312="",1,0.8)*J312*350))</f>
        <v>174400.29523911109</v>
      </c>
      <c r="BZ312" s="157">
        <f t="shared" si="139"/>
        <v>43600.073809777772</v>
      </c>
      <c r="CA312" s="157">
        <f t="shared" si="140"/>
        <v>208505.95898311105</v>
      </c>
      <c r="CB312" s="157">
        <f t="shared" si="141"/>
        <v>52126.489745777762</v>
      </c>
      <c r="CC312" s="157">
        <f t="shared" si="142"/>
        <v>834023.8359324442</v>
      </c>
      <c r="CD312" s="201">
        <f t="shared" si="143"/>
        <v>208505.95898311105</v>
      </c>
      <c r="CE312" s="155">
        <f t="shared" si="144"/>
        <v>208505.95898311105</v>
      </c>
    </row>
    <row r="313" spans="1:83" x14ac:dyDescent="0.2">
      <c r="A313" s="147" t="s">
        <v>784</v>
      </c>
      <c r="B313" s="57" t="s">
        <v>520</v>
      </c>
      <c r="C313" s="57" t="s">
        <v>443</v>
      </c>
      <c r="D313" s="148" t="s">
        <v>341</v>
      </c>
      <c r="E313" s="197">
        <v>48336.222222222219</v>
      </c>
      <c r="F313" s="147">
        <f t="shared" si="134"/>
        <v>47207</v>
      </c>
      <c r="G313" s="342">
        <v>262</v>
      </c>
      <c r="H313" s="149">
        <f t="shared" si="119"/>
        <v>379</v>
      </c>
      <c r="I313" s="346">
        <v>220.98844444444444</v>
      </c>
      <c r="J313" s="150">
        <v>96</v>
      </c>
      <c r="K313"/>
      <c r="L313" s="151">
        <v>1607</v>
      </c>
      <c r="M313" s="151">
        <v>5418</v>
      </c>
      <c r="N313" s="151">
        <v>16038</v>
      </c>
      <c r="O313" s="151">
        <v>10416</v>
      </c>
      <c r="P313" s="151">
        <v>6966</v>
      </c>
      <c r="Q313" s="151">
        <v>3837</v>
      </c>
      <c r="R313" s="151">
        <v>2566</v>
      </c>
      <c r="S313" s="151">
        <v>359</v>
      </c>
      <c r="T313" s="151">
        <v>47207</v>
      </c>
      <c r="U313" s="147"/>
      <c r="V313" s="152">
        <f t="shared" si="135"/>
        <v>3.4041561632808692E-2</v>
      </c>
      <c r="W313" s="152">
        <f t="shared" si="120"/>
        <v>0.11477111445336496</v>
      </c>
      <c r="X313" s="152">
        <f t="shared" si="121"/>
        <v>0.33973775075730295</v>
      </c>
      <c r="Y313" s="152">
        <f t="shared" si="122"/>
        <v>0.22064524329019</v>
      </c>
      <c r="Z313" s="152">
        <f t="shared" si="123"/>
        <v>0.14756286144004066</v>
      </c>
      <c r="AA313" s="152">
        <f t="shared" si="124"/>
        <v>8.1280318596818266E-2</v>
      </c>
      <c r="AB313" s="152">
        <f t="shared" si="125"/>
        <v>5.4356345457241509E-2</v>
      </c>
      <c r="AC313" s="152">
        <f t="shared" si="126"/>
        <v>7.6048043722329317E-3</v>
      </c>
      <c r="AD313" s="152"/>
      <c r="AE313" s="221">
        <v>18</v>
      </c>
      <c r="AF313" s="221">
        <v>44</v>
      </c>
      <c r="AG313" s="221">
        <v>133</v>
      </c>
      <c r="AH313" s="221">
        <v>109</v>
      </c>
      <c r="AI313" s="221">
        <v>59</v>
      </c>
      <c r="AJ313" s="221">
        <v>41</v>
      </c>
      <c r="AK313" s="221">
        <v>34</v>
      </c>
      <c r="AL313" s="221">
        <v>4</v>
      </c>
      <c r="AM313" s="221">
        <v>442</v>
      </c>
      <c r="AN313" s="147"/>
      <c r="AO313" s="221">
        <v>51</v>
      </c>
      <c r="AP313" s="221">
        <v>-3</v>
      </c>
      <c r="AQ313" s="221">
        <v>-3</v>
      </c>
      <c r="AR313" s="221">
        <v>2</v>
      </c>
      <c r="AS313" s="221">
        <v>2</v>
      </c>
      <c r="AT313" s="221">
        <v>9</v>
      </c>
      <c r="AU313" s="221">
        <v>4</v>
      </c>
      <c r="AV313" s="221">
        <v>1</v>
      </c>
      <c r="AW313" s="221">
        <v>63</v>
      </c>
      <c r="AX313" s="56">
        <f t="shared" si="118"/>
        <v>-51</v>
      </c>
      <c r="AY313" s="56">
        <f t="shared" si="118"/>
        <v>3</v>
      </c>
      <c r="AZ313" s="56">
        <f t="shared" si="118"/>
        <v>3</v>
      </c>
      <c r="BA313" s="56">
        <f t="shared" si="118"/>
        <v>-2</v>
      </c>
      <c r="BB313" s="56">
        <f t="shared" si="118"/>
        <v>-2</v>
      </c>
      <c r="BC313" s="56">
        <f t="shared" si="118"/>
        <v>-9</v>
      </c>
      <c r="BD313" s="56">
        <f t="shared" si="145"/>
        <v>-4</v>
      </c>
      <c r="BE313" s="56">
        <f t="shared" si="145"/>
        <v>-1</v>
      </c>
      <c r="BF313" s="56">
        <f t="shared" si="145"/>
        <v>-63</v>
      </c>
      <c r="BH313">
        <f t="shared" si="127"/>
        <v>0.8</v>
      </c>
      <c r="BI313">
        <f t="shared" si="136"/>
        <v>0.19999999999999996</v>
      </c>
      <c r="BJ313" s="154">
        <v>342342.46400000004</v>
      </c>
      <c r="BK313" s="155">
        <f t="shared" si="128"/>
        <v>342342.46400000004</v>
      </c>
      <c r="BL313" s="156">
        <v>327668.97777777782</v>
      </c>
      <c r="BM313" s="155">
        <f t="shared" si="129"/>
        <v>327668.97777777782</v>
      </c>
      <c r="BN313" s="158">
        <v>437205.40977777785</v>
      </c>
      <c r="BO313" s="155">
        <f t="shared" si="130"/>
        <v>437205.40977777785</v>
      </c>
      <c r="BP313" s="158">
        <v>402579.52</v>
      </c>
      <c r="BQ313" s="155">
        <f t="shared" si="131"/>
        <v>402579.52</v>
      </c>
      <c r="BR313" s="158">
        <v>321634.22400000005</v>
      </c>
      <c r="BS313" s="155">
        <f t="shared" si="132"/>
        <v>321634.22400000005</v>
      </c>
      <c r="BT313" s="194">
        <v>409104.52799999999</v>
      </c>
      <c r="BU313" s="194"/>
      <c r="BV313" s="348">
        <f t="shared" si="137"/>
        <v>409104.52799999999</v>
      </c>
      <c r="BW313" s="195">
        <f t="shared" si="133"/>
        <v>533878.15466666664</v>
      </c>
      <c r="BX313" s="157">
        <f t="shared" si="138"/>
        <v>133469.53866666666</v>
      </c>
      <c r="BY313" s="157">
        <f>IF(E313*$CJ$10*'Year 7 Payments'!$L$20*IF(B313="",1,0.8)&lt;=(BW313-(J313*350)),E313*$CJ$10*'Year 7 Payments'!$L$20*IF(B313="",1,0.8),BW313-(IF(B313="",1,0.8)*J313*350))</f>
        <v>236586.08659911109</v>
      </c>
      <c r="BZ313" s="157">
        <f t="shared" si="139"/>
        <v>59146.521649777773</v>
      </c>
      <c r="CA313" s="157">
        <f t="shared" si="140"/>
        <v>297292.06806755555</v>
      </c>
      <c r="CB313" s="157">
        <f t="shared" si="141"/>
        <v>74323.017016888887</v>
      </c>
      <c r="CC313" s="157">
        <f t="shared" si="142"/>
        <v>1189168.2722702222</v>
      </c>
      <c r="CD313" s="201">
        <f t="shared" si="143"/>
        <v>297292.06806755555</v>
      </c>
      <c r="CE313" s="155">
        <f t="shared" si="144"/>
        <v>297292.06806755555</v>
      </c>
    </row>
    <row r="314" spans="1:83" x14ac:dyDescent="0.2">
      <c r="A314" s="147" t="s">
        <v>785</v>
      </c>
      <c r="B314" s="57" t="s">
        <v>639</v>
      </c>
      <c r="C314" s="57" t="s">
        <v>472</v>
      </c>
      <c r="D314" s="148" t="s">
        <v>342</v>
      </c>
      <c r="E314" s="197">
        <v>16896.666666666668</v>
      </c>
      <c r="F314" s="147">
        <f t="shared" si="134"/>
        <v>18005</v>
      </c>
      <c r="G314" s="342">
        <v>224</v>
      </c>
      <c r="H314" s="149">
        <f t="shared" si="119"/>
        <v>139</v>
      </c>
      <c r="I314" s="346">
        <v>50.524444444444441</v>
      </c>
      <c r="J314" s="150">
        <v>21</v>
      </c>
      <c r="K314"/>
      <c r="L314" s="151">
        <v>2879</v>
      </c>
      <c r="M314" s="151">
        <v>3985</v>
      </c>
      <c r="N314" s="151">
        <v>3844</v>
      </c>
      <c r="O314" s="151">
        <v>3416</v>
      </c>
      <c r="P314" s="151">
        <v>1863</v>
      </c>
      <c r="Q314" s="151">
        <v>1290</v>
      </c>
      <c r="R314" s="151">
        <v>679</v>
      </c>
      <c r="S314" s="151">
        <v>49</v>
      </c>
      <c r="T314" s="151">
        <v>18005</v>
      </c>
      <c r="U314" s="147"/>
      <c r="V314" s="152">
        <f t="shared" si="135"/>
        <v>0.15990002777006387</v>
      </c>
      <c r="W314" s="152">
        <f t="shared" si="120"/>
        <v>0.22132740905304082</v>
      </c>
      <c r="X314" s="152">
        <f t="shared" si="121"/>
        <v>0.2134962510413774</v>
      </c>
      <c r="Y314" s="152">
        <f t="shared" si="122"/>
        <v>0.18972507636767563</v>
      </c>
      <c r="Z314" s="152">
        <f t="shared" si="123"/>
        <v>0.10347125798389337</v>
      </c>
      <c r="AA314" s="152">
        <f t="shared" si="124"/>
        <v>7.1646764787559006E-2</v>
      </c>
      <c r="AB314" s="152">
        <f t="shared" si="125"/>
        <v>3.7711746737017493E-2</v>
      </c>
      <c r="AC314" s="152">
        <f t="shared" si="126"/>
        <v>2.7214662593723965E-3</v>
      </c>
      <c r="AD314" s="152"/>
      <c r="AE314" s="221">
        <v>64</v>
      </c>
      <c r="AF314" s="221">
        <v>27</v>
      </c>
      <c r="AG314" s="221">
        <v>20</v>
      </c>
      <c r="AH314" s="221">
        <v>20</v>
      </c>
      <c r="AI314" s="221">
        <v>29</v>
      </c>
      <c r="AJ314" s="221">
        <v>3</v>
      </c>
      <c r="AK314" s="221">
        <v>-2</v>
      </c>
      <c r="AL314" s="221">
        <v>0</v>
      </c>
      <c r="AM314" s="221">
        <v>161</v>
      </c>
      <c r="AN314" s="147"/>
      <c r="AO314" s="221">
        <v>17</v>
      </c>
      <c r="AP314" s="221">
        <v>-1</v>
      </c>
      <c r="AQ314" s="221">
        <v>6</v>
      </c>
      <c r="AR314" s="221">
        <v>-10</v>
      </c>
      <c r="AS314" s="221">
        <v>4</v>
      </c>
      <c r="AT314" s="221">
        <v>3</v>
      </c>
      <c r="AU314" s="221">
        <v>4</v>
      </c>
      <c r="AV314" s="221">
        <v>-1</v>
      </c>
      <c r="AW314" s="221">
        <v>22</v>
      </c>
      <c r="AX314" s="56">
        <f t="shared" si="118"/>
        <v>-17</v>
      </c>
      <c r="AY314" s="56">
        <f t="shared" si="118"/>
        <v>1</v>
      </c>
      <c r="AZ314" s="56">
        <f t="shared" si="118"/>
        <v>-6</v>
      </c>
      <c r="BA314" s="56">
        <f t="shared" si="118"/>
        <v>10</v>
      </c>
      <c r="BB314" s="56">
        <f t="shared" si="118"/>
        <v>-4</v>
      </c>
      <c r="BC314" s="56">
        <f t="shared" si="118"/>
        <v>-3</v>
      </c>
      <c r="BD314" s="56">
        <f t="shared" si="145"/>
        <v>-4</v>
      </c>
      <c r="BE314" s="56">
        <f t="shared" si="145"/>
        <v>1</v>
      </c>
      <c r="BF314" s="56">
        <f t="shared" si="145"/>
        <v>-22</v>
      </c>
      <c r="BH314">
        <f t="shared" si="127"/>
        <v>0.8</v>
      </c>
      <c r="BI314">
        <f t="shared" si="136"/>
        <v>0.19999999999999996</v>
      </c>
      <c r="BJ314" s="154">
        <v>91342.496000000014</v>
      </c>
      <c r="BK314" s="155">
        <f t="shared" si="128"/>
        <v>91342.496000000014</v>
      </c>
      <c r="BL314" s="156">
        <v>147213.2977777778</v>
      </c>
      <c r="BM314" s="155">
        <f t="shared" si="129"/>
        <v>147213.2977777778</v>
      </c>
      <c r="BN314" s="158">
        <v>145400.57955555557</v>
      </c>
      <c r="BO314" s="155">
        <f t="shared" si="130"/>
        <v>145400.57955555557</v>
      </c>
      <c r="BP314" s="158">
        <v>59687.680000000008</v>
      </c>
      <c r="BQ314" s="155">
        <f t="shared" si="131"/>
        <v>59687.680000000008</v>
      </c>
      <c r="BR314" s="158">
        <v>127371.40800000001</v>
      </c>
      <c r="BS314" s="155">
        <f t="shared" si="132"/>
        <v>127371.40800000001</v>
      </c>
      <c r="BT314" s="194">
        <v>142515.63200000001</v>
      </c>
      <c r="BU314" s="194"/>
      <c r="BV314" s="348">
        <f t="shared" si="137"/>
        <v>142515.63200000001</v>
      </c>
      <c r="BW314" s="195">
        <f t="shared" si="133"/>
        <v>150406.4248888889</v>
      </c>
      <c r="BX314" s="157">
        <f t="shared" si="138"/>
        <v>37601.606222222224</v>
      </c>
      <c r="BY314" s="157">
        <f>IF(E314*$CJ$10*'Year 7 Payments'!$L$20*IF(B314="",1,0.8)&lt;=(BW314-(J314*350)),E314*$CJ$10*'Year 7 Payments'!$L$20*IF(B314="",1,0.8),BW314-(IF(B314="",1,0.8)*J314*350))</f>
        <v>82702.289493333345</v>
      </c>
      <c r="BZ314" s="157">
        <f t="shared" si="139"/>
        <v>20675.572373333336</v>
      </c>
      <c r="CA314" s="157">
        <f t="shared" si="140"/>
        <v>67704.135395555553</v>
      </c>
      <c r="CB314" s="157">
        <f t="shared" si="141"/>
        <v>16926.033848888888</v>
      </c>
      <c r="CC314" s="157">
        <f t="shared" si="142"/>
        <v>270816.54158222221</v>
      </c>
      <c r="CD314" s="201">
        <f t="shared" si="143"/>
        <v>67704.135395555553</v>
      </c>
      <c r="CE314" s="155">
        <f t="shared" si="144"/>
        <v>67704.135395555553</v>
      </c>
    </row>
    <row r="315" spans="1:83" x14ac:dyDescent="0.2">
      <c r="A315" s="147" t="s">
        <v>786</v>
      </c>
      <c r="B315" s="57"/>
      <c r="C315" s="57" t="s">
        <v>461</v>
      </c>
      <c r="D315" s="148" t="s">
        <v>343</v>
      </c>
      <c r="E315" s="197">
        <v>161574</v>
      </c>
      <c r="F315" s="147">
        <f t="shared" si="134"/>
        <v>124932</v>
      </c>
      <c r="G315" s="342">
        <v>473</v>
      </c>
      <c r="H315" s="149">
        <f t="shared" si="119"/>
        <v>1113</v>
      </c>
      <c r="I315" s="346">
        <v>1046.0373333333332</v>
      </c>
      <c r="J315" s="150">
        <v>41</v>
      </c>
      <c r="K315"/>
      <c r="L315" s="151">
        <v>1734</v>
      </c>
      <c r="M315" s="151">
        <v>6830</v>
      </c>
      <c r="N315" s="151">
        <v>15957</v>
      </c>
      <c r="O315" s="151">
        <v>22701</v>
      </c>
      <c r="P315" s="151">
        <v>22713</v>
      </c>
      <c r="Q315" s="151">
        <v>17378</v>
      </c>
      <c r="R315" s="151">
        <v>22452</v>
      </c>
      <c r="S315" s="151">
        <v>15167</v>
      </c>
      <c r="T315" s="151">
        <v>124932</v>
      </c>
      <c r="U315" s="147"/>
      <c r="V315" s="152">
        <f t="shared" si="135"/>
        <v>1.3879550475458649E-2</v>
      </c>
      <c r="W315" s="152">
        <f t="shared" si="120"/>
        <v>5.4669740338744277E-2</v>
      </c>
      <c r="X315" s="152">
        <f t="shared" si="121"/>
        <v>0.12772548266256845</v>
      </c>
      <c r="Y315" s="152">
        <f t="shared" si="122"/>
        <v>0.18170684852559793</v>
      </c>
      <c r="Z315" s="152">
        <f t="shared" si="123"/>
        <v>0.18180290077802325</v>
      </c>
      <c r="AA315" s="152">
        <f t="shared" si="124"/>
        <v>0.13909967022060002</v>
      </c>
      <c r="AB315" s="152">
        <f t="shared" si="125"/>
        <v>0.17971376428777255</v>
      </c>
      <c r="AC315" s="152">
        <f t="shared" si="126"/>
        <v>0.12140204271123491</v>
      </c>
      <c r="AD315" s="152"/>
      <c r="AE315" s="221">
        <v>11</v>
      </c>
      <c r="AF315" s="221">
        <v>15</v>
      </c>
      <c r="AG315" s="221">
        <v>50</v>
      </c>
      <c r="AH315" s="221">
        <v>53</v>
      </c>
      <c r="AI315" s="221">
        <v>161</v>
      </c>
      <c r="AJ315" s="221">
        <v>191</v>
      </c>
      <c r="AK315" s="221">
        <v>309</v>
      </c>
      <c r="AL315" s="221">
        <v>221</v>
      </c>
      <c r="AM315" s="221">
        <v>1011</v>
      </c>
      <c r="AN315" s="147"/>
      <c r="AO315" s="221">
        <v>0</v>
      </c>
      <c r="AP315" s="221">
        <v>-2</v>
      </c>
      <c r="AQ315" s="221">
        <v>0</v>
      </c>
      <c r="AR315" s="221">
        <v>-9</v>
      </c>
      <c r="AS315" s="221">
        <v>-37</v>
      </c>
      <c r="AT315" s="221">
        <v>-34</v>
      </c>
      <c r="AU315" s="221">
        <v>4</v>
      </c>
      <c r="AV315" s="221">
        <v>-24</v>
      </c>
      <c r="AW315" s="221">
        <v>-102</v>
      </c>
      <c r="AX315" s="56">
        <f t="shared" si="118"/>
        <v>0</v>
      </c>
      <c r="AY315" s="56">
        <f t="shared" si="118"/>
        <v>2</v>
      </c>
      <c r="AZ315" s="56">
        <f t="shared" si="118"/>
        <v>0</v>
      </c>
      <c r="BA315" s="56">
        <f t="shared" si="118"/>
        <v>9</v>
      </c>
      <c r="BB315" s="56">
        <f t="shared" si="118"/>
        <v>37</v>
      </c>
      <c r="BC315" s="56">
        <f t="shared" si="118"/>
        <v>34</v>
      </c>
      <c r="BD315" s="56">
        <f t="shared" si="145"/>
        <v>-4</v>
      </c>
      <c r="BE315" s="56">
        <f t="shared" si="145"/>
        <v>24</v>
      </c>
      <c r="BF315" s="56">
        <f t="shared" si="145"/>
        <v>102</v>
      </c>
      <c r="BH315">
        <f t="shared" si="127"/>
        <v>1</v>
      </c>
      <c r="BI315">
        <f t="shared" si="136"/>
        <v>0</v>
      </c>
      <c r="BJ315" s="154">
        <v>1638472.0133333332</v>
      </c>
      <c r="BK315" s="155">
        <f t="shared" si="128"/>
        <v>1638472.0133333332</v>
      </c>
      <c r="BL315" s="156">
        <v>3468696.8422222221</v>
      </c>
      <c r="BM315" s="155">
        <f t="shared" si="129"/>
        <v>3468696.8422222221</v>
      </c>
      <c r="BN315" s="158">
        <v>1243233.2922222223</v>
      </c>
      <c r="BO315" s="155">
        <f t="shared" si="130"/>
        <v>1243233.2922222223</v>
      </c>
      <c r="BP315" s="158">
        <v>1899469.4666666666</v>
      </c>
      <c r="BQ315" s="155">
        <f t="shared" si="131"/>
        <v>1899469.4666666666</v>
      </c>
      <c r="BR315" s="158">
        <v>2240629.7422222225</v>
      </c>
      <c r="BS315" s="155">
        <f t="shared" si="132"/>
        <v>2240629.7422222225</v>
      </c>
      <c r="BT315" s="194">
        <v>2691482.9977777777</v>
      </c>
      <c r="BU315" s="194"/>
      <c r="BV315" s="348">
        <f t="shared" si="137"/>
        <v>2691482.9977777777</v>
      </c>
      <c r="BW315" s="195">
        <f t="shared" si="133"/>
        <v>2602875.3733333335</v>
      </c>
      <c r="BX315" s="157" t="str">
        <f t="shared" si="138"/>
        <v>0</v>
      </c>
      <c r="BY315" s="157">
        <f>IF(E315*$CJ$10*'Year 7 Payments'!$L$20*IF(B315="",1,0.8)&lt;=(BW315-(J315*350)),E315*$CJ$10*'Year 7 Payments'!$L$20*IF(B315="",1,0.8),BW315-(IF(B315="",1,0.8)*J315*350))</f>
        <v>988548.50976000004</v>
      </c>
      <c r="BZ315" s="157" t="str">
        <f t="shared" si="139"/>
        <v>0</v>
      </c>
      <c r="CA315" s="157">
        <f t="shared" si="140"/>
        <v>1614326.8635733335</v>
      </c>
      <c r="CB315" s="157">
        <f t="shared" si="141"/>
        <v>0</v>
      </c>
      <c r="CC315" s="157">
        <f t="shared" si="142"/>
        <v>6457307.4542933339</v>
      </c>
      <c r="CD315" s="201">
        <f t="shared" si="143"/>
        <v>0</v>
      </c>
      <c r="CE315" s="155">
        <f t="shared" si="144"/>
        <v>1614326.8635733335</v>
      </c>
    </row>
    <row r="316" spans="1:83" x14ac:dyDescent="0.2">
      <c r="A316" s="147" t="s">
        <v>787</v>
      </c>
      <c r="B316" s="57" t="s">
        <v>528</v>
      </c>
      <c r="C316" s="57" t="s">
        <v>472</v>
      </c>
      <c r="D316" s="148" t="s">
        <v>344</v>
      </c>
      <c r="E316" s="197">
        <v>27106.333333333336</v>
      </c>
      <c r="F316" s="147">
        <f t="shared" si="134"/>
        <v>31649</v>
      </c>
      <c r="G316" s="342">
        <v>214</v>
      </c>
      <c r="H316" s="149">
        <f t="shared" si="119"/>
        <v>234</v>
      </c>
      <c r="I316" s="346">
        <v>100.90799999999997</v>
      </c>
      <c r="J316" s="150">
        <v>80</v>
      </c>
      <c r="K316"/>
      <c r="L316" s="151">
        <v>7455</v>
      </c>
      <c r="M316" s="151">
        <v>9543</v>
      </c>
      <c r="N316" s="151">
        <v>6166</v>
      </c>
      <c r="O316" s="151">
        <v>4930</v>
      </c>
      <c r="P316" s="151">
        <v>2348</v>
      </c>
      <c r="Q316" s="151">
        <v>867</v>
      </c>
      <c r="R316" s="151">
        <v>323</v>
      </c>
      <c r="S316" s="151">
        <v>17</v>
      </c>
      <c r="T316" s="151">
        <v>31649</v>
      </c>
      <c r="U316" s="147"/>
      <c r="V316" s="152">
        <f t="shared" si="135"/>
        <v>0.23555246611267339</v>
      </c>
      <c r="W316" s="152">
        <f t="shared" si="120"/>
        <v>0.30152611456918071</v>
      </c>
      <c r="X316" s="152">
        <f t="shared" si="121"/>
        <v>0.19482448102625674</v>
      </c>
      <c r="Y316" s="152">
        <f t="shared" si="122"/>
        <v>0.15577111441119781</v>
      </c>
      <c r="Z316" s="152">
        <f t="shared" si="123"/>
        <v>7.4188757938639452E-2</v>
      </c>
      <c r="AA316" s="152">
        <f t="shared" si="124"/>
        <v>2.739423046541755E-2</v>
      </c>
      <c r="AB316" s="152">
        <f t="shared" si="125"/>
        <v>1.0205693702802617E-2</v>
      </c>
      <c r="AC316" s="152">
        <f t="shared" si="126"/>
        <v>5.3714177383171668E-4</v>
      </c>
      <c r="AD316" s="152"/>
      <c r="AE316" s="221">
        <v>17</v>
      </c>
      <c r="AF316" s="221">
        <v>60</v>
      </c>
      <c r="AG316" s="221">
        <v>81</v>
      </c>
      <c r="AH316" s="221">
        <v>34</v>
      </c>
      <c r="AI316" s="221">
        <v>15</v>
      </c>
      <c r="AJ316" s="221">
        <v>-2</v>
      </c>
      <c r="AK316" s="221">
        <v>5</v>
      </c>
      <c r="AL316" s="221">
        <v>0</v>
      </c>
      <c r="AM316" s="221">
        <v>210</v>
      </c>
      <c r="AN316" s="147"/>
      <c r="AO316" s="221">
        <v>6</v>
      </c>
      <c r="AP316" s="221">
        <v>-21</v>
      </c>
      <c r="AQ316" s="221">
        <v>3</v>
      </c>
      <c r="AR316" s="221">
        <v>-11</v>
      </c>
      <c r="AS316" s="221">
        <v>-2</v>
      </c>
      <c r="AT316" s="221">
        <v>2</v>
      </c>
      <c r="AU316" s="221">
        <v>-2</v>
      </c>
      <c r="AV316" s="221">
        <v>1</v>
      </c>
      <c r="AW316" s="221">
        <v>-24</v>
      </c>
      <c r="AX316" s="56">
        <f t="shared" si="118"/>
        <v>-6</v>
      </c>
      <c r="AY316" s="56">
        <f t="shared" si="118"/>
        <v>21</v>
      </c>
      <c r="AZ316" s="56">
        <f t="shared" si="118"/>
        <v>-3</v>
      </c>
      <c r="BA316" s="56">
        <f t="shared" si="118"/>
        <v>11</v>
      </c>
      <c r="BB316" s="56">
        <f t="shared" si="118"/>
        <v>2</v>
      </c>
      <c r="BC316" s="56">
        <f t="shared" si="118"/>
        <v>-2</v>
      </c>
      <c r="BD316" s="56">
        <f t="shared" si="145"/>
        <v>2</v>
      </c>
      <c r="BE316" s="56">
        <f t="shared" si="145"/>
        <v>-1</v>
      </c>
      <c r="BF316" s="56">
        <f t="shared" si="145"/>
        <v>24</v>
      </c>
      <c r="BH316">
        <f t="shared" si="127"/>
        <v>0.8</v>
      </c>
      <c r="BI316">
        <f t="shared" si="136"/>
        <v>0.19999999999999996</v>
      </c>
      <c r="BJ316" s="154">
        <v>180638.10133333332</v>
      </c>
      <c r="BK316" s="155">
        <f t="shared" si="128"/>
        <v>180638.10133333332</v>
      </c>
      <c r="BL316" s="156">
        <v>214167.0435555556</v>
      </c>
      <c r="BM316" s="155">
        <f t="shared" si="129"/>
        <v>214167.0435555556</v>
      </c>
      <c r="BN316" s="158">
        <v>94264.748444444442</v>
      </c>
      <c r="BO316" s="155">
        <f t="shared" si="130"/>
        <v>94264.748444444442</v>
      </c>
      <c r="BP316" s="158">
        <v>329054.50666666665</v>
      </c>
      <c r="BQ316" s="155">
        <f t="shared" si="131"/>
        <v>329054.50666666665</v>
      </c>
      <c r="BR316" s="158">
        <v>221213.53244444446</v>
      </c>
      <c r="BS316" s="155">
        <f t="shared" si="132"/>
        <v>221213.53244444446</v>
      </c>
      <c r="BT316" s="194">
        <v>175799.85422222223</v>
      </c>
      <c r="BU316" s="194"/>
      <c r="BV316" s="348">
        <f t="shared" si="137"/>
        <v>175799.85422222223</v>
      </c>
      <c r="BW316" s="195">
        <f t="shared" si="133"/>
        <v>278550.31466666667</v>
      </c>
      <c r="BX316" s="157">
        <f t="shared" si="138"/>
        <v>69637.578666666668</v>
      </c>
      <c r="BY316" s="157">
        <f>IF(E316*$CJ$10*'Year 7 Payments'!$L$20*IF(B316="",1,0.8)&lt;=(BW316-(J316*350)),E316*$CJ$10*'Year 7 Payments'!$L$20*IF(B316="",1,0.8),BW316-(IF(B316="",1,0.8)*J316*350))</f>
        <v>132674.44228266669</v>
      </c>
      <c r="BZ316" s="157">
        <f t="shared" si="139"/>
        <v>33168.610570666671</v>
      </c>
      <c r="CA316" s="157">
        <f t="shared" si="140"/>
        <v>145875.87238399999</v>
      </c>
      <c r="CB316" s="157">
        <f t="shared" si="141"/>
        <v>36468.968095999997</v>
      </c>
      <c r="CC316" s="157">
        <f t="shared" si="142"/>
        <v>583503.48953599995</v>
      </c>
      <c r="CD316" s="201">
        <f t="shared" si="143"/>
        <v>145875.87238399999</v>
      </c>
      <c r="CE316" s="155">
        <f t="shared" si="144"/>
        <v>145875.87238399999</v>
      </c>
    </row>
    <row r="317" spans="1:83" x14ac:dyDescent="0.2">
      <c r="A317" s="147" t="s">
        <v>788</v>
      </c>
      <c r="B317" s="57"/>
      <c r="C317" s="57" t="s">
        <v>446</v>
      </c>
      <c r="D317" s="148" t="s">
        <v>345</v>
      </c>
      <c r="E317" s="197">
        <v>111279.11111111112</v>
      </c>
      <c r="F317" s="147">
        <f t="shared" si="134"/>
        <v>142655</v>
      </c>
      <c r="G317" s="342">
        <v>1341</v>
      </c>
      <c r="H317" s="149">
        <f t="shared" si="119"/>
        <v>1067</v>
      </c>
      <c r="I317" s="346">
        <v>492.32799999999986</v>
      </c>
      <c r="J317" s="150">
        <v>106</v>
      </c>
      <c r="K317"/>
      <c r="L317" s="151">
        <v>67405</v>
      </c>
      <c r="M317" s="151">
        <v>31478</v>
      </c>
      <c r="N317" s="151">
        <v>23441</v>
      </c>
      <c r="O317" s="151">
        <v>11886</v>
      </c>
      <c r="P317" s="151">
        <v>5906</v>
      </c>
      <c r="Q317" s="151">
        <v>1860</v>
      </c>
      <c r="R317" s="151">
        <v>626</v>
      </c>
      <c r="S317" s="151">
        <v>53</v>
      </c>
      <c r="T317" s="151">
        <v>142655</v>
      </c>
      <c r="U317" s="147"/>
      <c r="V317" s="152">
        <f t="shared" si="135"/>
        <v>0.47250359258350566</v>
      </c>
      <c r="W317" s="152">
        <f t="shared" si="120"/>
        <v>0.22065823139742735</v>
      </c>
      <c r="X317" s="152">
        <f t="shared" si="121"/>
        <v>0.16431951210963514</v>
      </c>
      <c r="Y317" s="152">
        <f t="shared" si="122"/>
        <v>8.3319897655182079E-2</v>
      </c>
      <c r="Z317" s="152">
        <f t="shared" si="123"/>
        <v>4.1400581823279943E-2</v>
      </c>
      <c r="AA317" s="152">
        <f t="shared" si="124"/>
        <v>1.3038449405909362E-2</v>
      </c>
      <c r="AB317" s="152">
        <f t="shared" si="125"/>
        <v>4.3882093161823985E-3</v>
      </c>
      <c r="AC317" s="152">
        <f t="shared" si="126"/>
        <v>3.7152570887806247E-4</v>
      </c>
      <c r="AD317" s="152"/>
      <c r="AE317" s="221">
        <v>180</v>
      </c>
      <c r="AF317" s="221">
        <v>142</v>
      </c>
      <c r="AG317" s="221">
        <v>116</v>
      </c>
      <c r="AH317" s="221">
        <v>146</v>
      </c>
      <c r="AI317" s="221">
        <v>154</v>
      </c>
      <c r="AJ317" s="221">
        <v>22</v>
      </c>
      <c r="AK317" s="221">
        <v>4</v>
      </c>
      <c r="AL317" s="221">
        <v>0</v>
      </c>
      <c r="AM317" s="221">
        <v>764</v>
      </c>
      <c r="AN317" s="147"/>
      <c r="AO317" s="221">
        <v>-149</v>
      </c>
      <c r="AP317" s="221">
        <v>-91</v>
      </c>
      <c r="AQ317" s="221">
        <v>-45</v>
      </c>
      <c r="AR317" s="221">
        <v>-4</v>
      </c>
      <c r="AS317" s="221">
        <v>-12</v>
      </c>
      <c r="AT317" s="221">
        <v>-4</v>
      </c>
      <c r="AU317" s="221">
        <v>2</v>
      </c>
      <c r="AV317" s="221">
        <v>0</v>
      </c>
      <c r="AW317" s="221">
        <v>-303</v>
      </c>
      <c r="AX317" s="56">
        <f t="shared" si="118"/>
        <v>149</v>
      </c>
      <c r="AY317" s="56">
        <f t="shared" si="118"/>
        <v>91</v>
      </c>
      <c r="AZ317" s="56">
        <f t="shared" si="118"/>
        <v>45</v>
      </c>
      <c r="BA317" s="56">
        <f t="shared" si="118"/>
        <v>4</v>
      </c>
      <c r="BB317" s="56">
        <f t="shared" si="118"/>
        <v>12</v>
      </c>
      <c r="BC317" s="56">
        <f t="shared" si="118"/>
        <v>4</v>
      </c>
      <c r="BD317" s="56">
        <f t="shared" si="145"/>
        <v>-2</v>
      </c>
      <c r="BE317" s="56">
        <f t="shared" si="145"/>
        <v>0</v>
      </c>
      <c r="BF317" s="56">
        <f t="shared" si="145"/>
        <v>303</v>
      </c>
      <c r="BH317">
        <f t="shared" si="127"/>
        <v>1</v>
      </c>
      <c r="BI317">
        <f t="shared" si="136"/>
        <v>0</v>
      </c>
      <c r="BJ317" s="154">
        <v>884000.90666666662</v>
      </c>
      <c r="BK317" s="155">
        <f t="shared" si="128"/>
        <v>884000.90666666662</v>
      </c>
      <c r="BL317" s="156">
        <v>647409.91555555537</v>
      </c>
      <c r="BM317" s="155">
        <f t="shared" si="129"/>
        <v>647409.91555555537</v>
      </c>
      <c r="BN317" s="158">
        <v>506020.05111111118</v>
      </c>
      <c r="BO317" s="155">
        <f t="shared" si="130"/>
        <v>506020.05111111118</v>
      </c>
      <c r="BP317" s="158">
        <v>935514.79999999993</v>
      </c>
      <c r="BQ317" s="155">
        <f t="shared" si="131"/>
        <v>935514.79999999993</v>
      </c>
      <c r="BR317" s="158">
        <v>983974.46444444451</v>
      </c>
      <c r="BS317" s="155">
        <f t="shared" si="132"/>
        <v>983974.46444444451</v>
      </c>
      <c r="BT317" s="194">
        <v>775030.72888888884</v>
      </c>
      <c r="BU317" s="194">
        <v>1400</v>
      </c>
      <c r="BV317" s="349">
        <f t="shared" si="137"/>
        <v>776430.72888888884</v>
      </c>
      <c r="BW317" s="195">
        <f t="shared" si="133"/>
        <v>1470977.5244444443</v>
      </c>
      <c r="BX317" s="157" t="str">
        <f t="shared" si="138"/>
        <v>0</v>
      </c>
      <c r="BY317" s="157">
        <f>IF(E317*$CJ$10*'Year 7 Payments'!$L$20*IF(B317="",1,0.8)&lt;=(BW317-(J317*350)),E317*$CJ$10*'Year 7 Payments'!$L$20*IF(B317="",1,0.8),BW317-(IF(B317="",1,0.8)*J317*350))</f>
        <v>680832.30876444443</v>
      </c>
      <c r="BZ317" s="157" t="str">
        <f t="shared" si="139"/>
        <v>0</v>
      </c>
      <c r="CA317" s="157">
        <f t="shared" si="140"/>
        <v>790145.21567999991</v>
      </c>
      <c r="CB317" s="157">
        <f t="shared" si="141"/>
        <v>0</v>
      </c>
      <c r="CC317" s="157">
        <f t="shared" si="142"/>
        <v>3160580.8627199996</v>
      </c>
      <c r="CD317" s="201">
        <f t="shared" si="143"/>
        <v>0</v>
      </c>
      <c r="CE317" s="155">
        <f t="shared" si="144"/>
        <v>790145.21567999991</v>
      </c>
    </row>
    <row r="318" spans="1:83" x14ac:dyDescent="0.2">
      <c r="A318" s="147" t="s">
        <v>789</v>
      </c>
      <c r="B318" s="57"/>
      <c r="C318" s="57" t="s">
        <v>472</v>
      </c>
      <c r="D318" s="148" t="s">
        <v>346</v>
      </c>
      <c r="E318" s="197">
        <v>208267.00000000003</v>
      </c>
      <c r="F318" s="147">
        <f t="shared" si="134"/>
        <v>213479</v>
      </c>
      <c r="G318" s="342">
        <v>1376</v>
      </c>
      <c r="H318" s="149">
        <f t="shared" si="119"/>
        <v>2350</v>
      </c>
      <c r="I318" s="346">
        <v>1592.154222222222</v>
      </c>
      <c r="J318" s="150">
        <v>287</v>
      </c>
      <c r="K318"/>
      <c r="L318" s="151">
        <v>25313</v>
      </c>
      <c r="M318" s="151">
        <v>41187</v>
      </c>
      <c r="N318" s="151">
        <v>53328</v>
      </c>
      <c r="O318" s="151">
        <v>36976</v>
      </c>
      <c r="P318" s="151">
        <v>28004</v>
      </c>
      <c r="Q318" s="151">
        <v>16740</v>
      </c>
      <c r="R318" s="151">
        <v>10635</v>
      </c>
      <c r="S318" s="151">
        <v>1296</v>
      </c>
      <c r="T318" s="151">
        <v>213479</v>
      </c>
      <c r="U318" s="147"/>
      <c r="V318" s="152">
        <f t="shared" si="135"/>
        <v>0.11857372387916376</v>
      </c>
      <c r="W318" s="152">
        <f t="shared" si="120"/>
        <v>0.19293232589622397</v>
      </c>
      <c r="X318" s="152">
        <f t="shared" si="121"/>
        <v>0.24980443041235906</v>
      </c>
      <c r="Y318" s="152">
        <f t="shared" si="122"/>
        <v>0.17320673227811634</v>
      </c>
      <c r="Z318" s="152">
        <f t="shared" si="123"/>
        <v>0.13117917921669112</v>
      </c>
      <c r="AA318" s="152">
        <f t="shared" si="124"/>
        <v>7.8415207116390842E-2</v>
      </c>
      <c r="AB318" s="152">
        <f t="shared" si="125"/>
        <v>4.9817546456560127E-2</v>
      </c>
      <c r="AC318" s="152">
        <f t="shared" si="126"/>
        <v>6.0708547444947745E-3</v>
      </c>
      <c r="AD318" s="152"/>
      <c r="AE318" s="221">
        <v>237</v>
      </c>
      <c r="AF318" s="221">
        <v>208</v>
      </c>
      <c r="AG318" s="221">
        <v>567</v>
      </c>
      <c r="AH318" s="221">
        <v>471</v>
      </c>
      <c r="AI318" s="221">
        <v>404</v>
      </c>
      <c r="AJ318" s="221">
        <v>271</v>
      </c>
      <c r="AK318" s="221">
        <v>113</v>
      </c>
      <c r="AL318" s="221">
        <v>7</v>
      </c>
      <c r="AM318" s="221">
        <v>2278</v>
      </c>
      <c r="AN318" s="147"/>
      <c r="AO318" s="221">
        <v>-44</v>
      </c>
      <c r="AP318" s="221">
        <v>1</v>
      </c>
      <c r="AQ318" s="221">
        <v>-31</v>
      </c>
      <c r="AR318" s="221">
        <v>-16</v>
      </c>
      <c r="AS318" s="221">
        <v>12</v>
      </c>
      <c r="AT318" s="221">
        <v>-10</v>
      </c>
      <c r="AU318" s="221">
        <v>9</v>
      </c>
      <c r="AV318" s="221">
        <v>7</v>
      </c>
      <c r="AW318" s="221">
        <v>-72</v>
      </c>
      <c r="AX318" s="56">
        <f t="shared" si="118"/>
        <v>44</v>
      </c>
      <c r="AY318" s="56">
        <f t="shared" si="118"/>
        <v>-1</v>
      </c>
      <c r="AZ318" s="56">
        <f t="shared" si="118"/>
        <v>31</v>
      </c>
      <c r="BA318" s="56">
        <f t="shared" si="118"/>
        <v>16</v>
      </c>
      <c r="BB318" s="56">
        <f t="shared" si="118"/>
        <v>-12</v>
      </c>
      <c r="BC318" s="56">
        <f t="shared" si="118"/>
        <v>10</v>
      </c>
      <c r="BD318" s="56">
        <f t="shared" si="145"/>
        <v>-9</v>
      </c>
      <c r="BE318" s="56">
        <f t="shared" si="145"/>
        <v>-7</v>
      </c>
      <c r="BF318" s="56">
        <f t="shared" si="145"/>
        <v>72</v>
      </c>
      <c r="BH318">
        <f t="shared" si="127"/>
        <v>1</v>
      </c>
      <c r="BI318">
        <f t="shared" si="136"/>
        <v>0</v>
      </c>
      <c r="BJ318" s="154">
        <v>1841402.0333333334</v>
      </c>
      <c r="BK318" s="155">
        <f t="shared" si="128"/>
        <v>1841402.0333333334</v>
      </c>
      <c r="BL318" s="156">
        <v>2744922.1655555554</v>
      </c>
      <c r="BM318" s="155">
        <f t="shared" si="129"/>
        <v>2744922.1655555554</v>
      </c>
      <c r="BN318" s="158">
        <v>3006529.4477777784</v>
      </c>
      <c r="BO318" s="155">
        <f t="shared" si="130"/>
        <v>3006529.4477777784</v>
      </c>
      <c r="BP318" s="158">
        <v>3306126.8</v>
      </c>
      <c r="BQ318" s="155">
        <f t="shared" si="131"/>
        <v>3306126.8</v>
      </c>
      <c r="BR318" s="158">
        <v>3378515.8111111112</v>
      </c>
      <c r="BS318" s="155">
        <f t="shared" si="132"/>
        <v>3378515.8111111112</v>
      </c>
      <c r="BT318" s="194">
        <v>3602953.868888889</v>
      </c>
      <c r="BU318" s="194"/>
      <c r="BV318" s="348">
        <f t="shared" si="137"/>
        <v>3602953.868888889</v>
      </c>
      <c r="BW318" s="195">
        <f t="shared" si="133"/>
        <v>3809972.9022222217</v>
      </c>
      <c r="BX318" s="157" t="str">
        <f t="shared" si="138"/>
        <v>0</v>
      </c>
      <c r="BY318" s="157">
        <f>IF(E318*$CJ$10*'Year 7 Payments'!$L$20*IF(B318="",1,0.8)&lt;=(BW318-(J318*350)),E318*$CJ$10*'Year 7 Payments'!$L$20*IF(B318="",1,0.8),BW318-(IF(B318="",1,0.8)*J318*350))</f>
        <v>1274227.4900800001</v>
      </c>
      <c r="BZ318" s="157" t="str">
        <f t="shared" si="139"/>
        <v>0</v>
      </c>
      <c r="CA318" s="157">
        <f t="shared" si="140"/>
        <v>2535745.4121422218</v>
      </c>
      <c r="CB318" s="157">
        <f t="shared" si="141"/>
        <v>0</v>
      </c>
      <c r="CC318" s="157">
        <f t="shared" si="142"/>
        <v>10142981.648568887</v>
      </c>
      <c r="CD318" s="201">
        <f t="shared" si="143"/>
        <v>0</v>
      </c>
      <c r="CE318" s="155">
        <f t="shared" si="144"/>
        <v>2535745.4121422218</v>
      </c>
    </row>
    <row r="319" spans="1:83" x14ac:dyDescent="0.2">
      <c r="A319" s="147" t="s">
        <v>790</v>
      </c>
      <c r="B319" s="57" t="s">
        <v>469</v>
      </c>
      <c r="C319" s="57" t="s">
        <v>443</v>
      </c>
      <c r="D319" s="148" t="s">
        <v>347</v>
      </c>
      <c r="E319" s="197">
        <v>55879.444444444445</v>
      </c>
      <c r="F319" s="147">
        <f t="shared" si="134"/>
        <v>51316</v>
      </c>
      <c r="G319" s="342">
        <v>221</v>
      </c>
      <c r="H319" s="149">
        <f t="shared" si="119"/>
        <v>607</v>
      </c>
      <c r="I319" s="346">
        <v>408.48222222222222</v>
      </c>
      <c r="J319" s="150">
        <v>63</v>
      </c>
      <c r="K319"/>
      <c r="L319" s="151">
        <v>2360</v>
      </c>
      <c r="M319" s="151">
        <v>6634</v>
      </c>
      <c r="N319" s="151">
        <v>12001</v>
      </c>
      <c r="O319" s="151">
        <v>9374</v>
      </c>
      <c r="P319" s="151">
        <v>8383</v>
      </c>
      <c r="Q319" s="151">
        <v>6495</v>
      </c>
      <c r="R319" s="151">
        <v>5388</v>
      </c>
      <c r="S319" s="151">
        <v>681</v>
      </c>
      <c r="T319" s="151">
        <v>51316</v>
      </c>
      <c r="U319" s="147"/>
      <c r="V319" s="152">
        <f t="shared" si="135"/>
        <v>4.5989554914646506E-2</v>
      </c>
      <c r="W319" s="152">
        <f t="shared" si="120"/>
        <v>0.12927741834905293</v>
      </c>
      <c r="X319" s="152">
        <f t="shared" si="121"/>
        <v>0.23386468158079352</v>
      </c>
      <c r="Y319" s="152">
        <f t="shared" si="122"/>
        <v>0.18267207108893913</v>
      </c>
      <c r="Z319" s="152">
        <f t="shared" si="123"/>
        <v>0.1633603554446956</v>
      </c>
      <c r="AA319" s="152">
        <f t="shared" si="124"/>
        <v>0.12656871151297841</v>
      </c>
      <c r="AB319" s="152">
        <f t="shared" si="125"/>
        <v>0.10499649232208279</v>
      </c>
      <c r="AC319" s="152">
        <f t="shared" si="126"/>
        <v>1.3270714786811131E-2</v>
      </c>
      <c r="AD319" s="152"/>
      <c r="AE319" s="221">
        <v>54</v>
      </c>
      <c r="AF319" s="221">
        <v>131</v>
      </c>
      <c r="AG319" s="221">
        <v>104</v>
      </c>
      <c r="AH319" s="221">
        <v>138</v>
      </c>
      <c r="AI319" s="221">
        <v>38</v>
      </c>
      <c r="AJ319" s="221">
        <v>48</v>
      </c>
      <c r="AK319" s="221">
        <v>53</v>
      </c>
      <c r="AL319" s="221">
        <v>8</v>
      </c>
      <c r="AM319" s="221">
        <v>574</v>
      </c>
      <c r="AN319" s="147"/>
      <c r="AO319" s="221">
        <v>-3</v>
      </c>
      <c r="AP319" s="221">
        <v>5</v>
      </c>
      <c r="AQ319" s="221">
        <v>-7</v>
      </c>
      <c r="AR319" s="221">
        <v>-4</v>
      </c>
      <c r="AS319" s="221">
        <v>-7</v>
      </c>
      <c r="AT319" s="221">
        <v>-12</v>
      </c>
      <c r="AU319" s="221">
        <v>-2</v>
      </c>
      <c r="AV319" s="221">
        <v>-3</v>
      </c>
      <c r="AW319" s="221">
        <v>-33</v>
      </c>
      <c r="AX319" s="56">
        <f t="shared" si="118"/>
        <v>3</v>
      </c>
      <c r="AY319" s="56">
        <f t="shared" si="118"/>
        <v>-5</v>
      </c>
      <c r="AZ319" s="56">
        <f t="shared" si="118"/>
        <v>7</v>
      </c>
      <c r="BA319" s="56">
        <f t="shared" si="118"/>
        <v>4</v>
      </c>
      <c r="BB319" s="56">
        <f t="shared" si="118"/>
        <v>7</v>
      </c>
      <c r="BC319" s="56">
        <f t="shared" si="118"/>
        <v>12</v>
      </c>
      <c r="BD319" s="56">
        <f t="shared" si="145"/>
        <v>2</v>
      </c>
      <c r="BE319" s="56">
        <f t="shared" si="145"/>
        <v>3</v>
      </c>
      <c r="BF319" s="56">
        <f t="shared" si="145"/>
        <v>33</v>
      </c>
      <c r="BH319">
        <f t="shared" si="127"/>
        <v>0.8</v>
      </c>
      <c r="BI319">
        <f t="shared" si="136"/>
        <v>0.19999999999999996</v>
      </c>
      <c r="BJ319" s="154">
        <v>495219.61066666676</v>
      </c>
      <c r="BK319" s="155">
        <f t="shared" si="128"/>
        <v>495219.61066666676</v>
      </c>
      <c r="BL319" s="156">
        <v>644469.46844444459</v>
      </c>
      <c r="BM319" s="155">
        <f t="shared" si="129"/>
        <v>644469.46844444459</v>
      </c>
      <c r="BN319" s="158">
        <v>458878.61777777784</v>
      </c>
      <c r="BO319" s="155">
        <f t="shared" si="130"/>
        <v>458878.61777777784</v>
      </c>
      <c r="BP319" s="158">
        <v>499325.33333333331</v>
      </c>
      <c r="BQ319" s="155">
        <f t="shared" si="131"/>
        <v>499325.33333333331</v>
      </c>
      <c r="BR319" s="158">
        <v>732263.35111111123</v>
      </c>
      <c r="BS319" s="155">
        <f t="shared" si="132"/>
        <v>732263.35111111123</v>
      </c>
      <c r="BT319" s="194">
        <v>453449.89511111111</v>
      </c>
      <c r="BU319" s="194"/>
      <c r="BV319" s="348">
        <f t="shared" si="137"/>
        <v>453449.89511111111</v>
      </c>
      <c r="BW319" s="195">
        <f t="shared" si="133"/>
        <v>790985.53599999996</v>
      </c>
      <c r="BX319" s="157">
        <f t="shared" si="138"/>
        <v>197746.38399999999</v>
      </c>
      <c r="BY319" s="157">
        <f>IF(E319*$CJ$10*'Year 7 Payments'!$L$20*IF(B319="",1,0.8)&lt;=(BW319-(J319*350)),E319*$CJ$10*'Year 7 Payments'!$L$20*IF(B319="",1,0.8),BW319-(IF(B319="",1,0.8)*J319*350))</f>
        <v>273507.08174222225</v>
      </c>
      <c r="BZ319" s="157">
        <f t="shared" si="139"/>
        <v>68376.770435555562</v>
      </c>
      <c r="CA319" s="157">
        <f t="shared" si="140"/>
        <v>517478.45425777772</v>
      </c>
      <c r="CB319" s="157">
        <f t="shared" si="141"/>
        <v>129369.61356444443</v>
      </c>
      <c r="CC319" s="157">
        <f t="shared" si="142"/>
        <v>2069913.8170311109</v>
      </c>
      <c r="CD319" s="201">
        <f t="shared" si="143"/>
        <v>517478.45425777772</v>
      </c>
      <c r="CE319" s="155">
        <f t="shared" si="144"/>
        <v>517478.45425777772</v>
      </c>
    </row>
    <row r="320" spans="1:83" x14ac:dyDescent="0.2">
      <c r="A320" s="147" t="s">
        <v>791</v>
      </c>
      <c r="B320" s="57"/>
      <c r="C320" s="57" t="s">
        <v>443</v>
      </c>
      <c r="D320" s="148" t="s">
        <v>348</v>
      </c>
      <c r="E320" s="197">
        <v>74080.222222222219</v>
      </c>
      <c r="F320" s="147">
        <f t="shared" si="134"/>
        <v>63558</v>
      </c>
      <c r="G320" s="342">
        <v>711</v>
      </c>
      <c r="H320" s="149">
        <f t="shared" si="119"/>
        <v>673</v>
      </c>
      <c r="I320" s="346">
        <v>473.12355555555558</v>
      </c>
      <c r="J320" s="150">
        <v>83</v>
      </c>
      <c r="K320"/>
      <c r="L320" s="151">
        <v>1906</v>
      </c>
      <c r="M320" s="151">
        <v>3779</v>
      </c>
      <c r="N320" s="151">
        <v>9228</v>
      </c>
      <c r="O320" s="151">
        <v>16126</v>
      </c>
      <c r="P320" s="151">
        <v>13138</v>
      </c>
      <c r="Q320" s="151">
        <v>8154</v>
      </c>
      <c r="R320" s="151">
        <v>9456</v>
      </c>
      <c r="S320" s="151">
        <v>1771</v>
      </c>
      <c r="T320" s="151">
        <v>63558</v>
      </c>
      <c r="U320" s="147"/>
      <c r="V320" s="152">
        <f t="shared" si="135"/>
        <v>2.9988357091160829E-2</v>
      </c>
      <c r="W320" s="152">
        <f t="shared" si="120"/>
        <v>5.9457503382737024E-2</v>
      </c>
      <c r="X320" s="152">
        <f t="shared" si="121"/>
        <v>0.14519021995657511</v>
      </c>
      <c r="Y320" s="152">
        <f t="shared" si="122"/>
        <v>0.25372101073035652</v>
      </c>
      <c r="Z320" s="152">
        <f t="shared" si="123"/>
        <v>0.20670883287705719</v>
      </c>
      <c r="AA320" s="152">
        <f t="shared" si="124"/>
        <v>0.12829226847918437</v>
      </c>
      <c r="AB320" s="152">
        <f t="shared" si="125"/>
        <v>0.1487774945718871</v>
      </c>
      <c r="AC320" s="152">
        <f t="shared" si="126"/>
        <v>2.7864312911041883E-2</v>
      </c>
      <c r="AD320" s="152"/>
      <c r="AE320" s="221">
        <v>23</v>
      </c>
      <c r="AF320" s="221">
        <v>149</v>
      </c>
      <c r="AG320" s="221">
        <v>61</v>
      </c>
      <c r="AH320" s="221">
        <v>147</v>
      </c>
      <c r="AI320" s="221">
        <v>119</v>
      </c>
      <c r="AJ320" s="221">
        <v>86</v>
      </c>
      <c r="AK320" s="221">
        <v>77</v>
      </c>
      <c r="AL320" s="221">
        <v>43</v>
      </c>
      <c r="AM320" s="221">
        <v>705</v>
      </c>
      <c r="AN320" s="147"/>
      <c r="AO320" s="221">
        <v>-15</v>
      </c>
      <c r="AP320" s="221">
        <v>17</v>
      </c>
      <c r="AQ320" s="221">
        <v>-11</v>
      </c>
      <c r="AR320" s="221">
        <v>-1</v>
      </c>
      <c r="AS320" s="221">
        <v>24</v>
      </c>
      <c r="AT320" s="221">
        <v>20</v>
      </c>
      <c r="AU320" s="221">
        <v>-1</v>
      </c>
      <c r="AV320" s="221">
        <v>-1</v>
      </c>
      <c r="AW320" s="221">
        <v>32</v>
      </c>
      <c r="AX320" s="56">
        <f t="shared" si="118"/>
        <v>15</v>
      </c>
      <c r="AY320" s="56">
        <f t="shared" si="118"/>
        <v>-17</v>
      </c>
      <c r="AZ320" s="56">
        <f t="shared" si="118"/>
        <v>11</v>
      </c>
      <c r="BA320" s="56">
        <f t="shared" si="118"/>
        <v>1</v>
      </c>
      <c r="BB320" s="56">
        <f t="shared" si="118"/>
        <v>-24</v>
      </c>
      <c r="BC320" s="56">
        <f t="shared" si="118"/>
        <v>-20</v>
      </c>
      <c r="BD320" s="56">
        <f t="shared" si="145"/>
        <v>1</v>
      </c>
      <c r="BE320" s="56">
        <f t="shared" si="145"/>
        <v>1</v>
      </c>
      <c r="BF320" s="56">
        <f t="shared" si="145"/>
        <v>-32</v>
      </c>
      <c r="BH320">
        <f t="shared" si="127"/>
        <v>1</v>
      </c>
      <c r="BI320">
        <f t="shared" si="136"/>
        <v>0</v>
      </c>
      <c r="BJ320" s="154">
        <v>617745.20666666667</v>
      </c>
      <c r="BK320" s="155">
        <f t="shared" si="128"/>
        <v>617745.20666666667</v>
      </c>
      <c r="BL320" s="156">
        <v>479950.98444444442</v>
      </c>
      <c r="BM320" s="155">
        <f t="shared" si="129"/>
        <v>479950.98444444442</v>
      </c>
      <c r="BN320" s="158">
        <v>396097.75777777779</v>
      </c>
      <c r="BO320" s="155">
        <f t="shared" si="130"/>
        <v>396097.75777777779</v>
      </c>
      <c r="BP320" s="158">
        <v>658171.20000000007</v>
      </c>
      <c r="BQ320" s="155">
        <f t="shared" si="131"/>
        <v>658171.20000000007</v>
      </c>
      <c r="BR320" s="158">
        <v>822309.77333333332</v>
      </c>
      <c r="BS320" s="155">
        <f t="shared" si="132"/>
        <v>822309.77333333332</v>
      </c>
      <c r="BT320" s="194">
        <v>1051685.8799999999</v>
      </c>
      <c r="BU320" s="194"/>
      <c r="BV320" s="348">
        <f t="shared" si="137"/>
        <v>1051685.8799999999</v>
      </c>
      <c r="BW320" s="195">
        <f t="shared" si="133"/>
        <v>1205961.4444444443</v>
      </c>
      <c r="BX320" s="157" t="str">
        <f t="shared" si="138"/>
        <v>0</v>
      </c>
      <c r="BY320" s="157">
        <f>IF(E320*$CJ$10*'Year 7 Payments'!$L$20*IF(B320="",1,0.8)&lt;=(BW320-(J320*350)),E320*$CJ$10*'Year 7 Payments'!$L$20*IF(B320="",1,0.8),BW320-(IF(B320="",1,0.8)*J320*350))</f>
        <v>453240.57880888885</v>
      </c>
      <c r="BZ320" s="157" t="str">
        <f t="shared" si="139"/>
        <v>0</v>
      </c>
      <c r="CA320" s="157">
        <f t="shared" si="140"/>
        <v>752720.86563555547</v>
      </c>
      <c r="CB320" s="157">
        <f t="shared" si="141"/>
        <v>0</v>
      </c>
      <c r="CC320" s="157">
        <f t="shared" si="142"/>
        <v>3010883.4625422219</v>
      </c>
      <c r="CD320" s="201">
        <f t="shared" si="143"/>
        <v>0</v>
      </c>
      <c r="CE320" s="155">
        <f t="shared" si="144"/>
        <v>752720.86563555547</v>
      </c>
    </row>
    <row r="321" spans="1:83" x14ac:dyDescent="0.2">
      <c r="A321" s="147" t="s">
        <v>792</v>
      </c>
      <c r="B321" s="57"/>
      <c r="C321" s="57" t="s">
        <v>446</v>
      </c>
      <c r="D321" s="148" t="s">
        <v>349</v>
      </c>
      <c r="E321" s="197">
        <v>121672.55555555556</v>
      </c>
      <c r="F321" s="147">
        <f t="shared" si="134"/>
        <v>147599</v>
      </c>
      <c r="G321" s="342">
        <v>2014</v>
      </c>
      <c r="H321" s="149">
        <f t="shared" si="119"/>
        <v>540</v>
      </c>
      <c r="I321" s="346">
        <v>0</v>
      </c>
      <c r="J321" s="150">
        <v>248</v>
      </c>
      <c r="K321"/>
      <c r="L321" s="151">
        <v>59568</v>
      </c>
      <c r="M321" s="151">
        <v>32018</v>
      </c>
      <c r="N321" s="151">
        <v>27068</v>
      </c>
      <c r="O321" s="151">
        <v>13240</v>
      </c>
      <c r="P321" s="151">
        <v>8102</v>
      </c>
      <c r="Q321" s="151">
        <v>4242</v>
      </c>
      <c r="R321" s="151">
        <v>3099</v>
      </c>
      <c r="S321" s="151">
        <v>262</v>
      </c>
      <c r="T321" s="151">
        <v>147599</v>
      </c>
      <c r="U321" s="147"/>
      <c r="V321" s="152">
        <f t="shared" si="135"/>
        <v>0.40357997005399765</v>
      </c>
      <c r="W321" s="152">
        <f t="shared" si="120"/>
        <v>0.21692558892675426</v>
      </c>
      <c r="X321" s="152">
        <f t="shared" si="121"/>
        <v>0.18338877634672321</v>
      </c>
      <c r="Y321" s="152">
        <f t="shared" si="122"/>
        <v>8.970250475951734E-2</v>
      </c>
      <c r="Z321" s="152">
        <f t="shared" si="123"/>
        <v>5.4891970812810387E-2</v>
      </c>
      <c r="AA321" s="152">
        <f t="shared" si="124"/>
        <v>2.8740032114038715E-2</v>
      </c>
      <c r="AB321" s="152">
        <f t="shared" si="125"/>
        <v>2.0996077209195184E-2</v>
      </c>
      <c r="AC321" s="152">
        <f t="shared" si="126"/>
        <v>1.7750797769632586E-3</v>
      </c>
      <c r="AD321" s="152"/>
      <c r="AE321" s="221">
        <v>244</v>
      </c>
      <c r="AF321" s="221">
        <v>54</v>
      </c>
      <c r="AG321" s="221">
        <v>-50</v>
      </c>
      <c r="AH321" s="221">
        <v>46</v>
      </c>
      <c r="AI321" s="221">
        <v>26</v>
      </c>
      <c r="AJ321" s="221">
        <v>8</v>
      </c>
      <c r="AK321" s="221">
        <v>17</v>
      </c>
      <c r="AL321" s="221">
        <v>1</v>
      </c>
      <c r="AM321" s="221">
        <v>346</v>
      </c>
      <c r="AN321" s="147"/>
      <c r="AO321" s="221">
        <v>-155</v>
      </c>
      <c r="AP321" s="221">
        <v>-32</v>
      </c>
      <c r="AQ321" s="221">
        <v>5</v>
      </c>
      <c r="AR321" s="221">
        <v>-6</v>
      </c>
      <c r="AS321" s="221">
        <v>5</v>
      </c>
      <c r="AT321" s="221">
        <v>-4</v>
      </c>
      <c r="AU321" s="221">
        <v>-8</v>
      </c>
      <c r="AV321" s="221">
        <v>1</v>
      </c>
      <c r="AW321" s="221">
        <v>-194</v>
      </c>
      <c r="AX321" s="56">
        <f t="shared" si="118"/>
        <v>155</v>
      </c>
      <c r="AY321" s="56">
        <f t="shared" si="118"/>
        <v>32</v>
      </c>
      <c r="AZ321" s="56">
        <f t="shared" si="118"/>
        <v>-5</v>
      </c>
      <c r="BA321" s="56">
        <f t="shared" si="118"/>
        <v>6</v>
      </c>
      <c r="BB321" s="56">
        <f t="shared" si="118"/>
        <v>-5</v>
      </c>
      <c r="BC321" s="56">
        <f t="shared" si="118"/>
        <v>4</v>
      </c>
      <c r="BD321" s="56">
        <f t="shared" si="145"/>
        <v>8</v>
      </c>
      <c r="BE321" s="56">
        <f t="shared" si="145"/>
        <v>-1</v>
      </c>
      <c r="BF321" s="56">
        <f t="shared" si="145"/>
        <v>194</v>
      </c>
      <c r="BH321">
        <f t="shared" si="127"/>
        <v>1</v>
      </c>
      <c r="BI321">
        <f t="shared" si="136"/>
        <v>0</v>
      </c>
      <c r="BJ321" s="154">
        <v>260019.08</v>
      </c>
      <c r="BK321" s="155">
        <f t="shared" si="128"/>
        <v>260019.08</v>
      </c>
      <c r="BL321" s="156">
        <v>740452.47</v>
      </c>
      <c r="BM321" s="155">
        <f t="shared" si="129"/>
        <v>740452.47</v>
      </c>
      <c r="BN321" s="158">
        <v>515811.94444444455</v>
      </c>
      <c r="BO321" s="155">
        <f t="shared" si="130"/>
        <v>515811.94444444455</v>
      </c>
      <c r="BP321" s="158">
        <v>251926</v>
      </c>
      <c r="BQ321" s="155">
        <f t="shared" si="131"/>
        <v>251926</v>
      </c>
      <c r="BR321" s="158">
        <v>829373.30888888903</v>
      </c>
      <c r="BS321" s="155">
        <f t="shared" si="132"/>
        <v>829373.30888888903</v>
      </c>
      <c r="BT321" s="194">
        <v>580269.71333333338</v>
      </c>
      <c r="BU321" s="194"/>
      <c r="BV321" s="348">
        <f t="shared" si="137"/>
        <v>580269.71333333338</v>
      </c>
      <c r="BW321" s="195">
        <f t="shared" si="133"/>
        <v>730234.90666666662</v>
      </c>
      <c r="BX321" s="157" t="str">
        <f t="shared" si="138"/>
        <v>0</v>
      </c>
      <c r="BY321" s="157">
        <f>IF(E321*$CJ$10*'Year 7 Payments'!$L$20*IF(B321="",1,0.8)&lt;=(BW321-(J321*350)),E321*$CJ$10*'Year 7 Payments'!$L$20*IF(B321="",1,0.8),BW321-(IF(B321="",1,0.8)*J321*350))</f>
        <v>643434.90666666662</v>
      </c>
      <c r="BZ321" s="157" t="str">
        <f t="shared" si="139"/>
        <v>0</v>
      </c>
      <c r="CA321" s="157">
        <f t="shared" si="140"/>
        <v>86800</v>
      </c>
      <c r="CB321" s="157">
        <f t="shared" si="141"/>
        <v>0</v>
      </c>
      <c r="CC321" s="157">
        <f t="shared" si="142"/>
        <v>347200</v>
      </c>
      <c r="CD321" s="201">
        <f t="shared" si="143"/>
        <v>0</v>
      </c>
      <c r="CE321" s="155">
        <f t="shared" si="144"/>
        <v>86800</v>
      </c>
    </row>
    <row r="322" spans="1:83" x14ac:dyDescent="0.2">
      <c r="A322" s="147" t="s">
        <v>793</v>
      </c>
      <c r="B322" s="57" t="s">
        <v>568</v>
      </c>
      <c r="C322" s="57" t="s">
        <v>443</v>
      </c>
      <c r="D322" s="148" t="s">
        <v>350</v>
      </c>
      <c r="E322" s="197">
        <v>46750.666666666664</v>
      </c>
      <c r="F322" s="147">
        <f t="shared" si="134"/>
        <v>42258</v>
      </c>
      <c r="G322" s="342">
        <v>240</v>
      </c>
      <c r="H322" s="149">
        <f t="shared" si="119"/>
        <v>458</v>
      </c>
      <c r="I322" s="346">
        <v>289.99733333333324</v>
      </c>
      <c r="J322" s="150">
        <v>131</v>
      </c>
      <c r="K322"/>
      <c r="L322" s="151">
        <v>321</v>
      </c>
      <c r="M322" s="151">
        <v>3401</v>
      </c>
      <c r="N322" s="151">
        <v>10533</v>
      </c>
      <c r="O322" s="151">
        <v>12028</v>
      </c>
      <c r="P322" s="151">
        <v>6047</v>
      </c>
      <c r="Q322" s="151">
        <v>4178</v>
      </c>
      <c r="R322" s="151">
        <v>5021</v>
      </c>
      <c r="S322" s="151">
        <v>729</v>
      </c>
      <c r="T322" s="151">
        <v>42258</v>
      </c>
      <c r="U322" s="147"/>
      <c r="V322" s="152">
        <f t="shared" si="135"/>
        <v>7.5961948033508447E-3</v>
      </c>
      <c r="W322" s="152">
        <f t="shared" si="120"/>
        <v>8.0481802262293525E-2</v>
      </c>
      <c r="X322" s="152">
        <f t="shared" si="121"/>
        <v>0.24925457901462444</v>
      </c>
      <c r="Y322" s="152">
        <f t="shared" si="122"/>
        <v>0.28463249562213072</v>
      </c>
      <c r="Z322" s="152">
        <f t="shared" si="123"/>
        <v>0.14309716503383973</v>
      </c>
      <c r="AA322" s="152">
        <f t="shared" si="124"/>
        <v>9.8868853234890433E-2</v>
      </c>
      <c r="AB322" s="152">
        <f t="shared" si="125"/>
        <v>0.11881773865303612</v>
      </c>
      <c r="AC322" s="152">
        <f t="shared" si="126"/>
        <v>1.7251171375834162E-2</v>
      </c>
      <c r="AD322" s="152"/>
      <c r="AE322" s="221">
        <v>8</v>
      </c>
      <c r="AF322" s="221">
        <v>83</v>
      </c>
      <c r="AG322" s="221">
        <v>78</v>
      </c>
      <c r="AH322" s="221">
        <v>148</v>
      </c>
      <c r="AI322" s="221">
        <v>90</v>
      </c>
      <c r="AJ322" s="221">
        <v>32</v>
      </c>
      <c r="AK322" s="221">
        <v>24</v>
      </c>
      <c r="AL322" s="221">
        <v>11</v>
      </c>
      <c r="AM322" s="221">
        <v>474</v>
      </c>
      <c r="AN322" s="147"/>
      <c r="AO322" s="221">
        <v>-2</v>
      </c>
      <c r="AP322" s="221">
        <v>-16</v>
      </c>
      <c r="AQ322" s="221">
        <v>10</v>
      </c>
      <c r="AR322" s="221">
        <v>7</v>
      </c>
      <c r="AS322" s="221">
        <v>2</v>
      </c>
      <c r="AT322" s="221">
        <v>5</v>
      </c>
      <c r="AU322" s="221">
        <v>10</v>
      </c>
      <c r="AV322" s="221">
        <v>0</v>
      </c>
      <c r="AW322" s="221">
        <v>16</v>
      </c>
      <c r="AX322" s="56">
        <f t="shared" ref="AX322:BC331" si="146">AO322*$AW$3</f>
        <v>2</v>
      </c>
      <c r="AY322" s="56">
        <f t="shared" si="146"/>
        <v>16</v>
      </c>
      <c r="AZ322" s="56">
        <f t="shared" si="146"/>
        <v>-10</v>
      </c>
      <c r="BA322" s="56">
        <f t="shared" si="146"/>
        <v>-7</v>
      </c>
      <c r="BB322" s="56">
        <f t="shared" si="146"/>
        <v>-2</v>
      </c>
      <c r="BC322" s="56">
        <f t="shared" si="146"/>
        <v>-5</v>
      </c>
      <c r="BD322" s="56">
        <f t="shared" si="145"/>
        <v>-10</v>
      </c>
      <c r="BE322" s="56">
        <f t="shared" si="145"/>
        <v>0</v>
      </c>
      <c r="BF322" s="56">
        <f t="shared" si="145"/>
        <v>-16</v>
      </c>
      <c r="BH322">
        <f t="shared" si="127"/>
        <v>0.8</v>
      </c>
      <c r="BI322">
        <f t="shared" si="136"/>
        <v>0.19999999999999996</v>
      </c>
      <c r="BJ322" s="154">
        <v>310359.79733333335</v>
      </c>
      <c r="BK322" s="155">
        <f t="shared" si="128"/>
        <v>310359.79733333335</v>
      </c>
      <c r="BL322" s="156">
        <v>303783.02222222224</v>
      </c>
      <c r="BM322" s="155">
        <f t="shared" si="129"/>
        <v>303783.02222222224</v>
      </c>
      <c r="BN322" s="158">
        <v>254189.33511111114</v>
      </c>
      <c r="BO322" s="155">
        <f t="shared" si="130"/>
        <v>254189.33511111114</v>
      </c>
      <c r="BP322" s="158">
        <v>441162.02666666661</v>
      </c>
      <c r="BQ322" s="155">
        <f t="shared" si="131"/>
        <v>441162.02666666661</v>
      </c>
      <c r="BR322" s="158">
        <v>219019.83644444446</v>
      </c>
      <c r="BS322" s="155">
        <f t="shared" si="132"/>
        <v>219019.83644444446</v>
      </c>
      <c r="BT322" s="194">
        <v>514578.46222222224</v>
      </c>
      <c r="BU322" s="194"/>
      <c r="BV322" s="348">
        <f t="shared" si="137"/>
        <v>514578.46222222224</v>
      </c>
      <c r="BW322" s="195">
        <f t="shared" si="133"/>
        <v>620360.09600000002</v>
      </c>
      <c r="BX322" s="157">
        <f t="shared" si="138"/>
        <v>155090.024</v>
      </c>
      <c r="BY322" s="157">
        <f>IF(E322*$CJ$10*'Year 7 Payments'!$L$20*IF(B322="",1,0.8)&lt;=(BW322-(J322*350)),E322*$CJ$10*'Year 7 Payments'!$L$20*IF(B322="",1,0.8),BW322-(IF(B322="",1,0.8)*J322*350))</f>
        <v>228825.43906133334</v>
      </c>
      <c r="BZ322" s="157">
        <f t="shared" si="139"/>
        <v>57206.359765333335</v>
      </c>
      <c r="CA322" s="157">
        <f t="shared" si="140"/>
        <v>391534.65693866671</v>
      </c>
      <c r="CB322" s="157">
        <f t="shared" si="141"/>
        <v>97883.664234666678</v>
      </c>
      <c r="CC322" s="157">
        <f t="shared" si="142"/>
        <v>1566138.6277546668</v>
      </c>
      <c r="CD322" s="201">
        <f t="shared" si="143"/>
        <v>391534.65693866671</v>
      </c>
      <c r="CE322" s="155">
        <f t="shared" si="144"/>
        <v>391534.65693866671</v>
      </c>
    </row>
    <row r="323" spans="1:83" x14ac:dyDescent="0.2">
      <c r="A323" s="147" t="s">
        <v>794</v>
      </c>
      <c r="B323" s="57"/>
      <c r="C323" s="57" t="s">
        <v>443</v>
      </c>
      <c r="D323" s="148" t="s">
        <v>351</v>
      </c>
      <c r="E323" s="197">
        <v>73690.444444444438</v>
      </c>
      <c r="F323" s="147">
        <f t="shared" si="134"/>
        <v>65234</v>
      </c>
      <c r="G323" s="342">
        <v>240</v>
      </c>
      <c r="H323" s="149">
        <f t="shared" si="119"/>
        <v>870</v>
      </c>
      <c r="I323" s="346">
        <v>714.68266666666682</v>
      </c>
      <c r="J323" s="150">
        <v>123</v>
      </c>
      <c r="K323"/>
      <c r="L323" s="151">
        <v>1858</v>
      </c>
      <c r="M323" s="151">
        <v>3512</v>
      </c>
      <c r="N323" s="151">
        <v>10178</v>
      </c>
      <c r="O323" s="151">
        <v>18306</v>
      </c>
      <c r="P323" s="151">
        <v>14962</v>
      </c>
      <c r="Q323" s="151">
        <v>9776</v>
      </c>
      <c r="R323" s="151">
        <v>6155</v>
      </c>
      <c r="S323" s="151">
        <v>487</v>
      </c>
      <c r="T323" s="151">
        <v>65234</v>
      </c>
      <c r="U323" s="147"/>
      <c r="V323" s="152">
        <f t="shared" si="135"/>
        <v>2.8482079896986236E-2</v>
      </c>
      <c r="W323" s="152">
        <f t="shared" si="120"/>
        <v>5.3836956188490666E-2</v>
      </c>
      <c r="X323" s="152">
        <f t="shared" si="121"/>
        <v>0.1560229328264402</v>
      </c>
      <c r="Y323" s="152">
        <f t="shared" si="122"/>
        <v>0.28062053530367598</v>
      </c>
      <c r="Z323" s="152">
        <f t="shared" si="123"/>
        <v>0.22935892326087623</v>
      </c>
      <c r="AA323" s="152">
        <f t="shared" si="124"/>
        <v>0.14986050219210842</v>
      </c>
      <c r="AB323" s="152">
        <f t="shared" si="125"/>
        <v>9.4352638194806396E-2</v>
      </c>
      <c r="AC323" s="152">
        <f t="shared" si="126"/>
        <v>7.465432136615875E-3</v>
      </c>
      <c r="AD323" s="152"/>
      <c r="AE323" s="221">
        <v>42</v>
      </c>
      <c r="AF323" s="221">
        <v>48</v>
      </c>
      <c r="AG323" s="221">
        <v>107</v>
      </c>
      <c r="AH323" s="221">
        <v>186</v>
      </c>
      <c r="AI323" s="221">
        <v>204</v>
      </c>
      <c r="AJ323" s="221">
        <v>117</v>
      </c>
      <c r="AK323" s="221">
        <v>96</v>
      </c>
      <c r="AL323" s="221">
        <v>5</v>
      </c>
      <c r="AM323" s="221">
        <v>805</v>
      </c>
      <c r="AN323" s="147"/>
      <c r="AO323" s="221">
        <v>4</v>
      </c>
      <c r="AP323" s="221">
        <v>-4</v>
      </c>
      <c r="AQ323" s="221">
        <v>-24</v>
      </c>
      <c r="AR323" s="221">
        <v>-17</v>
      </c>
      <c r="AS323" s="221">
        <v>-2</v>
      </c>
      <c r="AT323" s="221">
        <v>-13</v>
      </c>
      <c r="AU323" s="221">
        <v>-10</v>
      </c>
      <c r="AV323" s="221">
        <v>1</v>
      </c>
      <c r="AW323" s="221">
        <v>-65</v>
      </c>
      <c r="AX323" s="56">
        <f t="shared" si="146"/>
        <v>-4</v>
      </c>
      <c r="AY323" s="56">
        <f t="shared" si="146"/>
        <v>4</v>
      </c>
      <c r="AZ323" s="56">
        <f t="shared" si="146"/>
        <v>24</v>
      </c>
      <c r="BA323" s="56">
        <f t="shared" si="146"/>
        <v>17</v>
      </c>
      <c r="BB323" s="56">
        <f t="shared" si="146"/>
        <v>2</v>
      </c>
      <c r="BC323" s="56">
        <f t="shared" si="146"/>
        <v>13</v>
      </c>
      <c r="BD323" s="56">
        <f t="shared" si="145"/>
        <v>10</v>
      </c>
      <c r="BE323" s="56">
        <f t="shared" si="145"/>
        <v>-1</v>
      </c>
      <c r="BF323" s="56">
        <f t="shared" si="145"/>
        <v>65</v>
      </c>
      <c r="BH323">
        <f t="shared" si="127"/>
        <v>1</v>
      </c>
      <c r="BI323">
        <f t="shared" si="136"/>
        <v>0</v>
      </c>
      <c r="BJ323" s="154">
        <v>580965.14</v>
      </c>
      <c r="BK323" s="155">
        <f t="shared" si="128"/>
        <v>580965.14</v>
      </c>
      <c r="BL323" s="156">
        <v>593596.39222222217</v>
      </c>
      <c r="BM323" s="155">
        <f t="shared" si="129"/>
        <v>593596.39222222217</v>
      </c>
      <c r="BN323" s="158">
        <v>575216.89555555559</v>
      </c>
      <c r="BO323" s="155">
        <f t="shared" si="130"/>
        <v>575216.89555555559</v>
      </c>
      <c r="BP323" s="158">
        <v>980442.53333333309</v>
      </c>
      <c r="BQ323" s="155">
        <f t="shared" si="131"/>
        <v>980442.53333333309</v>
      </c>
      <c r="BR323" s="158">
        <v>696107.47555555566</v>
      </c>
      <c r="BS323" s="155">
        <f t="shared" si="132"/>
        <v>696107.47555555566</v>
      </c>
      <c r="BT323" s="194">
        <v>1337828.8</v>
      </c>
      <c r="BU323" s="194"/>
      <c r="BV323" s="348">
        <f t="shared" si="137"/>
        <v>1337828.8</v>
      </c>
      <c r="BW323" s="195">
        <f t="shared" si="133"/>
        <v>1587055.8444444446</v>
      </c>
      <c r="BX323" s="157" t="str">
        <f t="shared" si="138"/>
        <v>0</v>
      </c>
      <c r="BY323" s="157">
        <f>IF(E323*$CJ$10*'Year 7 Payments'!$L$20*IF(B323="",1,0.8)&lt;=(BW323-(J323*350)),E323*$CJ$10*'Year 7 Payments'!$L$20*IF(B323="",1,0.8),BW323-(IF(B323="",1,0.8)*J323*350))</f>
        <v>450855.82481777773</v>
      </c>
      <c r="BZ323" s="157" t="str">
        <f t="shared" si="139"/>
        <v>0</v>
      </c>
      <c r="CA323" s="157">
        <f t="shared" si="140"/>
        <v>1136200.0196266668</v>
      </c>
      <c r="CB323" s="157">
        <f t="shared" si="141"/>
        <v>0</v>
      </c>
      <c r="CC323" s="157">
        <f t="shared" si="142"/>
        <v>4544800.0785066672</v>
      </c>
      <c r="CD323" s="201">
        <f t="shared" si="143"/>
        <v>0</v>
      </c>
      <c r="CE323" s="155">
        <f t="shared" si="144"/>
        <v>1136200.0196266668</v>
      </c>
    </row>
    <row r="324" spans="1:83" x14ac:dyDescent="0.2">
      <c r="A324" s="147" t="s">
        <v>795</v>
      </c>
      <c r="B324" s="57"/>
      <c r="C324" s="57" t="s">
        <v>476</v>
      </c>
      <c r="D324" s="148" t="s">
        <v>352</v>
      </c>
      <c r="E324" s="197">
        <v>83088.111111111124</v>
      </c>
      <c r="F324" s="147">
        <f t="shared" si="134"/>
        <v>108471</v>
      </c>
      <c r="G324" s="342">
        <v>1232</v>
      </c>
      <c r="H324" s="149">
        <f t="shared" si="119"/>
        <v>957</v>
      </c>
      <c r="I324" s="346">
        <v>484.86977777777787</v>
      </c>
      <c r="J324" s="150">
        <v>48</v>
      </c>
      <c r="K324"/>
      <c r="L324" s="151">
        <v>56004</v>
      </c>
      <c r="M324" s="151">
        <v>23814</v>
      </c>
      <c r="N324" s="151">
        <v>16328</v>
      </c>
      <c r="O324" s="151">
        <v>6611</v>
      </c>
      <c r="P324" s="151">
        <v>2941</v>
      </c>
      <c r="Q324" s="151">
        <v>1686</v>
      </c>
      <c r="R324" s="151">
        <v>968</v>
      </c>
      <c r="S324" s="151">
        <v>119</v>
      </c>
      <c r="T324" s="151">
        <v>108471</v>
      </c>
      <c r="U324" s="147"/>
      <c r="V324" s="152">
        <f t="shared" si="135"/>
        <v>0.51630389689410072</v>
      </c>
      <c r="W324" s="152">
        <f t="shared" si="120"/>
        <v>0.21954255054346322</v>
      </c>
      <c r="X324" s="152">
        <f t="shared" si="121"/>
        <v>0.15052871274349827</v>
      </c>
      <c r="Y324" s="152">
        <f t="shared" si="122"/>
        <v>6.0947165601865937E-2</v>
      </c>
      <c r="Z324" s="152">
        <f t="shared" si="123"/>
        <v>2.7113237639553429E-2</v>
      </c>
      <c r="AA324" s="152">
        <f t="shared" si="124"/>
        <v>1.5543324943994248E-2</v>
      </c>
      <c r="AB324" s="152">
        <f t="shared" si="125"/>
        <v>8.9240442145826996E-3</v>
      </c>
      <c r="AC324" s="152">
        <f t="shared" si="126"/>
        <v>1.0970674189414683E-3</v>
      </c>
      <c r="AD324" s="152"/>
      <c r="AE324" s="221">
        <v>144</v>
      </c>
      <c r="AF324" s="221">
        <v>178</v>
      </c>
      <c r="AG324" s="221">
        <v>161</v>
      </c>
      <c r="AH324" s="221">
        <v>118</v>
      </c>
      <c r="AI324" s="221">
        <v>31</v>
      </c>
      <c r="AJ324" s="221">
        <v>4</v>
      </c>
      <c r="AK324" s="221">
        <v>34</v>
      </c>
      <c r="AL324" s="221">
        <v>1</v>
      </c>
      <c r="AM324" s="221">
        <v>671</v>
      </c>
      <c r="AN324" s="147"/>
      <c r="AO324" s="221">
        <v>-150</v>
      </c>
      <c r="AP324" s="221">
        <v>-55</v>
      </c>
      <c r="AQ324" s="221">
        <v>-51</v>
      </c>
      <c r="AR324" s="221">
        <v>-23</v>
      </c>
      <c r="AS324" s="221">
        <v>-4</v>
      </c>
      <c r="AT324" s="221">
        <v>-6</v>
      </c>
      <c r="AU324" s="221">
        <v>2</v>
      </c>
      <c r="AV324" s="221">
        <v>1</v>
      </c>
      <c r="AW324" s="221">
        <v>-286</v>
      </c>
      <c r="AX324" s="56">
        <f t="shared" si="146"/>
        <v>150</v>
      </c>
      <c r="AY324" s="56">
        <f t="shared" si="146"/>
        <v>55</v>
      </c>
      <c r="AZ324" s="56">
        <f t="shared" si="146"/>
        <v>51</v>
      </c>
      <c r="BA324" s="56">
        <f t="shared" si="146"/>
        <v>23</v>
      </c>
      <c r="BB324" s="56">
        <f t="shared" si="146"/>
        <v>4</v>
      </c>
      <c r="BC324" s="56">
        <f t="shared" si="146"/>
        <v>6</v>
      </c>
      <c r="BD324" s="56">
        <f t="shared" si="145"/>
        <v>-2</v>
      </c>
      <c r="BE324" s="56">
        <f t="shared" si="145"/>
        <v>-1</v>
      </c>
      <c r="BF324" s="56">
        <f t="shared" si="145"/>
        <v>286</v>
      </c>
      <c r="BH324">
        <f t="shared" si="127"/>
        <v>1</v>
      </c>
      <c r="BI324">
        <f t="shared" si="136"/>
        <v>0</v>
      </c>
      <c r="BJ324" s="154">
        <v>443759.5</v>
      </c>
      <c r="BK324" s="155">
        <f t="shared" si="128"/>
        <v>443759.5</v>
      </c>
      <c r="BL324" s="156">
        <v>767053.95777777769</v>
      </c>
      <c r="BM324" s="155">
        <f t="shared" si="129"/>
        <v>767053.95777777769</v>
      </c>
      <c r="BN324" s="158">
        <v>371818.25555555563</v>
      </c>
      <c r="BO324" s="155">
        <f t="shared" si="130"/>
        <v>371818.25555555563</v>
      </c>
      <c r="BP324" s="158">
        <v>744944.79999999993</v>
      </c>
      <c r="BQ324" s="155">
        <f t="shared" si="131"/>
        <v>744944.79999999993</v>
      </c>
      <c r="BR324" s="158">
        <v>875710.77777777775</v>
      </c>
      <c r="BS324" s="155">
        <f t="shared" si="132"/>
        <v>875710.77777777775</v>
      </c>
      <c r="BT324" s="194">
        <v>753467.75777777785</v>
      </c>
      <c r="BU324" s="194"/>
      <c r="BV324" s="348">
        <f t="shared" si="137"/>
        <v>753467.75777777785</v>
      </c>
      <c r="BW324" s="195">
        <f t="shared" si="133"/>
        <v>1266790.4222222222</v>
      </c>
      <c r="BX324" s="157" t="str">
        <f t="shared" si="138"/>
        <v>0</v>
      </c>
      <c r="BY324" s="157">
        <f>IF(E324*$CJ$10*'Year 7 Payments'!$L$20*IF(B324="",1,0.8)&lt;=(BW324-(J324*350)),E324*$CJ$10*'Year 7 Payments'!$L$20*IF(B324="",1,0.8),BW324-(IF(B324="",1,0.8)*J324*350))</f>
        <v>508353.00492444448</v>
      </c>
      <c r="BZ324" s="157" t="str">
        <f t="shared" si="139"/>
        <v>0</v>
      </c>
      <c r="CA324" s="157">
        <f t="shared" si="140"/>
        <v>758437.41729777772</v>
      </c>
      <c r="CB324" s="157">
        <f t="shared" si="141"/>
        <v>0</v>
      </c>
      <c r="CC324" s="157">
        <f t="shared" si="142"/>
        <v>3033749.6691911109</v>
      </c>
      <c r="CD324" s="201">
        <f t="shared" si="143"/>
        <v>0</v>
      </c>
      <c r="CE324" s="155">
        <f t="shared" si="144"/>
        <v>758437.41729777772</v>
      </c>
    </row>
    <row r="325" spans="1:83" x14ac:dyDescent="0.2">
      <c r="A325" s="147" t="s">
        <v>796</v>
      </c>
      <c r="B325" s="57" t="s">
        <v>498</v>
      </c>
      <c r="C325" s="57" t="s">
        <v>476</v>
      </c>
      <c r="D325" s="148" t="s">
        <v>353</v>
      </c>
      <c r="E325" s="197">
        <v>38760.222222222226</v>
      </c>
      <c r="F325" s="147">
        <f t="shared" si="134"/>
        <v>45393</v>
      </c>
      <c r="G325" s="342">
        <v>426</v>
      </c>
      <c r="H325" s="149">
        <f t="shared" si="119"/>
        <v>615</v>
      </c>
      <c r="I325" s="346">
        <v>387.9591111111111</v>
      </c>
      <c r="J325" s="150">
        <v>22</v>
      </c>
      <c r="K325"/>
      <c r="L325" s="151">
        <v>8387</v>
      </c>
      <c r="M325" s="151">
        <v>14979</v>
      </c>
      <c r="N325" s="151">
        <v>11404</v>
      </c>
      <c r="O325" s="151">
        <v>5437</v>
      </c>
      <c r="P325" s="151">
        <v>3345</v>
      </c>
      <c r="Q325" s="151">
        <v>1425</v>
      </c>
      <c r="R325" s="151">
        <v>403</v>
      </c>
      <c r="S325" s="151">
        <v>13</v>
      </c>
      <c r="T325" s="151">
        <v>45393</v>
      </c>
      <c r="U325" s="147"/>
      <c r="V325" s="152">
        <f t="shared" si="135"/>
        <v>0.18476417068711035</v>
      </c>
      <c r="W325" s="152">
        <f t="shared" si="120"/>
        <v>0.32998479941841252</v>
      </c>
      <c r="X325" s="152">
        <f t="shared" si="121"/>
        <v>0.25122816293261074</v>
      </c>
      <c r="Y325" s="152">
        <f t="shared" si="122"/>
        <v>0.11977617694358161</v>
      </c>
      <c r="Z325" s="152">
        <f t="shared" si="123"/>
        <v>7.3689775956645304E-2</v>
      </c>
      <c r="AA325" s="152">
        <f t="shared" si="124"/>
        <v>3.1392505452382528E-2</v>
      </c>
      <c r="AB325" s="152">
        <f t="shared" si="125"/>
        <v>8.8780208402176545E-3</v>
      </c>
      <c r="AC325" s="152">
        <f t="shared" si="126"/>
        <v>2.8638776903927918E-4</v>
      </c>
      <c r="AD325" s="152"/>
      <c r="AE325" s="221">
        <v>149</v>
      </c>
      <c r="AF325" s="221">
        <v>188</v>
      </c>
      <c r="AG325" s="221">
        <v>145</v>
      </c>
      <c r="AH325" s="221">
        <v>108</v>
      </c>
      <c r="AI325" s="221">
        <v>57</v>
      </c>
      <c r="AJ325" s="221">
        <v>20</v>
      </c>
      <c r="AK325" s="221">
        <v>3</v>
      </c>
      <c r="AL325" s="221">
        <v>0</v>
      </c>
      <c r="AM325" s="221">
        <v>670</v>
      </c>
      <c r="AN325" s="147"/>
      <c r="AO325" s="221">
        <v>28</v>
      </c>
      <c r="AP325" s="221">
        <v>-11</v>
      </c>
      <c r="AQ325" s="221">
        <v>26</v>
      </c>
      <c r="AR325" s="221">
        <v>15</v>
      </c>
      <c r="AS325" s="221">
        <v>3</v>
      </c>
      <c r="AT325" s="221">
        <v>-5</v>
      </c>
      <c r="AU325" s="221">
        <v>-1</v>
      </c>
      <c r="AV325" s="221">
        <v>0</v>
      </c>
      <c r="AW325" s="221">
        <v>55</v>
      </c>
      <c r="AX325" s="56">
        <f t="shared" si="146"/>
        <v>-28</v>
      </c>
      <c r="AY325" s="56">
        <f t="shared" si="146"/>
        <v>11</v>
      </c>
      <c r="AZ325" s="56">
        <f t="shared" si="146"/>
        <v>-26</v>
      </c>
      <c r="BA325" s="56">
        <f t="shared" si="146"/>
        <v>-15</v>
      </c>
      <c r="BB325" s="56">
        <f t="shared" si="146"/>
        <v>-3</v>
      </c>
      <c r="BC325" s="56">
        <f t="shared" si="146"/>
        <v>5</v>
      </c>
      <c r="BD325" s="56">
        <f t="shared" si="145"/>
        <v>1</v>
      </c>
      <c r="BE325" s="56">
        <f t="shared" si="145"/>
        <v>0</v>
      </c>
      <c r="BF325" s="56">
        <f t="shared" si="145"/>
        <v>-55</v>
      </c>
      <c r="BH325">
        <f t="shared" si="127"/>
        <v>0.8</v>
      </c>
      <c r="BI325">
        <f t="shared" si="136"/>
        <v>0.19999999999999996</v>
      </c>
      <c r="BJ325" s="154">
        <v>406307.79733333341</v>
      </c>
      <c r="BK325" s="155">
        <f t="shared" si="128"/>
        <v>406307.79733333341</v>
      </c>
      <c r="BL325" s="156">
        <v>270006.7448888889</v>
      </c>
      <c r="BM325" s="155">
        <f t="shared" si="129"/>
        <v>270006.7448888889</v>
      </c>
      <c r="BN325" s="158">
        <v>369434.06044444442</v>
      </c>
      <c r="BO325" s="155">
        <f t="shared" si="130"/>
        <v>369434.06044444442</v>
      </c>
      <c r="BP325" s="158">
        <v>435590.18666666665</v>
      </c>
      <c r="BQ325" s="155">
        <f t="shared" si="131"/>
        <v>435590.18666666665</v>
      </c>
      <c r="BR325" s="158">
        <v>284986.37155555555</v>
      </c>
      <c r="BS325" s="155">
        <f t="shared" si="132"/>
        <v>284986.37155555555</v>
      </c>
      <c r="BT325" s="194">
        <v>610806.9457777777</v>
      </c>
      <c r="BU325" s="194"/>
      <c r="BV325" s="348">
        <f t="shared" si="137"/>
        <v>610806.9457777777</v>
      </c>
      <c r="BW325" s="195">
        <f t="shared" si="133"/>
        <v>670600.86400000006</v>
      </c>
      <c r="BX325" s="157">
        <f t="shared" si="138"/>
        <v>167650.21600000001</v>
      </c>
      <c r="BY325" s="157">
        <f>IF(E325*$CJ$10*'Year 7 Payments'!$L$20*IF(B325="",1,0.8)&lt;=(BW325-(J325*350)),E325*$CJ$10*'Year 7 Payments'!$L$20*IF(B325="",1,0.8),BW325-(IF(B325="",1,0.8)*J325*350))</f>
        <v>189715.47360711114</v>
      </c>
      <c r="BZ325" s="157">
        <f t="shared" si="139"/>
        <v>47428.868401777785</v>
      </c>
      <c r="CA325" s="157">
        <f t="shared" si="140"/>
        <v>480885.39039288892</v>
      </c>
      <c r="CB325" s="157">
        <f t="shared" si="141"/>
        <v>120221.34759822223</v>
      </c>
      <c r="CC325" s="157">
        <f t="shared" si="142"/>
        <v>1923541.5615715557</v>
      </c>
      <c r="CD325" s="201">
        <f t="shared" si="143"/>
        <v>480885.39039288892</v>
      </c>
      <c r="CE325" s="155">
        <f t="shared" si="144"/>
        <v>480885.39039288892</v>
      </c>
    </row>
    <row r="326" spans="1:83" x14ac:dyDescent="0.2">
      <c r="A326" s="147" t="s">
        <v>797</v>
      </c>
      <c r="B326" s="57" t="s">
        <v>442</v>
      </c>
      <c r="C326" s="57" t="s">
        <v>443</v>
      </c>
      <c r="D326" s="148" t="s">
        <v>354</v>
      </c>
      <c r="E326" s="197">
        <v>45199.888888888883</v>
      </c>
      <c r="F326" s="147">
        <f t="shared" si="134"/>
        <v>49500</v>
      </c>
      <c r="G326" s="342">
        <v>369</v>
      </c>
      <c r="H326" s="149">
        <f t="shared" ref="H326:H331" si="147">AM326+BF326</f>
        <v>409</v>
      </c>
      <c r="I326" s="346">
        <v>188.64488888888891</v>
      </c>
      <c r="J326" s="150">
        <v>12</v>
      </c>
      <c r="K326"/>
      <c r="L326" s="151">
        <v>7733</v>
      </c>
      <c r="M326" s="151">
        <v>11097</v>
      </c>
      <c r="N326" s="151">
        <v>12803</v>
      </c>
      <c r="O326" s="151">
        <v>9247</v>
      </c>
      <c r="P326" s="151">
        <v>5371</v>
      </c>
      <c r="Q326" s="151">
        <v>2332</v>
      </c>
      <c r="R326" s="151">
        <v>892</v>
      </c>
      <c r="S326" s="151">
        <v>25</v>
      </c>
      <c r="T326" s="151">
        <v>49500</v>
      </c>
      <c r="U326" s="147"/>
      <c r="V326" s="152">
        <f t="shared" si="135"/>
        <v>0.15622222222222223</v>
      </c>
      <c r="W326" s="152">
        <f t="shared" ref="W326:W331" si="148">M326/T326</f>
        <v>0.22418181818181818</v>
      </c>
      <c r="X326" s="152">
        <f t="shared" ref="X326:X331" si="149">N326/T326</f>
        <v>0.25864646464646462</v>
      </c>
      <c r="Y326" s="152">
        <f t="shared" ref="Y326:Y331" si="150">O326/T326</f>
        <v>0.18680808080808081</v>
      </c>
      <c r="Z326" s="152">
        <f t="shared" ref="Z326:Z331" si="151">P326/T326</f>
        <v>0.10850505050505051</v>
      </c>
      <c r="AA326" s="152">
        <f t="shared" ref="AA326:AA331" si="152">Q326/T326</f>
        <v>4.7111111111111111E-2</v>
      </c>
      <c r="AB326" s="152">
        <f t="shared" ref="AB326:AB331" si="153">R326/T326</f>
        <v>1.802020202020202E-2</v>
      </c>
      <c r="AC326" s="152">
        <f t="shared" ref="AC326:AC331" si="154">S326/T326</f>
        <v>5.0505050505050505E-4</v>
      </c>
      <c r="AD326" s="152"/>
      <c r="AE326" s="221">
        <v>140</v>
      </c>
      <c r="AF326" s="221">
        <v>77</v>
      </c>
      <c r="AG326" s="221">
        <v>30</v>
      </c>
      <c r="AH326" s="221">
        <v>133</v>
      </c>
      <c r="AI326" s="221">
        <v>46</v>
      </c>
      <c r="AJ326" s="221">
        <v>14</v>
      </c>
      <c r="AK326" s="221">
        <v>4</v>
      </c>
      <c r="AL326" s="221">
        <v>0</v>
      </c>
      <c r="AM326" s="221">
        <v>444</v>
      </c>
      <c r="AN326" s="147"/>
      <c r="AO326" s="221">
        <v>19</v>
      </c>
      <c r="AP326" s="221">
        <v>-4</v>
      </c>
      <c r="AQ326" s="221">
        <v>9</v>
      </c>
      <c r="AR326" s="221">
        <v>12</v>
      </c>
      <c r="AS326" s="221">
        <v>5</v>
      </c>
      <c r="AT326" s="221">
        <v>-4</v>
      </c>
      <c r="AU326" s="221">
        <v>-2</v>
      </c>
      <c r="AV326" s="221">
        <v>0</v>
      </c>
      <c r="AW326" s="221">
        <v>35</v>
      </c>
      <c r="AX326" s="56">
        <f t="shared" si="146"/>
        <v>-19</v>
      </c>
      <c r="AY326" s="56">
        <f t="shared" si="146"/>
        <v>4</v>
      </c>
      <c r="AZ326" s="56">
        <f t="shared" si="146"/>
        <v>-9</v>
      </c>
      <c r="BA326" s="56">
        <f t="shared" si="146"/>
        <v>-12</v>
      </c>
      <c r="BB326" s="56">
        <f t="shared" si="146"/>
        <v>-5</v>
      </c>
      <c r="BC326" s="56">
        <f t="shared" si="146"/>
        <v>4</v>
      </c>
      <c r="BD326" s="56">
        <f t="shared" si="145"/>
        <v>2</v>
      </c>
      <c r="BE326" s="56">
        <f t="shared" si="145"/>
        <v>0</v>
      </c>
      <c r="BF326" s="56">
        <f t="shared" si="145"/>
        <v>-35</v>
      </c>
      <c r="BH326">
        <f t="shared" ref="BH326:BH331" si="155">IF(B326="",1,0.8)</f>
        <v>0.8</v>
      </c>
      <c r="BI326">
        <f t="shared" si="136"/>
        <v>0.19999999999999996</v>
      </c>
      <c r="BJ326" s="154">
        <v>273131.97333333333</v>
      </c>
      <c r="BK326" s="155">
        <f t="shared" ref="BK326:BK331" si="156">BJ326</f>
        <v>273131.97333333333</v>
      </c>
      <c r="BL326" s="156">
        <v>172268.5831111111</v>
      </c>
      <c r="BM326" s="155">
        <f t="shared" ref="BM326:BM331" si="157">BL326</f>
        <v>172268.5831111111</v>
      </c>
      <c r="BN326" s="158">
        <v>219938.58222222223</v>
      </c>
      <c r="BO326" s="155">
        <f t="shared" ref="BO326:BO331" si="158">BN326</f>
        <v>219938.58222222223</v>
      </c>
      <c r="BP326" s="158">
        <v>169737.06666666665</v>
      </c>
      <c r="BQ326" s="155">
        <f t="shared" ref="BQ326:BQ331" si="159">BP326</f>
        <v>169737.06666666665</v>
      </c>
      <c r="BR326" s="158">
        <v>245786.02666666673</v>
      </c>
      <c r="BS326" s="155">
        <f t="shared" ref="BS326:BS331" si="160">BR326</f>
        <v>245786.02666666673</v>
      </c>
      <c r="BT326" s="194">
        <v>518576.01600000006</v>
      </c>
      <c r="BU326" s="194"/>
      <c r="BV326" s="348">
        <f t="shared" si="137"/>
        <v>518576.01600000006</v>
      </c>
      <c r="BW326" s="195">
        <f t="shared" ref="BW326:BW331" si="161">IF(B326="",1,0.8)*(IF(SUMPRODUCT($CG$10:$CN$10,AE326:AL326)+SUMPRODUCT($CG$10:$CN$10,AX326:BE326)&gt;0,SUMPRODUCT($CG$10:$CN$10,AE326:AL326)+SUMPRODUCT($CG$10:$CN$10,AX326:BE326),0)+J326*350)</f>
        <v>455429.95555555553</v>
      </c>
      <c r="BX326" s="157">
        <f t="shared" si="138"/>
        <v>113857.48888888888</v>
      </c>
      <c r="BY326" s="157">
        <f>IF(E326*$CJ$10*'Year 7 Payments'!$L$20*IF(B326="",1,0.8)&lt;=(BW326-(J326*350)),E326*$CJ$10*'Year 7 Payments'!$L$20*IF(B326="",1,0.8),BW326-(IF(B326="",1,0.8)*J326*350))</f>
        <v>221235.0145564444</v>
      </c>
      <c r="BZ326" s="157">
        <f t="shared" si="139"/>
        <v>55308.753639111099</v>
      </c>
      <c r="CA326" s="157">
        <f t="shared" si="140"/>
        <v>234194.94099911113</v>
      </c>
      <c r="CB326" s="157">
        <f t="shared" si="141"/>
        <v>58548.735249777783</v>
      </c>
      <c r="CC326" s="157">
        <f t="shared" si="142"/>
        <v>936779.76399644453</v>
      </c>
      <c r="CD326" s="201">
        <f t="shared" si="143"/>
        <v>234194.94099911113</v>
      </c>
      <c r="CE326" s="155">
        <f t="shared" si="144"/>
        <v>234194.94099911113</v>
      </c>
    </row>
    <row r="327" spans="1:83" x14ac:dyDescent="0.2">
      <c r="A327" s="147" t="s">
        <v>798</v>
      </c>
      <c r="B327" s="57" t="s">
        <v>498</v>
      </c>
      <c r="C327" s="57" t="s">
        <v>476</v>
      </c>
      <c r="D327" s="148" t="s">
        <v>355</v>
      </c>
      <c r="E327" s="197">
        <v>54875</v>
      </c>
      <c r="F327" s="147">
        <f t="shared" ref="F327:F359" si="162">T327</f>
        <v>55089</v>
      </c>
      <c r="G327" s="342">
        <v>391</v>
      </c>
      <c r="H327" s="149">
        <f t="shared" si="147"/>
        <v>960</v>
      </c>
      <c r="I327" s="346">
        <v>842.05555555555566</v>
      </c>
      <c r="J327" s="150">
        <v>14</v>
      </c>
      <c r="K327"/>
      <c r="L327" s="151">
        <v>6311</v>
      </c>
      <c r="M327" s="151">
        <v>11124</v>
      </c>
      <c r="N327" s="151">
        <v>12527</v>
      </c>
      <c r="O327" s="151">
        <v>7775</v>
      </c>
      <c r="P327" s="151">
        <v>6954</v>
      </c>
      <c r="Q327" s="151">
        <v>6020</v>
      </c>
      <c r="R327" s="151">
        <v>4163</v>
      </c>
      <c r="S327" s="151">
        <v>215</v>
      </c>
      <c r="T327" s="151">
        <v>55089</v>
      </c>
      <c r="U327" s="147"/>
      <c r="V327" s="152">
        <f t="shared" ref="V327:V331" si="163">L327/T327</f>
        <v>0.11456007551416798</v>
      </c>
      <c r="W327" s="152">
        <f t="shared" si="148"/>
        <v>0.20192778957686652</v>
      </c>
      <c r="X327" s="152">
        <f t="shared" si="149"/>
        <v>0.22739566882680753</v>
      </c>
      <c r="Y327" s="152">
        <f t="shared" si="150"/>
        <v>0.14113525386193251</v>
      </c>
      <c r="Z327" s="152">
        <f t="shared" si="151"/>
        <v>0.12623209715188149</v>
      </c>
      <c r="AA327" s="152">
        <f t="shared" si="152"/>
        <v>0.10927771424422299</v>
      </c>
      <c r="AB327" s="152">
        <f t="shared" si="153"/>
        <v>7.5568625315398721E-2</v>
      </c>
      <c r="AC327" s="152">
        <f t="shared" si="154"/>
        <v>3.9027755087222495E-3</v>
      </c>
      <c r="AD327" s="152"/>
      <c r="AE327" s="221">
        <v>57</v>
      </c>
      <c r="AF327" s="221">
        <v>85</v>
      </c>
      <c r="AG327" s="221">
        <v>315</v>
      </c>
      <c r="AH327" s="221">
        <v>70</v>
      </c>
      <c r="AI327" s="221">
        <v>110</v>
      </c>
      <c r="AJ327" s="221">
        <v>203</v>
      </c>
      <c r="AK327" s="221">
        <v>109</v>
      </c>
      <c r="AL327" s="221">
        <v>-1</v>
      </c>
      <c r="AM327" s="221">
        <v>948</v>
      </c>
      <c r="AN327" s="147"/>
      <c r="AO327" s="221">
        <v>1</v>
      </c>
      <c r="AP327" s="221">
        <v>-14</v>
      </c>
      <c r="AQ327" s="221">
        <v>-17</v>
      </c>
      <c r="AR327" s="221">
        <v>12</v>
      </c>
      <c r="AS327" s="221">
        <v>-14</v>
      </c>
      <c r="AT327" s="221">
        <v>12</v>
      </c>
      <c r="AU327" s="221">
        <v>9</v>
      </c>
      <c r="AV327" s="221">
        <v>-1</v>
      </c>
      <c r="AW327" s="221">
        <v>-12</v>
      </c>
      <c r="AX327" s="56">
        <f t="shared" si="146"/>
        <v>-1</v>
      </c>
      <c r="AY327" s="56">
        <f t="shared" si="146"/>
        <v>14</v>
      </c>
      <c r="AZ327" s="56">
        <f t="shared" si="146"/>
        <v>17</v>
      </c>
      <c r="BA327" s="56">
        <f t="shared" si="146"/>
        <v>-12</v>
      </c>
      <c r="BB327" s="56">
        <f t="shared" si="146"/>
        <v>14</v>
      </c>
      <c r="BC327" s="56">
        <f t="shared" si="146"/>
        <v>-12</v>
      </c>
      <c r="BD327" s="56">
        <f t="shared" si="145"/>
        <v>-9</v>
      </c>
      <c r="BE327" s="56">
        <f t="shared" si="145"/>
        <v>1</v>
      </c>
      <c r="BF327" s="56">
        <f t="shared" si="145"/>
        <v>12</v>
      </c>
      <c r="BH327">
        <f t="shared" si="155"/>
        <v>0.8</v>
      </c>
      <c r="BI327">
        <f t="shared" ref="BI327:BI331" si="164">1-BH327</f>
        <v>0.19999999999999996</v>
      </c>
      <c r="BJ327" s="154">
        <v>361276.20266666671</v>
      </c>
      <c r="BK327" s="155">
        <f t="shared" si="156"/>
        <v>361276.20266666671</v>
      </c>
      <c r="BL327" s="156">
        <v>437941.13422222214</v>
      </c>
      <c r="BM327" s="155">
        <f t="shared" si="157"/>
        <v>437941.13422222214</v>
      </c>
      <c r="BN327" s="158">
        <v>461532.65955555561</v>
      </c>
      <c r="BO327" s="155">
        <f t="shared" si="158"/>
        <v>461532.65955555561</v>
      </c>
      <c r="BP327" s="158">
        <v>676984.21333333338</v>
      </c>
      <c r="BQ327" s="155">
        <f t="shared" si="159"/>
        <v>676984.21333333338</v>
      </c>
      <c r="BR327" s="158">
        <v>970570.17777777789</v>
      </c>
      <c r="BS327" s="155">
        <f t="shared" si="160"/>
        <v>970570.17777777789</v>
      </c>
      <c r="BT327" s="194">
        <v>1167658.3146666668</v>
      </c>
      <c r="BU327" s="194"/>
      <c r="BV327" s="348">
        <f t="shared" ref="BV327:BV359" si="165">BT327+BU327</f>
        <v>1167658.3146666668</v>
      </c>
      <c r="BW327" s="195">
        <f t="shared" si="161"/>
        <v>1302890.3324444443</v>
      </c>
      <c r="BX327" s="157">
        <f t="shared" ref="BX327:BX331" si="166">IF($B327="","0",(25%*BW327))</f>
        <v>325722.58311111107</v>
      </c>
      <c r="BY327" s="157">
        <f>IF(E327*$CJ$10*'Year 7 Payments'!$L$20*IF(B327="",1,0.8)&lt;=(BW327-(J327*350)),E327*$CJ$10*'Year 7 Payments'!$L$20*IF(B327="",1,0.8),BW327-(IF(B327="",1,0.8)*J327*350))</f>
        <v>268590.73599999998</v>
      </c>
      <c r="BZ327" s="157">
        <f t="shared" ref="BZ327:BZ331" si="167">IF($B327="","0",(25%*BY327))</f>
        <v>67147.683999999994</v>
      </c>
      <c r="CA327" s="157">
        <f t="shared" ref="CA327:CA331" si="168">BW327-BY327</f>
        <v>1034299.5964444443</v>
      </c>
      <c r="CB327" s="157">
        <f t="shared" ref="CB327:CB331" si="169">BX327-BZ327</f>
        <v>258574.89911111107</v>
      </c>
      <c r="CC327" s="157">
        <f t="shared" ref="CC327:CC331" si="170">CA327*4</f>
        <v>4137198.3857777771</v>
      </c>
      <c r="CD327" s="201">
        <f t="shared" ref="CD327:CD331" si="171">CB327*4</f>
        <v>1034299.5964444443</v>
      </c>
      <c r="CE327" s="155">
        <f t="shared" ref="CE327:CE331" si="172">CA327</f>
        <v>1034299.5964444443</v>
      </c>
    </row>
    <row r="328" spans="1:83" x14ac:dyDescent="0.2">
      <c r="A328" s="147" t="s">
        <v>799</v>
      </c>
      <c r="B328" s="57" t="s">
        <v>456</v>
      </c>
      <c r="C328" s="57" t="s">
        <v>443</v>
      </c>
      <c r="D328" s="148" t="s">
        <v>356</v>
      </c>
      <c r="E328" s="197">
        <v>78494.666666666657</v>
      </c>
      <c r="F328" s="147">
        <f t="shared" si="162"/>
        <v>71582</v>
      </c>
      <c r="G328" s="342">
        <v>512</v>
      </c>
      <c r="H328" s="149">
        <f t="shared" si="147"/>
        <v>428</v>
      </c>
      <c r="I328" s="346">
        <v>186.68800000000005</v>
      </c>
      <c r="J328" s="150">
        <v>19</v>
      </c>
      <c r="K328"/>
      <c r="L328" s="151">
        <v>1407</v>
      </c>
      <c r="M328" s="151">
        <v>7718</v>
      </c>
      <c r="N328" s="151">
        <v>17862</v>
      </c>
      <c r="O328" s="151">
        <v>16770</v>
      </c>
      <c r="P328" s="151">
        <v>10932</v>
      </c>
      <c r="Q328" s="151">
        <v>8825</v>
      </c>
      <c r="R328" s="151">
        <v>7030</v>
      </c>
      <c r="S328" s="151">
        <v>1038</v>
      </c>
      <c r="T328" s="151">
        <v>71582</v>
      </c>
      <c r="U328" s="147"/>
      <c r="V328" s="152">
        <f t="shared" si="163"/>
        <v>1.9655779385879132E-2</v>
      </c>
      <c r="W328" s="152">
        <f t="shared" si="148"/>
        <v>0.10782040177698304</v>
      </c>
      <c r="X328" s="152">
        <f t="shared" si="149"/>
        <v>0.24953200525271715</v>
      </c>
      <c r="Y328" s="152">
        <f t="shared" si="150"/>
        <v>0.23427677349054232</v>
      </c>
      <c r="Z328" s="152">
        <f t="shared" si="151"/>
        <v>0.15271995753122294</v>
      </c>
      <c r="AA328" s="152">
        <f t="shared" si="152"/>
        <v>0.12328518342600095</v>
      </c>
      <c r="AB328" s="152">
        <f t="shared" si="153"/>
        <v>9.8209046967114633E-2</v>
      </c>
      <c r="AC328" s="152">
        <f t="shared" si="154"/>
        <v>1.4500852169539828E-2</v>
      </c>
      <c r="AD328" s="152"/>
      <c r="AE328" s="221">
        <v>35</v>
      </c>
      <c r="AF328" s="221">
        <v>74</v>
      </c>
      <c r="AG328" s="221">
        <v>75</v>
      </c>
      <c r="AH328" s="221">
        <v>75</v>
      </c>
      <c r="AI328" s="221">
        <v>81</v>
      </c>
      <c r="AJ328" s="221">
        <v>33</v>
      </c>
      <c r="AK328" s="221">
        <v>85</v>
      </c>
      <c r="AL328" s="221">
        <v>17</v>
      </c>
      <c r="AM328" s="221">
        <v>475</v>
      </c>
      <c r="AN328" s="147"/>
      <c r="AO328" s="221">
        <v>-3</v>
      </c>
      <c r="AP328" s="221">
        <v>31</v>
      </c>
      <c r="AQ328" s="221">
        <v>-2</v>
      </c>
      <c r="AR328" s="221">
        <v>19</v>
      </c>
      <c r="AS328" s="221">
        <v>0</v>
      </c>
      <c r="AT328" s="221">
        <v>-4</v>
      </c>
      <c r="AU328" s="221">
        <v>4</v>
      </c>
      <c r="AV328" s="221">
        <v>2</v>
      </c>
      <c r="AW328" s="221">
        <v>47</v>
      </c>
      <c r="AX328" s="56">
        <f t="shared" si="146"/>
        <v>3</v>
      </c>
      <c r="AY328" s="56">
        <f t="shared" si="146"/>
        <v>-31</v>
      </c>
      <c r="AZ328" s="56">
        <f t="shared" si="146"/>
        <v>2</v>
      </c>
      <c r="BA328" s="56">
        <f t="shared" si="146"/>
        <v>-19</v>
      </c>
      <c r="BB328" s="56">
        <f t="shared" si="146"/>
        <v>0</v>
      </c>
      <c r="BC328" s="56">
        <f t="shared" si="146"/>
        <v>4</v>
      </c>
      <c r="BD328" s="56">
        <f t="shared" si="145"/>
        <v>-4</v>
      </c>
      <c r="BE328" s="56">
        <f t="shared" si="145"/>
        <v>-2</v>
      </c>
      <c r="BF328" s="56">
        <f t="shared" si="145"/>
        <v>-47</v>
      </c>
      <c r="BH328">
        <f t="shared" si="155"/>
        <v>0.8</v>
      </c>
      <c r="BI328">
        <f t="shared" si="164"/>
        <v>0.19999999999999996</v>
      </c>
      <c r="BJ328" s="154">
        <v>484473.43466666667</v>
      </c>
      <c r="BK328" s="155">
        <f t="shared" si="156"/>
        <v>484473.43466666667</v>
      </c>
      <c r="BL328" s="156">
        <v>1100968.2204444446</v>
      </c>
      <c r="BM328" s="155">
        <f t="shared" si="157"/>
        <v>1100968.2204444446</v>
      </c>
      <c r="BN328" s="158">
        <v>637203.800888889</v>
      </c>
      <c r="BO328" s="155">
        <f t="shared" si="158"/>
        <v>637203.800888889</v>
      </c>
      <c r="BP328" s="158">
        <v>584289.92000000004</v>
      </c>
      <c r="BQ328" s="155">
        <f t="shared" si="159"/>
        <v>584289.92000000004</v>
      </c>
      <c r="BR328" s="158">
        <v>453515.77600000001</v>
      </c>
      <c r="BS328" s="155">
        <f t="shared" si="160"/>
        <v>453515.77600000001</v>
      </c>
      <c r="BT328" s="194">
        <v>404635.21777777775</v>
      </c>
      <c r="BU328" s="194"/>
      <c r="BV328" s="348">
        <f t="shared" si="165"/>
        <v>404635.21777777775</v>
      </c>
      <c r="BW328" s="195">
        <f t="shared" si="161"/>
        <v>617959.7653333334</v>
      </c>
      <c r="BX328" s="157">
        <f t="shared" si="166"/>
        <v>154489.94133333335</v>
      </c>
      <c r="BY328" s="157">
        <f>IF(E328*$CJ$10*'Year 7 Payments'!$L$20*IF(B328="",1,0.8)&lt;=(BW328-(J328*350)),E328*$CJ$10*'Year 7 Payments'!$L$20*IF(B328="",1,0.8),BW328-(IF(B328="",1,0.8)*J328*350))</f>
        <v>384199.3675093333</v>
      </c>
      <c r="BZ328" s="157">
        <f t="shared" si="167"/>
        <v>96049.841877333325</v>
      </c>
      <c r="CA328" s="157">
        <f t="shared" si="168"/>
        <v>233760.3978240001</v>
      </c>
      <c r="CB328" s="157">
        <f t="shared" si="169"/>
        <v>58440.099456000025</v>
      </c>
      <c r="CC328" s="157">
        <f t="shared" si="170"/>
        <v>935041.59129600041</v>
      </c>
      <c r="CD328" s="201">
        <f t="shared" si="171"/>
        <v>233760.3978240001</v>
      </c>
      <c r="CE328" s="155">
        <f t="shared" si="172"/>
        <v>233760.3978240001</v>
      </c>
    </row>
    <row r="329" spans="1:83" x14ac:dyDescent="0.2">
      <c r="A329" s="147" t="s">
        <v>800</v>
      </c>
      <c r="B329" s="57" t="s">
        <v>503</v>
      </c>
      <c r="C329" s="57" t="s">
        <v>446</v>
      </c>
      <c r="D329" s="148" t="s">
        <v>357</v>
      </c>
      <c r="E329" s="197">
        <v>45981.888888888891</v>
      </c>
      <c r="F329" s="147">
        <f t="shared" si="162"/>
        <v>51628</v>
      </c>
      <c r="G329" s="342">
        <v>228</v>
      </c>
      <c r="H329" s="149">
        <f t="shared" si="147"/>
        <v>365</v>
      </c>
      <c r="I329" s="346">
        <v>175.18355555555553</v>
      </c>
      <c r="J329" s="150">
        <v>42</v>
      </c>
      <c r="K329"/>
      <c r="L329" s="151">
        <v>11790</v>
      </c>
      <c r="M329" s="151">
        <v>11897</v>
      </c>
      <c r="N329" s="151">
        <v>12350</v>
      </c>
      <c r="O329" s="151">
        <v>7342</v>
      </c>
      <c r="P329" s="151">
        <v>4847</v>
      </c>
      <c r="Q329" s="151">
        <v>2321</v>
      </c>
      <c r="R329" s="151">
        <v>1006</v>
      </c>
      <c r="S329" s="151">
        <v>75</v>
      </c>
      <c r="T329" s="151">
        <v>51628</v>
      </c>
      <c r="U329" s="147"/>
      <c r="V329" s="152">
        <f t="shared" si="163"/>
        <v>0.22836445339738126</v>
      </c>
      <c r="W329" s="152">
        <f t="shared" si="148"/>
        <v>0.23043697218563569</v>
      </c>
      <c r="X329" s="152">
        <f t="shared" si="149"/>
        <v>0.23921128070039513</v>
      </c>
      <c r="Y329" s="152">
        <f t="shared" si="150"/>
        <v>0.14220965367629967</v>
      </c>
      <c r="Z329" s="152">
        <f t="shared" si="151"/>
        <v>9.3883164174478964E-2</v>
      </c>
      <c r="AA329" s="152">
        <f t="shared" si="152"/>
        <v>4.4956225304098554E-2</v>
      </c>
      <c r="AB329" s="152">
        <f t="shared" si="153"/>
        <v>1.948555047648563E-2</v>
      </c>
      <c r="AC329" s="152">
        <f t="shared" si="154"/>
        <v>1.4527000852250717E-3</v>
      </c>
      <c r="AD329" s="152"/>
      <c r="AE329" s="221">
        <v>32</v>
      </c>
      <c r="AF329" s="221">
        <v>67</v>
      </c>
      <c r="AG329" s="221">
        <v>102</v>
      </c>
      <c r="AH329" s="221">
        <v>54</v>
      </c>
      <c r="AI329" s="221">
        <v>81</v>
      </c>
      <c r="AJ329" s="221">
        <v>30</v>
      </c>
      <c r="AK329" s="221">
        <v>-2</v>
      </c>
      <c r="AL329" s="221">
        <v>0</v>
      </c>
      <c r="AM329" s="221">
        <v>364</v>
      </c>
      <c r="AN329" s="147"/>
      <c r="AO329" s="221">
        <v>-6</v>
      </c>
      <c r="AP329" s="221">
        <v>7</v>
      </c>
      <c r="AQ329" s="221">
        <v>-1</v>
      </c>
      <c r="AR329" s="221">
        <v>1</v>
      </c>
      <c r="AS329" s="221">
        <v>2</v>
      </c>
      <c r="AT329" s="221">
        <v>-3</v>
      </c>
      <c r="AU329" s="221">
        <v>-1</v>
      </c>
      <c r="AV329" s="221">
        <v>0</v>
      </c>
      <c r="AW329" s="221">
        <v>-1</v>
      </c>
      <c r="AX329" s="56">
        <f t="shared" si="146"/>
        <v>6</v>
      </c>
      <c r="AY329" s="56">
        <f t="shared" si="146"/>
        <v>-7</v>
      </c>
      <c r="AZ329" s="56">
        <f t="shared" si="146"/>
        <v>1</v>
      </c>
      <c r="BA329" s="56">
        <f t="shared" si="146"/>
        <v>-1</v>
      </c>
      <c r="BB329" s="56">
        <f t="shared" si="146"/>
        <v>-2</v>
      </c>
      <c r="BC329" s="56">
        <f t="shared" si="146"/>
        <v>3</v>
      </c>
      <c r="BD329" s="56">
        <f t="shared" si="145"/>
        <v>1</v>
      </c>
      <c r="BE329" s="56">
        <f t="shared" si="145"/>
        <v>0</v>
      </c>
      <c r="BF329" s="56">
        <f t="shared" si="145"/>
        <v>1</v>
      </c>
      <c r="BH329">
        <f t="shared" si="155"/>
        <v>0.8</v>
      </c>
      <c r="BI329">
        <f t="shared" si="164"/>
        <v>0.19999999999999996</v>
      </c>
      <c r="BJ329" s="154">
        <v>271596.80533333326</v>
      </c>
      <c r="BK329" s="155">
        <f t="shared" si="156"/>
        <v>271596.80533333326</v>
      </c>
      <c r="BL329" s="156">
        <v>147369.52622222222</v>
      </c>
      <c r="BM329" s="155">
        <f t="shared" si="157"/>
        <v>147369.52622222222</v>
      </c>
      <c r="BN329" s="158">
        <v>341191.67466666672</v>
      </c>
      <c r="BO329" s="155">
        <f t="shared" si="158"/>
        <v>341191.67466666672</v>
      </c>
      <c r="BP329" s="158">
        <v>433070.29333333339</v>
      </c>
      <c r="BQ329" s="155">
        <f t="shared" si="159"/>
        <v>433070.29333333339</v>
      </c>
      <c r="BR329" s="158">
        <v>620460.65422222228</v>
      </c>
      <c r="BS329" s="155">
        <f t="shared" si="160"/>
        <v>620460.65422222228</v>
      </c>
      <c r="BT329" s="194">
        <v>482265.67822222208</v>
      </c>
      <c r="BU329" s="194"/>
      <c r="BV329" s="348">
        <f t="shared" si="165"/>
        <v>482265.67822222208</v>
      </c>
      <c r="BW329" s="195">
        <f t="shared" si="161"/>
        <v>451185.59288888884</v>
      </c>
      <c r="BX329" s="157">
        <f t="shared" si="166"/>
        <v>112796.39822222221</v>
      </c>
      <c r="BY329" s="157">
        <f>IF(E329*$CJ$10*'Year 7 Payments'!$L$20*IF(B329="",1,0.8)&lt;=(BW329-(J329*350)),E329*$CJ$10*'Year 7 Payments'!$L$20*IF(B329="",1,0.8),BW329-(IF(B329="",1,0.8)*J329*350))</f>
        <v>225062.58550044449</v>
      </c>
      <c r="BZ329" s="157">
        <f t="shared" si="167"/>
        <v>56265.646375111122</v>
      </c>
      <c r="CA329" s="157">
        <f t="shared" si="168"/>
        <v>226123.00738844436</v>
      </c>
      <c r="CB329" s="157">
        <f t="shared" si="169"/>
        <v>56530.751847111089</v>
      </c>
      <c r="CC329" s="157">
        <f t="shared" si="170"/>
        <v>904492.02955377742</v>
      </c>
      <c r="CD329" s="201">
        <f t="shared" si="171"/>
        <v>226123.00738844436</v>
      </c>
      <c r="CE329" s="155">
        <f t="shared" si="172"/>
        <v>226123.00738844436</v>
      </c>
    </row>
    <row r="330" spans="1:83" x14ac:dyDescent="0.2">
      <c r="A330" s="147" t="s">
        <v>801</v>
      </c>
      <c r="B330" s="57" t="s">
        <v>498</v>
      </c>
      <c r="C330" s="57" t="s">
        <v>476</v>
      </c>
      <c r="D330" s="148" t="s">
        <v>358</v>
      </c>
      <c r="E330" s="197">
        <v>40979.222222222219</v>
      </c>
      <c r="F330" s="147">
        <f t="shared" si="162"/>
        <v>46447</v>
      </c>
      <c r="G330" s="342">
        <v>267</v>
      </c>
      <c r="H330" s="149">
        <f t="shared" si="147"/>
        <v>189</v>
      </c>
      <c r="I330" s="346">
        <v>12.52755555555558</v>
      </c>
      <c r="J330" s="150">
        <v>55</v>
      </c>
      <c r="K330"/>
      <c r="L330" s="151">
        <v>11219</v>
      </c>
      <c r="M330" s="151">
        <v>11404</v>
      </c>
      <c r="N330" s="151">
        <v>11230</v>
      </c>
      <c r="O330" s="151">
        <v>6176</v>
      </c>
      <c r="P330" s="151">
        <v>3360</v>
      </c>
      <c r="Q330" s="151">
        <v>1713</v>
      </c>
      <c r="R330" s="151">
        <v>1211</v>
      </c>
      <c r="S330" s="151">
        <v>134</v>
      </c>
      <c r="T330" s="151">
        <v>46447</v>
      </c>
      <c r="U330" s="147"/>
      <c r="V330" s="152">
        <f t="shared" si="163"/>
        <v>0.24154412556246904</v>
      </c>
      <c r="W330" s="152">
        <f t="shared" si="148"/>
        <v>0.24552715998880445</v>
      </c>
      <c r="X330" s="152">
        <f t="shared" si="149"/>
        <v>0.24178095463646737</v>
      </c>
      <c r="Y330" s="152">
        <f t="shared" si="150"/>
        <v>0.13296876009214803</v>
      </c>
      <c r="Z330" s="152">
        <f t="shared" si="151"/>
        <v>7.2340517148577949E-2</v>
      </c>
      <c r="AA330" s="152">
        <f t="shared" si="152"/>
        <v>3.6880745796283934E-2</v>
      </c>
      <c r="AB330" s="152">
        <f t="shared" si="153"/>
        <v>2.6072728055633303E-2</v>
      </c>
      <c r="AC330" s="152">
        <f t="shared" si="154"/>
        <v>2.8850087196159065E-3</v>
      </c>
      <c r="AD330" s="152"/>
      <c r="AE330" s="221">
        <v>23</v>
      </c>
      <c r="AF330" s="221">
        <v>49</v>
      </c>
      <c r="AG330" s="221">
        <v>50</v>
      </c>
      <c r="AH330" s="221">
        <v>26</v>
      </c>
      <c r="AI330" s="221">
        <v>26</v>
      </c>
      <c r="AJ330" s="221">
        <v>3</v>
      </c>
      <c r="AK330" s="221">
        <v>11</v>
      </c>
      <c r="AL330" s="221">
        <v>-1</v>
      </c>
      <c r="AM330" s="221">
        <v>187</v>
      </c>
      <c r="AN330" s="147"/>
      <c r="AO330" s="221">
        <v>15</v>
      </c>
      <c r="AP330" s="221">
        <v>-7</v>
      </c>
      <c r="AQ330" s="221">
        <v>-14</v>
      </c>
      <c r="AR330" s="221">
        <v>-6</v>
      </c>
      <c r="AS330" s="221">
        <v>7</v>
      </c>
      <c r="AT330" s="221">
        <v>2</v>
      </c>
      <c r="AU330" s="221">
        <v>-1</v>
      </c>
      <c r="AV330" s="221">
        <v>2</v>
      </c>
      <c r="AW330" s="221">
        <v>-2</v>
      </c>
      <c r="AX330" s="56">
        <f t="shared" si="146"/>
        <v>-15</v>
      </c>
      <c r="AY330" s="56">
        <f t="shared" si="146"/>
        <v>7</v>
      </c>
      <c r="AZ330" s="56">
        <f t="shared" si="146"/>
        <v>14</v>
      </c>
      <c r="BA330" s="56">
        <f t="shared" si="146"/>
        <v>6</v>
      </c>
      <c r="BB330" s="56">
        <f t="shared" si="146"/>
        <v>-7</v>
      </c>
      <c r="BC330" s="56">
        <f t="shared" si="146"/>
        <v>-2</v>
      </c>
      <c r="BD330" s="56">
        <f t="shared" si="145"/>
        <v>1</v>
      </c>
      <c r="BE330" s="56">
        <f t="shared" si="145"/>
        <v>-2</v>
      </c>
      <c r="BF330" s="56">
        <f t="shared" si="145"/>
        <v>2</v>
      </c>
      <c r="BH330">
        <f t="shared" si="155"/>
        <v>0.8</v>
      </c>
      <c r="BI330">
        <f t="shared" si="164"/>
        <v>0.19999999999999996</v>
      </c>
      <c r="BJ330" s="154">
        <v>258419.94666666701</v>
      </c>
      <c r="BK330" s="155">
        <f t="shared" si="156"/>
        <v>258419.94666666701</v>
      </c>
      <c r="BL330" s="156">
        <v>233931.70844444446</v>
      </c>
      <c r="BM330" s="155">
        <f t="shared" si="157"/>
        <v>233931.70844444446</v>
      </c>
      <c r="BN330" s="158">
        <v>261056.91466666671</v>
      </c>
      <c r="BO330" s="155">
        <f t="shared" si="158"/>
        <v>261056.91466666671</v>
      </c>
      <c r="BP330" s="158">
        <v>501208.53333333333</v>
      </c>
      <c r="BQ330" s="155">
        <f t="shared" si="159"/>
        <v>501208.53333333333</v>
      </c>
      <c r="BR330" s="158">
        <v>429989.69955555559</v>
      </c>
      <c r="BS330" s="155">
        <f t="shared" si="160"/>
        <v>429989.69955555559</v>
      </c>
      <c r="BT330" s="194">
        <v>665851.64800000004</v>
      </c>
      <c r="BU330" s="194">
        <v>7560</v>
      </c>
      <c r="BV330" s="349">
        <f t="shared" si="165"/>
        <v>673411.64800000004</v>
      </c>
      <c r="BW330" s="195">
        <f t="shared" si="161"/>
        <v>231305.89155555554</v>
      </c>
      <c r="BX330" s="157">
        <f t="shared" si="166"/>
        <v>57826.472888888886</v>
      </c>
      <c r="BY330" s="157">
        <f>IF(E330*$CJ$10*'Year 7 Payments'!$L$20*IF(B330="",1,0.8)&lt;=(BW330-(J330*350)),E330*$CJ$10*'Year 7 Payments'!$L$20*IF(B330="",1,0.8),BW330-(IF(B330="",1,0.8)*J330*350))</f>
        <v>200576.57325511111</v>
      </c>
      <c r="BZ330" s="157">
        <f t="shared" si="167"/>
        <v>50144.143313777779</v>
      </c>
      <c r="CA330" s="157">
        <f t="shared" si="168"/>
        <v>30729.318300444429</v>
      </c>
      <c r="CB330" s="157">
        <f t="shared" si="169"/>
        <v>7682.3295751111073</v>
      </c>
      <c r="CC330" s="157">
        <f t="shared" si="170"/>
        <v>122917.27320177772</v>
      </c>
      <c r="CD330" s="201">
        <f t="shared" si="171"/>
        <v>30729.318300444429</v>
      </c>
      <c r="CE330" s="155">
        <f t="shared" si="172"/>
        <v>30729.318300444429</v>
      </c>
    </row>
    <row r="331" spans="1:83" x14ac:dyDescent="0.2">
      <c r="A331" s="147" t="s">
        <v>802</v>
      </c>
      <c r="B331" s="57"/>
      <c r="C331" s="57" t="s">
        <v>464</v>
      </c>
      <c r="D331" s="148" t="s">
        <v>359</v>
      </c>
      <c r="E331" s="197">
        <v>79457</v>
      </c>
      <c r="F331" s="147">
        <f t="shared" si="162"/>
        <v>87799</v>
      </c>
      <c r="G331" s="342">
        <v>85</v>
      </c>
      <c r="H331" s="149">
        <f t="shared" si="147"/>
        <v>558</v>
      </c>
      <c r="I331" s="346">
        <v>234.50533333333334</v>
      </c>
      <c r="J331" s="150">
        <v>100</v>
      </c>
      <c r="K331" s="284"/>
      <c r="L331" s="151">
        <v>11061</v>
      </c>
      <c r="M331" s="151">
        <v>24781</v>
      </c>
      <c r="N331" s="151">
        <v>26334</v>
      </c>
      <c r="O331" s="151">
        <v>12973</v>
      </c>
      <c r="P331" s="151">
        <v>7444</v>
      </c>
      <c r="Q331" s="151">
        <v>3395</v>
      </c>
      <c r="R331" s="151">
        <v>1693</v>
      </c>
      <c r="S331" s="151">
        <v>118</v>
      </c>
      <c r="T331" s="151">
        <v>87799</v>
      </c>
      <c r="U331" s="147"/>
      <c r="V331" s="152">
        <f t="shared" si="163"/>
        <v>0.12598093372361871</v>
      </c>
      <c r="W331" s="152">
        <f t="shared" si="148"/>
        <v>0.28224695042084763</v>
      </c>
      <c r="X331" s="152">
        <f t="shared" si="149"/>
        <v>0.29993507898723221</v>
      </c>
      <c r="Y331" s="152">
        <f t="shared" si="150"/>
        <v>0.14775794712923837</v>
      </c>
      <c r="Z331" s="152">
        <f t="shared" si="151"/>
        <v>8.478456474447317E-2</v>
      </c>
      <c r="AA331" s="152">
        <f t="shared" si="152"/>
        <v>3.866786637661021E-2</v>
      </c>
      <c r="AB331" s="152">
        <f t="shared" si="153"/>
        <v>1.9282679757172634E-2</v>
      </c>
      <c r="AC331" s="152">
        <f t="shared" si="154"/>
        <v>1.3439788608070706E-3</v>
      </c>
      <c r="AD331" s="152"/>
      <c r="AE331" s="221">
        <v>103</v>
      </c>
      <c r="AF331" s="221">
        <v>63</v>
      </c>
      <c r="AG331" s="221">
        <v>93</v>
      </c>
      <c r="AH331" s="221">
        <v>99</v>
      </c>
      <c r="AI331" s="221">
        <v>93</v>
      </c>
      <c r="AJ331" s="221">
        <v>28</v>
      </c>
      <c r="AK331" s="221">
        <v>36</v>
      </c>
      <c r="AL331" s="221">
        <v>1</v>
      </c>
      <c r="AM331" s="221">
        <v>516</v>
      </c>
      <c r="AN331" s="147"/>
      <c r="AO331" s="221">
        <v>-6</v>
      </c>
      <c r="AP331" s="221">
        <v>-5</v>
      </c>
      <c r="AQ331" s="221">
        <v>-18</v>
      </c>
      <c r="AR331" s="221">
        <v>-11</v>
      </c>
      <c r="AS331" s="221">
        <v>-2</v>
      </c>
      <c r="AT331" s="221">
        <v>-2</v>
      </c>
      <c r="AU331" s="221">
        <v>2</v>
      </c>
      <c r="AV331" s="221">
        <v>0</v>
      </c>
      <c r="AW331" s="221">
        <v>-42</v>
      </c>
      <c r="AX331" s="56">
        <f t="shared" si="146"/>
        <v>6</v>
      </c>
      <c r="AY331" s="56">
        <f t="shared" si="146"/>
        <v>5</v>
      </c>
      <c r="AZ331" s="56">
        <f t="shared" si="146"/>
        <v>18</v>
      </c>
      <c r="BA331" s="56">
        <f t="shared" si="146"/>
        <v>11</v>
      </c>
      <c r="BB331" s="56">
        <f t="shared" si="146"/>
        <v>2</v>
      </c>
      <c r="BC331" s="56">
        <f t="shared" si="146"/>
        <v>2</v>
      </c>
      <c r="BD331" s="56">
        <f t="shared" si="145"/>
        <v>-2</v>
      </c>
      <c r="BE331" s="56">
        <f t="shared" si="145"/>
        <v>0</v>
      </c>
      <c r="BF331" s="56">
        <f t="shared" si="145"/>
        <v>42</v>
      </c>
      <c r="BH331">
        <f t="shared" si="155"/>
        <v>1</v>
      </c>
      <c r="BI331">
        <f t="shared" si="164"/>
        <v>0</v>
      </c>
      <c r="BJ331" s="154">
        <v>714172.94666666654</v>
      </c>
      <c r="BK331" s="155">
        <f t="shared" si="156"/>
        <v>714172.94666666654</v>
      </c>
      <c r="BL331" s="156">
        <v>1116303.7044444443</v>
      </c>
      <c r="BM331" s="155">
        <f t="shared" si="157"/>
        <v>1116303.7044444443</v>
      </c>
      <c r="BN331" s="158">
        <v>602771.6944444445</v>
      </c>
      <c r="BO331" s="155">
        <f t="shared" si="158"/>
        <v>602771.6944444445</v>
      </c>
      <c r="BP331" s="158">
        <v>558653.33333333326</v>
      </c>
      <c r="BQ331" s="155">
        <f t="shared" si="159"/>
        <v>558653.33333333326</v>
      </c>
      <c r="BR331" s="158">
        <v>626980.03777777776</v>
      </c>
      <c r="BS331" s="155">
        <f t="shared" si="160"/>
        <v>626980.03777777776</v>
      </c>
      <c r="BT331" s="194">
        <v>1029194.8022222223</v>
      </c>
      <c r="BU331" s="194"/>
      <c r="BV331" s="348">
        <f t="shared" si="165"/>
        <v>1029194.8022222223</v>
      </c>
      <c r="BW331" s="195">
        <f t="shared" si="161"/>
        <v>879826.97333333339</v>
      </c>
      <c r="BX331" s="157" t="str">
        <f t="shared" si="166"/>
        <v>0</v>
      </c>
      <c r="BY331" s="157">
        <f>IF(E331*$CJ$10*'Year 7 Payments'!$L$20*IF(B331="",1,0.8)&lt;=(BW331-(J331*350)),E331*$CJ$10*'Year 7 Payments'!$L$20*IF(B331="",1,0.8),BW331-(IF(B331="",1,0.8)*J331*350))</f>
        <v>486136.99567999999</v>
      </c>
      <c r="BZ331" s="157" t="str">
        <f t="shared" si="167"/>
        <v>0</v>
      </c>
      <c r="CA331" s="157">
        <f t="shared" si="168"/>
        <v>393689.97765333339</v>
      </c>
      <c r="CB331" s="157">
        <f t="shared" si="169"/>
        <v>0</v>
      </c>
      <c r="CC331" s="157">
        <f t="shared" si="170"/>
        <v>1574759.9106133336</v>
      </c>
      <c r="CD331" s="201">
        <f t="shared" si="171"/>
        <v>0</v>
      </c>
      <c r="CE331" s="155">
        <f t="shared" si="172"/>
        <v>393689.97765333339</v>
      </c>
    </row>
    <row r="332" spans="1:83" x14ac:dyDescent="0.2">
      <c r="D332" s="56" t="s">
        <v>360</v>
      </c>
      <c r="E332" s="56"/>
      <c r="F332" s="147"/>
      <c r="G332" s="343"/>
      <c r="H332" s="149"/>
      <c r="I332" s="140"/>
      <c r="J332" s="141"/>
      <c r="K332" s="56"/>
      <c r="L332" s="142"/>
      <c r="M332" s="142"/>
      <c r="N332" s="142"/>
      <c r="O332" s="142"/>
      <c r="P332" s="142"/>
      <c r="Q332" s="142"/>
      <c r="R332" s="142"/>
      <c r="S332" s="142"/>
      <c r="T332" s="142"/>
      <c r="U332" s="147"/>
      <c r="V332" s="56"/>
      <c r="W332" s="56"/>
      <c r="X332" s="56"/>
      <c r="Y332" s="56"/>
      <c r="Z332" s="56"/>
      <c r="AA332" s="56"/>
      <c r="AB332" s="56"/>
      <c r="AC332" s="56"/>
      <c r="AD332" s="56"/>
      <c r="AE332" s="141"/>
      <c r="AF332" s="141"/>
      <c r="AG332" s="141"/>
      <c r="AH332" s="141"/>
      <c r="AI332" s="141"/>
      <c r="AJ332" s="141"/>
      <c r="AK332" s="141"/>
      <c r="AL332" s="141"/>
      <c r="AM332" s="141"/>
      <c r="AN332" s="147"/>
      <c r="AO332" s="140"/>
      <c r="AP332" s="140"/>
      <c r="AQ332" s="140"/>
      <c r="AR332" s="140"/>
      <c r="AS332" s="140"/>
      <c r="AT332" s="140"/>
      <c r="AU332" s="140"/>
      <c r="AV332" s="140"/>
      <c r="AW332" s="140"/>
      <c r="AX332" s="56"/>
      <c r="AY332" s="56"/>
      <c r="AZ332" s="56"/>
      <c r="BA332" s="56"/>
      <c r="BB332" s="56"/>
      <c r="BC332" s="56"/>
      <c r="BD332" s="56"/>
      <c r="BE332" s="56"/>
      <c r="BF332" s="56"/>
      <c r="BG332" s="56"/>
      <c r="BH332" s="56"/>
      <c r="BI332" s="56"/>
      <c r="BJ332" s="173"/>
      <c r="BK332" s="129"/>
      <c r="BM332" s="129"/>
      <c r="BO332" s="175"/>
      <c r="BQ332" s="175"/>
      <c r="BS332" s="175"/>
      <c r="BV332" s="175"/>
      <c r="BX332" s="157"/>
      <c r="BY332" s="157"/>
      <c r="BZ332" s="157"/>
      <c r="CA332" s="157"/>
      <c r="CB332" s="157"/>
      <c r="CC332" s="157"/>
      <c r="CD332" s="157"/>
      <c r="CE332" s="175"/>
    </row>
    <row r="333" spans="1:83" x14ac:dyDescent="0.2">
      <c r="B333" s="57" t="s">
        <v>456</v>
      </c>
      <c r="C333" s="57" t="s">
        <v>443</v>
      </c>
      <c r="D333" s="57" t="s">
        <v>361</v>
      </c>
      <c r="E333" s="197">
        <v>245226.66666666666</v>
      </c>
      <c r="F333" s="147">
        <f t="shared" ca="1" si="162"/>
        <v>217704</v>
      </c>
      <c r="G333" s="344">
        <f t="shared" ref="G333:G359" ca="1" si="173">SUMIF($B$6:$BJ$331,B333,$G$6:$G$331)</f>
        <v>1372</v>
      </c>
      <c r="H333" s="149">
        <f t="shared" ref="H333:H359" ca="1" si="174">AM333+BF333</f>
        <v>2273</v>
      </c>
      <c r="I333" s="149">
        <f>SUMIF($B$6:$B$331,B333,$I$6:$I$331)</f>
        <v>1669.0933333333332</v>
      </c>
      <c r="J333" s="176">
        <f t="shared" ref="J333:J359" ca="1" si="175">SUMIF($B$6:$BJ$331,B333,$J$6:$J$331)</f>
        <v>187</v>
      </c>
      <c r="K333"/>
      <c r="L333" s="177">
        <f t="shared" ref="L333:L359" ca="1" si="176">SUMIF($B$6:$BJ$331,B333,$L$6:$L$331)</f>
        <v>6168</v>
      </c>
      <c r="M333" s="177">
        <f t="shared" ref="M333:M359" ca="1" si="177">SUMIF($B$6:$BJ$331,B333,$M$6:$M$331)</f>
        <v>23338</v>
      </c>
      <c r="N333" s="177">
        <f t="shared" ref="N333:N359" ca="1" si="178">SUMIF($B$6:$BJ$331,B333,$N$6:$N$331)</f>
        <v>49594</v>
      </c>
      <c r="O333" s="177">
        <f t="shared" ref="O333:O359" ca="1" si="179">SUMIF($B$6:$BJ$331,B333,$O$6:$O$331)</f>
        <v>43098</v>
      </c>
      <c r="P333" s="177">
        <f t="shared" ref="P333:P359" ca="1" si="180">SUMIF($B$6:$BJ$331,B333,$P$6:$P$331)</f>
        <v>33824</v>
      </c>
      <c r="Q333" s="177">
        <f t="shared" ref="Q333:Q359" ca="1" si="181">SUMIF($B$6:$BJ$331,B333,$Q$6:$Q$331)</f>
        <v>26882</v>
      </c>
      <c r="R333" s="177">
        <f t="shared" ref="R333:R359" ca="1" si="182">SUMIF($B$6:$BJ$331,B333,$R$6:$R$331)</f>
        <v>29335</v>
      </c>
      <c r="S333" s="177">
        <f t="shared" ref="S333:S359" ca="1" si="183">SUMIF($B$6:$BJ$331,B333,$S$6:$S$331)</f>
        <v>5465</v>
      </c>
      <c r="T333" s="177">
        <f t="shared" ref="T333:T359" ca="1" si="184">SUMIF($B$6:$BJ$331,B333,$T$6:$T$331)</f>
        <v>217704</v>
      </c>
      <c r="U333" s="147"/>
      <c r="V333" s="152">
        <f t="shared" ref="V333:AC333" ca="1" si="185">L333/$T$333</f>
        <v>2.8332047183331495E-2</v>
      </c>
      <c r="W333" s="152">
        <f t="shared" ca="1" si="185"/>
        <v>0.10720060265314371</v>
      </c>
      <c r="X333" s="152">
        <f t="shared" ca="1" si="185"/>
        <v>0.22780472568257817</v>
      </c>
      <c r="Y333" s="152">
        <f t="shared" ca="1" si="185"/>
        <v>0.19796604563995149</v>
      </c>
      <c r="Z333" s="152">
        <f t="shared" ca="1" si="185"/>
        <v>0.15536692022195275</v>
      </c>
      <c r="AA333" s="152">
        <f t="shared" ca="1" si="185"/>
        <v>0.1234795869621137</v>
      </c>
      <c r="AB333" s="152">
        <f t="shared" ca="1" si="185"/>
        <v>0.13474717965678168</v>
      </c>
      <c r="AC333" s="152">
        <f t="shared" ca="1" si="185"/>
        <v>2.5102892000146988E-2</v>
      </c>
      <c r="AD333" s="152"/>
      <c r="AE333" s="177">
        <f t="shared" ref="AE333:AE359" ca="1" si="186">SUMIF($B$6:$BJ$331,B333,$AE$6:$AE$331)</f>
        <v>129</v>
      </c>
      <c r="AF333" s="177">
        <f t="shared" ref="AF333:AF359" ca="1" si="187">SUMIF($B$6:$BJ$331,B333,$AF$6:$AF$331)</f>
        <v>233</v>
      </c>
      <c r="AG333" s="177">
        <f t="shared" ref="AG333:AG359" ca="1" si="188">SUMIF($B$6:$BJ$331,B333,$AG$6:$AG$331)</f>
        <v>483</v>
      </c>
      <c r="AH333" s="177">
        <f t="shared" ref="AH333:AH359" ca="1" si="189">SUMIF($B$6:$BJ$331,B333,$AH$6:$AH$331)</f>
        <v>370</v>
      </c>
      <c r="AI333" s="177">
        <f t="shared" ref="AI333:AI359" ca="1" si="190">SUMIF($B$6:$BJ$331,B333,$AI$6:$AI$331)</f>
        <v>328</v>
      </c>
      <c r="AJ333" s="177">
        <f t="shared" ref="AJ333:AJ359" ca="1" si="191">SUMIF($B$6:$BJ$331,B333,$AJ$6:$AJ$331)</f>
        <v>258</v>
      </c>
      <c r="AK333" s="177">
        <f t="shared" ref="AK333:AK359" ca="1" si="192">SUMIF($B$6:$BJ$331,B333,$AK$6:$AK$331)</f>
        <v>295</v>
      </c>
      <c r="AL333" s="177">
        <f t="shared" ref="AL333:AL359" ca="1" si="193">SUMIF($B$6:$BJ$331,B333,$AL$6:$AL$331)</f>
        <v>89</v>
      </c>
      <c r="AM333" s="177">
        <f t="shared" ref="AM333:AM359" ca="1" si="194">SUMIF($B$6:$BJ$331,B333,$AM$6:$AM$331)</f>
        <v>2185</v>
      </c>
      <c r="AN333" s="147"/>
      <c r="AX333">
        <f t="shared" ref="AX333:AX359" ca="1" si="195">SUMIF($B$6:$BJ$331,B333,$AX$6:$AX$331)</f>
        <v>5</v>
      </c>
      <c r="AY333">
        <f t="shared" ref="AY333:AY359" ca="1" si="196">SUMIF($B$6:$BJ$331,B333,$AY$6:$AY$331)</f>
        <v>-26</v>
      </c>
      <c r="AZ333">
        <f t="shared" ref="AZ333:AZ359" ca="1" si="197">SUMIF($B$6:$BJ$331,B333,$AZ$6:$AZ$331)</f>
        <v>-3</v>
      </c>
      <c r="BA333">
        <f t="shared" ref="BA333:BA359" ca="1" si="198">SUMIF($B$6:$BJ$331,B333,$BA$6:$BA$331)</f>
        <v>21</v>
      </c>
      <c r="BB333">
        <f t="shared" ref="BB333:BB359" ca="1" si="199">SUMIF($B$6:$BJ$331,B333,$BB$6:$BB$331)</f>
        <v>30</v>
      </c>
      <c r="BC333">
        <f t="shared" ref="BC333:BC359" ca="1" si="200">SUMIF($B$6:$BJ$331,B333,$BC$6:$BC$331)</f>
        <v>19</v>
      </c>
      <c r="BD333">
        <f t="shared" ref="BD333:BD359" ca="1" si="201">SUMIF($B$6:$BJ$331,B333,$BD$6:$BD$331)</f>
        <v>28</v>
      </c>
      <c r="BE333">
        <f t="shared" ref="BE333:BE359" ca="1" si="202">SUMIF($B$6:$BJ$331,B333,$BE$6:$BE$331)</f>
        <v>14</v>
      </c>
      <c r="BF333">
        <f t="shared" ref="BF333:BF359" ca="1" si="203">SUMIF($B$6:$BJ$331,B333,$BF$6:$BF$331)</f>
        <v>88</v>
      </c>
      <c r="BH333" s="115">
        <v>0</v>
      </c>
      <c r="BI333" s="115">
        <v>1</v>
      </c>
      <c r="BJ333" s="154">
        <v>417661.64400000003</v>
      </c>
      <c r="BK333" s="155">
        <f t="shared" ref="BK333:BK359" si="204">BJ333</f>
        <v>417661.64400000003</v>
      </c>
      <c r="BL333" s="158">
        <v>602347.95555555564</v>
      </c>
      <c r="BM333" s="155">
        <f t="shared" ref="BM333:BM359" si="205">BL333</f>
        <v>602347.95555555564</v>
      </c>
      <c r="BN333" s="158">
        <v>627437.22</v>
      </c>
      <c r="BO333" s="155">
        <f t="shared" ref="BO333:BO359" si="206">BN333</f>
        <v>627437.22</v>
      </c>
      <c r="BP333" s="158">
        <v>661033.33333333337</v>
      </c>
      <c r="BQ333" s="155">
        <f t="shared" ref="BQ333:BQ359" si="207">BP333</f>
        <v>661033.33333333337</v>
      </c>
      <c r="BR333" s="158">
        <v>582941.26800000016</v>
      </c>
      <c r="BS333" s="155">
        <f t="shared" ref="BS333:BS359" si="208">BR333</f>
        <v>582941.26800000016</v>
      </c>
      <c r="BT333" s="178">
        <v>724503.32888888882</v>
      </c>
      <c r="BU333" s="178"/>
      <c r="BV333" s="348">
        <f t="shared" si="165"/>
        <v>724503.32888888882</v>
      </c>
      <c r="BW333" s="178"/>
      <c r="BX333" s="159">
        <f t="shared" ref="BX333:BX359" si="209">SUMIF($B$6:$B$331,$B333,$BX$6:$BX$331)</f>
        <v>823756.80000000005</v>
      </c>
      <c r="BY333" s="159"/>
      <c r="BZ333" s="159">
        <f t="shared" ref="BZ333:BZ359" si="210">SUMIF($B$6:$B$331,$B333,$BZ$6:$BZ$331)</f>
        <v>300071.12021333334</v>
      </c>
      <c r="CA333" s="159"/>
      <c r="CB333" s="159">
        <f t="shared" ref="CB333:CB359" si="211">SUMIF($B$6:$B$331,$B333,$CB$6:$CB$331)</f>
        <v>523685.67978666676</v>
      </c>
      <c r="CD333" s="159">
        <f t="shared" ref="CD333:CD359" si="212">SUMIF($B$6:$B$331,$B333,$CD$6:$CD$331)</f>
        <v>2094742.719146667</v>
      </c>
      <c r="CE333" s="155">
        <f>CB333</f>
        <v>523685.67978666676</v>
      </c>
    </row>
    <row r="334" spans="1:83" x14ac:dyDescent="0.2">
      <c r="B334" s="57" t="s">
        <v>507</v>
      </c>
      <c r="C334" s="57" t="s">
        <v>459</v>
      </c>
      <c r="D334" s="57" t="s">
        <v>362</v>
      </c>
      <c r="E334" s="197">
        <v>259969.44444444447</v>
      </c>
      <c r="F334" s="147">
        <f t="shared" ca="1" si="162"/>
        <v>276380</v>
      </c>
      <c r="G334" s="344">
        <f t="shared" ca="1" si="173"/>
        <v>1547</v>
      </c>
      <c r="H334" s="149">
        <f t="shared" ca="1" si="174"/>
        <v>3004</v>
      </c>
      <c r="I334" s="149">
        <f t="shared" ref="I334:I358" si="213">SUMIF($B$6:$B$331,B334,$I$6:$I$331)</f>
        <v>1928.0111111111109</v>
      </c>
      <c r="J334" s="176">
        <f t="shared" ca="1" si="175"/>
        <v>324</v>
      </c>
      <c r="K334"/>
      <c r="L334" s="177">
        <f t="shared" ca="1" si="176"/>
        <v>38854</v>
      </c>
      <c r="M334" s="177">
        <f t="shared" ca="1" si="177"/>
        <v>60117</v>
      </c>
      <c r="N334" s="177">
        <f t="shared" ca="1" si="178"/>
        <v>72786</v>
      </c>
      <c r="O334" s="177">
        <f t="shared" ca="1" si="179"/>
        <v>44636</v>
      </c>
      <c r="P334" s="177">
        <f t="shared" ca="1" si="180"/>
        <v>31809</v>
      </c>
      <c r="Q334" s="177">
        <f t="shared" ca="1" si="181"/>
        <v>17206</v>
      </c>
      <c r="R334" s="177">
        <f t="shared" ca="1" si="182"/>
        <v>9844</v>
      </c>
      <c r="S334" s="177">
        <f t="shared" ca="1" si="183"/>
        <v>1128</v>
      </c>
      <c r="T334" s="177">
        <f t="shared" ca="1" si="184"/>
        <v>276380</v>
      </c>
      <c r="U334" s="147"/>
      <c r="V334" s="152">
        <f t="shared" ref="V334:AC334" ca="1" si="214">L334/$T$334</f>
        <v>0.14058180765612563</v>
      </c>
      <c r="W334" s="152">
        <f t="shared" ca="1" si="214"/>
        <v>0.21751573919965264</v>
      </c>
      <c r="X334" s="152">
        <f t="shared" ca="1" si="214"/>
        <v>0.26335480136044576</v>
      </c>
      <c r="Y334" s="152">
        <f t="shared" ca="1" si="214"/>
        <v>0.16150227947029452</v>
      </c>
      <c r="Z334" s="152">
        <f t="shared" ca="1" si="214"/>
        <v>0.11509154063246255</v>
      </c>
      <c r="AA334" s="152">
        <f t="shared" ca="1" si="214"/>
        <v>6.2254866488168463E-2</v>
      </c>
      <c r="AB334" s="152">
        <f t="shared" ca="1" si="214"/>
        <v>3.561762790361097E-2</v>
      </c>
      <c r="AC334" s="152">
        <f t="shared" ca="1" si="214"/>
        <v>4.0813372892394527E-3</v>
      </c>
      <c r="AD334" s="152"/>
      <c r="AE334" s="177">
        <f t="shared" ca="1" si="186"/>
        <v>475</v>
      </c>
      <c r="AF334" s="177">
        <f t="shared" ca="1" si="187"/>
        <v>482</v>
      </c>
      <c r="AG334" s="177">
        <f t="shared" ca="1" si="188"/>
        <v>517</v>
      </c>
      <c r="AH334" s="177">
        <f t="shared" ca="1" si="189"/>
        <v>417</v>
      </c>
      <c r="AI334" s="177">
        <f t="shared" ca="1" si="190"/>
        <v>324</v>
      </c>
      <c r="AJ334" s="177">
        <f t="shared" ca="1" si="191"/>
        <v>277</v>
      </c>
      <c r="AK334" s="177">
        <f t="shared" ca="1" si="192"/>
        <v>175</v>
      </c>
      <c r="AL334" s="177">
        <f t="shared" ca="1" si="193"/>
        <v>18</v>
      </c>
      <c r="AM334" s="177">
        <f t="shared" ca="1" si="194"/>
        <v>2685</v>
      </c>
      <c r="AN334" s="147"/>
      <c r="AX334">
        <f t="shared" ca="1" si="195"/>
        <v>128</v>
      </c>
      <c r="AY334">
        <f t="shared" ca="1" si="196"/>
        <v>71</v>
      </c>
      <c r="AZ334">
        <f t="shared" ca="1" si="197"/>
        <v>54</v>
      </c>
      <c r="BA334">
        <f t="shared" ca="1" si="198"/>
        <v>26</v>
      </c>
      <c r="BB334">
        <f t="shared" ca="1" si="199"/>
        <v>11</v>
      </c>
      <c r="BC334">
        <f t="shared" ca="1" si="200"/>
        <v>15</v>
      </c>
      <c r="BD334">
        <f t="shared" ca="1" si="201"/>
        <v>5</v>
      </c>
      <c r="BE334">
        <f t="shared" ca="1" si="202"/>
        <v>9</v>
      </c>
      <c r="BF334">
        <f t="shared" ca="1" si="203"/>
        <v>319</v>
      </c>
      <c r="BH334" s="115">
        <v>0</v>
      </c>
      <c r="BI334" s="115">
        <v>1</v>
      </c>
      <c r="BJ334" s="154">
        <v>789300.23066666676</v>
      </c>
      <c r="BK334" s="155">
        <f t="shared" si="204"/>
        <v>789300.23066666676</v>
      </c>
      <c r="BL334" s="158">
        <v>847331.996888889</v>
      </c>
      <c r="BM334" s="155">
        <f t="shared" si="205"/>
        <v>847331.996888889</v>
      </c>
      <c r="BN334" s="158">
        <v>766153.56977777788</v>
      </c>
      <c r="BO334" s="155">
        <f t="shared" si="206"/>
        <v>766153.56977777788</v>
      </c>
      <c r="BP334" s="158">
        <v>737134.21333333338</v>
      </c>
      <c r="BQ334" s="155">
        <f t="shared" si="207"/>
        <v>737134.21333333338</v>
      </c>
      <c r="BR334" s="158">
        <v>1082030.9711111113</v>
      </c>
      <c r="BS334" s="155">
        <f t="shared" si="208"/>
        <v>1082030.9711111113</v>
      </c>
      <c r="BT334" s="178">
        <v>930871.66666666674</v>
      </c>
      <c r="BU334" s="178"/>
      <c r="BV334" s="348">
        <f t="shared" si="165"/>
        <v>930871.66666666674</v>
      </c>
      <c r="BW334" s="178"/>
      <c r="BX334" s="159">
        <f t="shared" si="209"/>
        <v>930592.82577777782</v>
      </c>
      <c r="BY334" s="159"/>
      <c r="BZ334" s="159">
        <f t="shared" si="210"/>
        <v>318111.09075555555</v>
      </c>
      <c r="CA334" s="159"/>
      <c r="CB334" s="159">
        <f t="shared" si="211"/>
        <v>612481.73502222227</v>
      </c>
      <c r="CD334" s="159">
        <f t="shared" si="212"/>
        <v>2449926.9400888891</v>
      </c>
      <c r="CE334" s="155">
        <f t="shared" ref="CE334:CE359" si="215">CB334</f>
        <v>612481.73502222227</v>
      </c>
    </row>
    <row r="335" spans="1:83" x14ac:dyDescent="0.2">
      <c r="B335" s="57" t="s">
        <v>445</v>
      </c>
      <c r="C335" s="57" t="s">
        <v>446</v>
      </c>
      <c r="D335" s="57" t="s">
        <v>363</v>
      </c>
      <c r="E335" s="197">
        <v>204336</v>
      </c>
      <c r="F335" s="147">
        <f t="shared" ca="1" si="162"/>
        <v>244101</v>
      </c>
      <c r="G335" s="344">
        <f t="shared" ca="1" si="173"/>
        <v>4177</v>
      </c>
      <c r="H335" s="149">
        <f t="shared" ca="1" si="174"/>
        <v>1739</v>
      </c>
      <c r="I335" s="149">
        <f t="shared" si="213"/>
        <v>870.26933333333352</v>
      </c>
      <c r="J335" s="176">
        <f t="shared" ca="1" si="175"/>
        <v>275</v>
      </c>
      <c r="K335"/>
      <c r="L335" s="177">
        <f t="shared" ca="1" si="176"/>
        <v>92617</v>
      </c>
      <c r="M335" s="177">
        <f t="shared" ca="1" si="177"/>
        <v>47590</v>
      </c>
      <c r="N335" s="177">
        <f t="shared" ca="1" si="178"/>
        <v>41066</v>
      </c>
      <c r="O335" s="177">
        <f t="shared" ca="1" si="179"/>
        <v>30693</v>
      </c>
      <c r="P335" s="177">
        <f t="shared" ca="1" si="180"/>
        <v>18950</v>
      </c>
      <c r="Q335" s="177">
        <f t="shared" ca="1" si="181"/>
        <v>8544</v>
      </c>
      <c r="R335" s="177">
        <f t="shared" ca="1" si="182"/>
        <v>4233</v>
      </c>
      <c r="S335" s="177">
        <f t="shared" ca="1" si="183"/>
        <v>408</v>
      </c>
      <c r="T335" s="177">
        <f t="shared" ca="1" si="184"/>
        <v>244101</v>
      </c>
      <c r="U335" s="147"/>
      <c r="V335" s="152">
        <f t="shared" ref="V335:AC335" ca="1" si="216">L335/$T$335</f>
        <v>0.37942081351571688</v>
      </c>
      <c r="W335" s="152">
        <f t="shared" ca="1" si="216"/>
        <v>0.19496028283374506</v>
      </c>
      <c r="X335" s="152">
        <f t="shared" ca="1" si="216"/>
        <v>0.16823364099286769</v>
      </c>
      <c r="Y335" s="152">
        <f t="shared" ca="1" si="216"/>
        <v>0.12573893593225755</v>
      </c>
      <c r="Z335" s="152">
        <f t="shared" ca="1" si="216"/>
        <v>7.763179995165935E-2</v>
      </c>
      <c r="AA335" s="152">
        <f t="shared" ca="1" si="216"/>
        <v>3.5001904949180873E-2</v>
      </c>
      <c r="AB335" s="152">
        <f t="shared" ca="1" si="216"/>
        <v>1.7341182543291506E-2</v>
      </c>
      <c r="AC335" s="152">
        <f t="shared" ca="1" si="216"/>
        <v>1.6714392812811091E-3</v>
      </c>
      <c r="AD335" s="152"/>
      <c r="AE335" s="177">
        <f t="shared" ca="1" si="186"/>
        <v>180</v>
      </c>
      <c r="AF335" s="177">
        <f t="shared" ca="1" si="187"/>
        <v>434</v>
      </c>
      <c r="AG335" s="177">
        <f t="shared" ca="1" si="188"/>
        <v>361</v>
      </c>
      <c r="AH335" s="177">
        <f t="shared" ca="1" si="189"/>
        <v>222</v>
      </c>
      <c r="AI335" s="177">
        <f t="shared" ca="1" si="190"/>
        <v>200</v>
      </c>
      <c r="AJ335" s="177">
        <f t="shared" ca="1" si="191"/>
        <v>91</v>
      </c>
      <c r="AK335" s="177">
        <f t="shared" ca="1" si="192"/>
        <v>9</v>
      </c>
      <c r="AL335" s="177">
        <f t="shared" ca="1" si="193"/>
        <v>6</v>
      </c>
      <c r="AM335" s="177">
        <f t="shared" ca="1" si="194"/>
        <v>1503</v>
      </c>
      <c r="AN335" s="147"/>
      <c r="AX335">
        <f t="shared" ca="1" si="195"/>
        <v>54</v>
      </c>
      <c r="AY335">
        <f t="shared" ca="1" si="196"/>
        <v>-23</v>
      </c>
      <c r="AZ335">
        <f t="shared" ca="1" si="197"/>
        <v>67</v>
      </c>
      <c r="BA335">
        <f t="shared" ca="1" si="198"/>
        <v>90</v>
      </c>
      <c r="BB335">
        <f t="shared" ca="1" si="199"/>
        <v>42</v>
      </c>
      <c r="BC335">
        <f t="shared" ca="1" si="200"/>
        <v>-2</v>
      </c>
      <c r="BD335">
        <f t="shared" ca="1" si="201"/>
        <v>7</v>
      </c>
      <c r="BE335">
        <f t="shared" ca="1" si="202"/>
        <v>1</v>
      </c>
      <c r="BF335">
        <f t="shared" ca="1" si="203"/>
        <v>236</v>
      </c>
      <c r="BH335" s="115">
        <v>0</v>
      </c>
      <c r="BI335" s="115">
        <v>1</v>
      </c>
      <c r="BJ335" s="154">
        <v>149199.14000000001</v>
      </c>
      <c r="BK335" s="155">
        <f t="shared" si="204"/>
        <v>149199.14000000001</v>
      </c>
      <c r="BL335" s="158">
        <v>172728.43422222222</v>
      </c>
      <c r="BM335" s="155">
        <f t="shared" si="205"/>
        <v>172728.43422222222</v>
      </c>
      <c r="BN335" s="158">
        <v>260479.23222222223</v>
      </c>
      <c r="BO335" s="155">
        <f t="shared" si="206"/>
        <v>260479.23222222223</v>
      </c>
      <c r="BP335" s="158">
        <v>392898.45333333337</v>
      </c>
      <c r="BQ335" s="155">
        <f t="shared" si="207"/>
        <v>392898.45333333337</v>
      </c>
      <c r="BR335" s="158">
        <v>349582.83511111111</v>
      </c>
      <c r="BS335" s="155">
        <f t="shared" si="208"/>
        <v>349582.83511111111</v>
      </c>
      <c r="BT335" s="178">
        <v>373410.99288888893</v>
      </c>
      <c r="BU335" s="178"/>
      <c r="BV335" s="348">
        <f t="shared" si="165"/>
        <v>373410.99288888893</v>
      </c>
      <c r="BW335" s="178"/>
      <c r="BX335" s="159">
        <f t="shared" si="209"/>
        <v>518838.28622222226</v>
      </c>
      <c r="BY335" s="159"/>
      <c r="BZ335" s="159">
        <f t="shared" si="210"/>
        <v>233362.45392355556</v>
      </c>
      <c r="CA335" s="159"/>
      <c r="CB335" s="159">
        <f t="shared" si="211"/>
        <v>285475.8322986667</v>
      </c>
      <c r="CD335" s="159">
        <f t="shared" si="212"/>
        <v>1141903.3291946668</v>
      </c>
      <c r="CE335" s="155">
        <f t="shared" si="215"/>
        <v>285475.8322986667</v>
      </c>
    </row>
    <row r="336" spans="1:83" x14ac:dyDescent="0.2">
      <c r="B336" s="57" t="s">
        <v>448</v>
      </c>
      <c r="C336" s="57" t="s">
        <v>449</v>
      </c>
      <c r="D336" s="57" t="s">
        <v>364</v>
      </c>
      <c r="E336" s="197">
        <v>295219.33333333337</v>
      </c>
      <c r="F336" s="147">
        <f t="shared" ca="1" si="162"/>
        <v>354862</v>
      </c>
      <c r="G336" s="344">
        <f t="shared" ca="1" si="173"/>
        <v>4296</v>
      </c>
      <c r="H336" s="149">
        <f t="shared" ca="1" si="174"/>
        <v>2872</v>
      </c>
      <c r="I336" s="149">
        <f t="shared" si="213"/>
        <v>1439.7795555555558</v>
      </c>
      <c r="J336" s="176">
        <f t="shared" ca="1" si="175"/>
        <v>451</v>
      </c>
      <c r="K336"/>
      <c r="L336" s="177">
        <f t="shared" ca="1" si="176"/>
        <v>134066</v>
      </c>
      <c r="M336" s="177">
        <f t="shared" ca="1" si="177"/>
        <v>80100</v>
      </c>
      <c r="N336" s="177">
        <f t="shared" ca="1" si="178"/>
        <v>59211</v>
      </c>
      <c r="O336" s="177">
        <f t="shared" ca="1" si="179"/>
        <v>39045</v>
      </c>
      <c r="P336" s="177">
        <f t="shared" ca="1" si="180"/>
        <v>23358</v>
      </c>
      <c r="Q336" s="177">
        <f t="shared" ca="1" si="181"/>
        <v>11696</v>
      </c>
      <c r="R336" s="177">
        <f t="shared" ca="1" si="182"/>
        <v>6847</v>
      </c>
      <c r="S336" s="177">
        <f t="shared" ca="1" si="183"/>
        <v>539</v>
      </c>
      <c r="T336" s="177">
        <f t="shared" ca="1" si="184"/>
        <v>354862</v>
      </c>
      <c r="U336" s="147"/>
      <c r="V336" s="152">
        <f t="shared" ref="V336:AC336" ca="1" si="217">L336/$T$336</f>
        <v>0.37779756637791595</v>
      </c>
      <c r="W336" s="152">
        <f t="shared" ca="1" si="217"/>
        <v>0.22572154809475234</v>
      </c>
      <c r="X336" s="152">
        <f t="shared" ca="1" si="217"/>
        <v>0.16685641178824445</v>
      </c>
      <c r="Y336" s="152">
        <f t="shared" ca="1" si="217"/>
        <v>0.11002868720798507</v>
      </c>
      <c r="Z336" s="152">
        <f t="shared" ca="1" si="217"/>
        <v>6.5822770541788075E-2</v>
      </c>
      <c r="AA336" s="152">
        <f t="shared" ca="1" si="217"/>
        <v>3.2959291217430998E-2</v>
      </c>
      <c r="AB336" s="152">
        <f t="shared" ca="1" si="217"/>
        <v>1.9294824466975894E-2</v>
      </c>
      <c r="AC336" s="152">
        <f t="shared" ca="1" si="217"/>
        <v>1.5189003049072597E-3</v>
      </c>
      <c r="AD336" s="152"/>
      <c r="AE336" s="177">
        <f t="shared" ca="1" si="186"/>
        <v>610</v>
      </c>
      <c r="AF336" s="177">
        <f t="shared" ca="1" si="187"/>
        <v>645</v>
      </c>
      <c r="AG336" s="177">
        <f t="shared" ca="1" si="188"/>
        <v>518</v>
      </c>
      <c r="AH336" s="177">
        <f t="shared" ca="1" si="189"/>
        <v>464</v>
      </c>
      <c r="AI336" s="177">
        <f t="shared" ca="1" si="190"/>
        <v>299</v>
      </c>
      <c r="AJ336" s="177">
        <f t="shared" ca="1" si="191"/>
        <v>119</v>
      </c>
      <c r="AK336" s="177">
        <f t="shared" ca="1" si="192"/>
        <v>34</v>
      </c>
      <c r="AL336" s="177">
        <f t="shared" ca="1" si="193"/>
        <v>7</v>
      </c>
      <c r="AM336" s="177">
        <f t="shared" ca="1" si="194"/>
        <v>2696</v>
      </c>
      <c r="AN336" s="147"/>
      <c r="AX336">
        <f t="shared" ca="1" si="195"/>
        <v>49</v>
      </c>
      <c r="AY336">
        <f t="shared" ca="1" si="196"/>
        <v>37</v>
      </c>
      <c r="AZ336">
        <f t="shared" ca="1" si="197"/>
        <v>56</v>
      </c>
      <c r="BA336">
        <f t="shared" ca="1" si="198"/>
        <v>-3</v>
      </c>
      <c r="BB336">
        <f t="shared" ca="1" si="199"/>
        <v>12</v>
      </c>
      <c r="BC336">
        <f t="shared" ca="1" si="200"/>
        <v>19</v>
      </c>
      <c r="BD336">
        <f t="shared" ca="1" si="201"/>
        <v>4</v>
      </c>
      <c r="BE336">
        <f t="shared" ca="1" si="202"/>
        <v>2</v>
      </c>
      <c r="BF336">
        <f t="shared" ca="1" si="203"/>
        <v>176</v>
      </c>
      <c r="BH336" s="115">
        <v>0</v>
      </c>
      <c r="BI336" s="115">
        <v>1</v>
      </c>
      <c r="BJ336" s="154">
        <v>385071.3066666667</v>
      </c>
      <c r="BK336" s="155">
        <f t="shared" si="204"/>
        <v>385071.3066666667</v>
      </c>
      <c r="BL336" s="158">
        <v>454512.79666666663</v>
      </c>
      <c r="BM336" s="155">
        <f t="shared" si="205"/>
        <v>454512.79666666663</v>
      </c>
      <c r="BN336" s="158">
        <v>466257.15288888896</v>
      </c>
      <c r="BO336" s="155">
        <f t="shared" si="206"/>
        <v>466257.15288888896</v>
      </c>
      <c r="BP336" s="158">
        <v>409782.63999999996</v>
      </c>
      <c r="BQ336" s="155">
        <f t="shared" si="207"/>
        <v>409782.63999999996</v>
      </c>
      <c r="BR336" s="158">
        <v>508664.25955555565</v>
      </c>
      <c r="BS336" s="155">
        <f t="shared" si="208"/>
        <v>508664.25955555565</v>
      </c>
      <c r="BT336" s="178">
        <v>639338.88355555548</v>
      </c>
      <c r="BU336" s="178">
        <v>490</v>
      </c>
      <c r="BV336" s="349">
        <f t="shared" si="165"/>
        <v>639828.88355555548</v>
      </c>
      <c r="BW336" s="178"/>
      <c r="BX336" s="159">
        <f t="shared" si="209"/>
        <v>827485.04355555552</v>
      </c>
      <c r="BY336" s="159"/>
      <c r="BZ336" s="159">
        <f t="shared" si="210"/>
        <v>355469.20015644451</v>
      </c>
      <c r="CA336" s="159"/>
      <c r="CB336" s="159">
        <f t="shared" si="211"/>
        <v>472015.84339911107</v>
      </c>
      <c r="CD336" s="159">
        <f t="shared" si="212"/>
        <v>1888063.3735964443</v>
      </c>
      <c r="CE336" s="155">
        <f t="shared" si="215"/>
        <v>472015.84339911107</v>
      </c>
    </row>
    <row r="337" spans="2:83" x14ac:dyDescent="0.2">
      <c r="B337" s="57" t="s">
        <v>555</v>
      </c>
      <c r="C337" s="57" t="s">
        <v>472</v>
      </c>
      <c r="D337" s="57" t="s">
        <v>365</v>
      </c>
      <c r="E337" s="197">
        <v>341198.66666666669</v>
      </c>
      <c r="F337" s="147">
        <f t="shared" ca="1" si="162"/>
        <v>365401</v>
      </c>
      <c r="G337" s="344">
        <f t="shared" ca="1" si="173"/>
        <v>2471</v>
      </c>
      <c r="H337" s="149">
        <f t="shared" ca="1" si="174"/>
        <v>4226</v>
      </c>
      <c r="I337" s="149">
        <f t="shared" si="213"/>
        <v>2703.094222222222</v>
      </c>
      <c r="J337" s="176">
        <f t="shared" ca="1" si="175"/>
        <v>531</v>
      </c>
      <c r="K337"/>
      <c r="L337" s="177">
        <f t="shared" ca="1" si="176"/>
        <v>59036</v>
      </c>
      <c r="M337" s="177">
        <f t="shared" ca="1" si="177"/>
        <v>83787</v>
      </c>
      <c r="N337" s="177">
        <f t="shared" ca="1" si="178"/>
        <v>78900</v>
      </c>
      <c r="O337" s="177">
        <f t="shared" ca="1" si="179"/>
        <v>63825</v>
      </c>
      <c r="P337" s="177">
        <f t="shared" ca="1" si="180"/>
        <v>43732</v>
      </c>
      <c r="Q337" s="177">
        <f t="shared" ca="1" si="181"/>
        <v>22432</v>
      </c>
      <c r="R337" s="177">
        <f t="shared" ca="1" si="182"/>
        <v>12774</v>
      </c>
      <c r="S337" s="177">
        <f t="shared" ca="1" si="183"/>
        <v>915</v>
      </c>
      <c r="T337" s="177">
        <f t="shared" ca="1" si="184"/>
        <v>365401</v>
      </c>
      <c r="U337" s="147"/>
      <c r="V337" s="152">
        <f t="shared" ref="V337:AC337" ca="1" si="218">L337/$T$337</f>
        <v>0.16156496561312092</v>
      </c>
      <c r="W337" s="152">
        <f t="shared" ca="1" si="218"/>
        <v>0.22930150711136532</v>
      </c>
      <c r="X337" s="152">
        <f t="shared" ca="1" si="218"/>
        <v>0.21592715947684873</v>
      </c>
      <c r="Y337" s="152">
        <f t="shared" ca="1" si="218"/>
        <v>0.17467111474790709</v>
      </c>
      <c r="Z337" s="152">
        <f t="shared" ca="1" si="218"/>
        <v>0.11968221214501329</v>
      </c>
      <c r="AA337" s="152">
        <f t="shared" ca="1" si="218"/>
        <v>6.1390089244419146E-2</v>
      </c>
      <c r="AB337" s="152">
        <f t="shared" ca="1" si="218"/>
        <v>3.4958853424046456E-2</v>
      </c>
      <c r="AC337" s="152">
        <f t="shared" ca="1" si="218"/>
        <v>2.5040982372790442E-3</v>
      </c>
      <c r="AD337" s="152"/>
      <c r="AE337" s="177">
        <f t="shared" ca="1" si="186"/>
        <v>624</v>
      </c>
      <c r="AF337" s="177">
        <f t="shared" ca="1" si="187"/>
        <v>689</v>
      </c>
      <c r="AG337" s="177">
        <f t="shared" ca="1" si="188"/>
        <v>971</v>
      </c>
      <c r="AH337" s="177">
        <f t="shared" ca="1" si="189"/>
        <v>846</v>
      </c>
      <c r="AI337" s="177">
        <f t="shared" ca="1" si="190"/>
        <v>601</v>
      </c>
      <c r="AJ337" s="177">
        <f t="shared" ca="1" si="191"/>
        <v>263</v>
      </c>
      <c r="AK337" s="177">
        <f t="shared" ca="1" si="192"/>
        <v>84</v>
      </c>
      <c r="AL337" s="177">
        <f t="shared" ca="1" si="193"/>
        <v>9</v>
      </c>
      <c r="AM337" s="177">
        <f t="shared" ca="1" si="194"/>
        <v>4087</v>
      </c>
      <c r="AN337" s="147"/>
      <c r="AX337">
        <f t="shared" ca="1" si="195"/>
        <v>14</v>
      </c>
      <c r="AY337">
        <f t="shared" ca="1" si="196"/>
        <v>46</v>
      </c>
      <c r="AZ337">
        <f t="shared" ca="1" si="197"/>
        <v>21</v>
      </c>
      <c r="BA337">
        <f t="shared" ca="1" si="198"/>
        <v>25</v>
      </c>
      <c r="BB337">
        <f t="shared" ca="1" si="199"/>
        <v>26</v>
      </c>
      <c r="BC337">
        <f t="shared" ca="1" si="200"/>
        <v>-1</v>
      </c>
      <c r="BD337">
        <f t="shared" ca="1" si="201"/>
        <v>2</v>
      </c>
      <c r="BE337">
        <f t="shared" ca="1" si="202"/>
        <v>6</v>
      </c>
      <c r="BF337">
        <f t="shared" ca="1" si="203"/>
        <v>139</v>
      </c>
      <c r="BH337" s="115">
        <v>0</v>
      </c>
      <c r="BI337" s="115">
        <v>1</v>
      </c>
      <c r="BJ337" s="154">
        <v>633384.73066666676</v>
      </c>
      <c r="BK337" s="155">
        <f t="shared" si="204"/>
        <v>633384.73066666676</v>
      </c>
      <c r="BL337" s="158">
        <v>940177.77644444443</v>
      </c>
      <c r="BM337" s="155">
        <f t="shared" si="205"/>
        <v>940177.77644444443</v>
      </c>
      <c r="BN337" s="158">
        <v>718940.95088888891</v>
      </c>
      <c r="BO337" s="155">
        <f t="shared" si="206"/>
        <v>718940.95088888891</v>
      </c>
      <c r="BP337" s="158">
        <v>841441.57333333336</v>
      </c>
      <c r="BQ337" s="155">
        <f t="shared" si="207"/>
        <v>841441.57333333336</v>
      </c>
      <c r="BR337" s="158">
        <v>1129785.1706666667</v>
      </c>
      <c r="BS337" s="155">
        <f t="shared" si="208"/>
        <v>1129785.1706666667</v>
      </c>
      <c r="BT337" s="178">
        <v>1106314.7853333333</v>
      </c>
      <c r="BU337" s="178"/>
      <c r="BV337" s="348">
        <f t="shared" si="165"/>
        <v>1106314.7853333333</v>
      </c>
      <c r="BW337" s="178"/>
      <c r="BX337" s="159">
        <f t="shared" si="209"/>
        <v>1281586.0257777777</v>
      </c>
      <c r="BY337" s="159"/>
      <c r="BZ337" s="159">
        <f t="shared" si="210"/>
        <v>417507.06606933341</v>
      </c>
      <c r="CA337" s="159"/>
      <c r="CB337" s="159">
        <f t="shared" si="211"/>
        <v>864078.95970844431</v>
      </c>
      <c r="CD337" s="159">
        <f t="shared" si="212"/>
        <v>3456315.8388337772</v>
      </c>
      <c r="CE337" s="155">
        <f t="shared" si="215"/>
        <v>864078.95970844431</v>
      </c>
    </row>
    <row r="338" spans="2:83" x14ac:dyDescent="0.2">
      <c r="B338" s="57" t="s">
        <v>528</v>
      </c>
      <c r="C338" s="57" t="s">
        <v>472</v>
      </c>
      <c r="D338" s="57" t="s">
        <v>366</v>
      </c>
      <c r="E338" s="197">
        <v>198234.77777777778</v>
      </c>
      <c r="F338" s="147">
        <f t="shared" ca="1" si="162"/>
        <v>199477</v>
      </c>
      <c r="G338" s="344">
        <f t="shared" ca="1" si="173"/>
        <v>1308</v>
      </c>
      <c r="H338" s="149">
        <f t="shared" ca="1" si="174"/>
        <v>1190</v>
      </c>
      <c r="I338" s="149">
        <f t="shared" si="213"/>
        <v>390.74266666666659</v>
      </c>
      <c r="J338" s="176">
        <f t="shared" ca="1" si="175"/>
        <v>300</v>
      </c>
      <c r="K338"/>
      <c r="L338" s="177">
        <f t="shared" ca="1" si="176"/>
        <v>21324</v>
      </c>
      <c r="M338" s="177">
        <f t="shared" ca="1" si="177"/>
        <v>32790</v>
      </c>
      <c r="N338" s="177">
        <f t="shared" ca="1" si="178"/>
        <v>46646</v>
      </c>
      <c r="O338" s="177">
        <f t="shared" ca="1" si="179"/>
        <v>41092</v>
      </c>
      <c r="P338" s="177">
        <f t="shared" ca="1" si="180"/>
        <v>31910</v>
      </c>
      <c r="Q338" s="177">
        <f t="shared" ca="1" si="181"/>
        <v>16517</v>
      </c>
      <c r="R338" s="177">
        <f t="shared" ca="1" si="182"/>
        <v>8452</v>
      </c>
      <c r="S338" s="177">
        <f t="shared" ca="1" si="183"/>
        <v>746</v>
      </c>
      <c r="T338" s="177">
        <f t="shared" ca="1" si="184"/>
        <v>199477</v>
      </c>
      <c r="U338" s="147"/>
      <c r="V338" s="152">
        <f t="shared" ref="V338:AC338" ca="1" si="219">L338/$T$338</f>
        <v>0.10689954230312267</v>
      </c>
      <c r="W338" s="152">
        <f t="shared" ca="1" si="219"/>
        <v>0.16437985331642244</v>
      </c>
      <c r="X338" s="152">
        <f t="shared" ca="1" si="219"/>
        <v>0.23384149551076064</v>
      </c>
      <c r="Y338" s="152">
        <f t="shared" ca="1" si="219"/>
        <v>0.20599868656536843</v>
      </c>
      <c r="Z338" s="152">
        <f t="shared" ca="1" si="219"/>
        <v>0.15996831714934553</v>
      </c>
      <c r="AA338" s="152">
        <f t="shared" ca="1" si="219"/>
        <v>8.2801525990465072E-2</v>
      </c>
      <c r="AB338" s="152">
        <f t="shared" ca="1" si="219"/>
        <v>4.2370799641061378E-2</v>
      </c>
      <c r="AC338" s="152">
        <f t="shared" ca="1" si="219"/>
        <v>3.7397795234538319E-3</v>
      </c>
      <c r="AD338" s="152"/>
      <c r="AE338" s="177">
        <f t="shared" ca="1" si="186"/>
        <v>114</v>
      </c>
      <c r="AF338" s="177">
        <f t="shared" ca="1" si="187"/>
        <v>191</v>
      </c>
      <c r="AG338" s="177">
        <f t="shared" ca="1" si="188"/>
        <v>305</v>
      </c>
      <c r="AH338" s="177">
        <f t="shared" ca="1" si="189"/>
        <v>215</v>
      </c>
      <c r="AI338" s="177">
        <f t="shared" ca="1" si="190"/>
        <v>170</v>
      </c>
      <c r="AJ338" s="177">
        <f t="shared" ca="1" si="191"/>
        <v>133</v>
      </c>
      <c r="AK338" s="177">
        <f t="shared" ca="1" si="192"/>
        <v>53</v>
      </c>
      <c r="AL338" s="177">
        <f t="shared" ca="1" si="193"/>
        <v>9</v>
      </c>
      <c r="AM338" s="177">
        <f t="shared" ca="1" si="194"/>
        <v>1190</v>
      </c>
      <c r="AN338" s="147"/>
      <c r="AX338">
        <f t="shared" ca="1" si="195"/>
        <v>16</v>
      </c>
      <c r="AY338">
        <f t="shared" ca="1" si="196"/>
        <v>7</v>
      </c>
      <c r="AZ338">
        <f t="shared" ca="1" si="197"/>
        <v>13</v>
      </c>
      <c r="BA338">
        <f t="shared" ca="1" si="198"/>
        <v>17</v>
      </c>
      <c r="BB338">
        <f t="shared" ca="1" si="199"/>
        <v>-27</v>
      </c>
      <c r="BC338">
        <f t="shared" ca="1" si="200"/>
        <v>-1</v>
      </c>
      <c r="BD338">
        <f t="shared" ca="1" si="201"/>
        <v>-15</v>
      </c>
      <c r="BE338">
        <f t="shared" ca="1" si="202"/>
        <v>-10</v>
      </c>
      <c r="BF338">
        <f t="shared" ca="1" si="203"/>
        <v>0</v>
      </c>
      <c r="BH338" s="115">
        <v>0</v>
      </c>
      <c r="BI338" s="115">
        <v>1</v>
      </c>
      <c r="BJ338" s="154">
        <v>267822.85066666669</v>
      </c>
      <c r="BK338" s="155">
        <f t="shared" si="204"/>
        <v>267822.85066666669</v>
      </c>
      <c r="BL338" s="158">
        <v>299678.38244444446</v>
      </c>
      <c r="BM338" s="155">
        <f t="shared" si="205"/>
        <v>299678.38244444446</v>
      </c>
      <c r="BN338" s="158">
        <v>313242.77622222225</v>
      </c>
      <c r="BO338" s="155">
        <f t="shared" si="206"/>
        <v>313242.77622222225</v>
      </c>
      <c r="BP338" s="158">
        <v>383260.6933333333</v>
      </c>
      <c r="BQ338" s="155">
        <f t="shared" si="207"/>
        <v>383260.6933333333</v>
      </c>
      <c r="BR338" s="158">
        <v>381755.44400000002</v>
      </c>
      <c r="BS338" s="155">
        <f t="shared" si="208"/>
        <v>381755.44400000002</v>
      </c>
      <c r="BT338" s="178">
        <v>367551.06266666669</v>
      </c>
      <c r="BU338" s="178"/>
      <c r="BV338" s="348">
        <f t="shared" si="165"/>
        <v>367551.06266666669</v>
      </c>
      <c r="BW338" s="178"/>
      <c r="BX338" s="159">
        <f t="shared" si="209"/>
        <v>382621.97422222223</v>
      </c>
      <c r="BY338" s="159"/>
      <c r="BZ338" s="159">
        <f t="shared" si="210"/>
        <v>242089.10357688891</v>
      </c>
      <c r="CA338" s="159"/>
      <c r="CB338" s="159">
        <f t="shared" si="211"/>
        <v>140532.87064533331</v>
      </c>
      <c r="CD338" s="159">
        <f t="shared" si="212"/>
        <v>562131.48258133326</v>
      </c>
      <c r="CE338" s="155">
        <f t="shared" si="215"/>
        <v>140532.87064533331</v>
      </c>
    </row>
    <row r="339" spans="2:83" x14ac:dyDescent="0.2">
      <c r="B339" s="57" t="s">
        <v>564</v>
      </c>
      <c r="C339" s="57" t="s">
        <v>443</v>
      </c>
      <c r="D339" s="57" t="s">
        <v>367</v>
      </c>
      <c r="E339" s="197">
        <v>241548.33333333331</v>
      </c>
      <c r="F339" s="147">
        <f t="shared" ca="1" si="162"/>
        <v>249105</v>
      </c>
      <c r="G339" s="344">
        <f t="shared" ca="1" si="173"/>
        <v>2088</v>
      </c>
      <c r="H339" s="149">
        <f t="shared" ca="1" si="174"/>
        <v>1506</v>
      </c>
      <c r="I339" s="149">
        <f t="shared" si="213"/>
        <v>556.21866666666665</v>
      </c>
      <c r="J339" s="176">
        <f t="shared" ca="1" si="175"/>
        <v>266</v>
      </c>
      <c r="K339"/>
      <c r="L339" s="177">
        <f t="shared" ca="1" si="176"/>
        <v>35987</v>
      </c>
      <c r="M339" s="177">
        <f t="shared" ca="1" si="177"/>
        <v>46047</v>
      </c>
      <c r="N339" s="177">
        <f t="shared" ca="1" si="178"/>
        <v>58071</v>
      </c>
      <c r="O339" s="177">
        <f t="shared" ca="1" si="179"/>
        <v>46893</v>
      </c>
      <c r="P339" s="177">
        <f t="shared" ca="1" si="180"/>
        <v>30626</v>
      </c>
      <c r="Q339" s="177">
        <f t="shared" ca="1" si="181"/>
        <v>17047</v>
      </c>
      <c r="R339" s="177">
        <f t="shared" ca="1" si="182"/>
        <v>12924</v>
      </c>
      <c r="S339" s="177">
        <f t="shared" ca="1" si="183"/>
        <v>1510</v>
      </c>
      <c r="T339" s="177">
        <f t="shared" ca="1" si="184"/>
        <v>249105</v>
      </c>
      <c r="U339" s="147"/>
      <c r="V339" s="152">
        <f t="shared" ref="V339:AC339" ca="1" si="220">L339/$T$339</f>
        <v>0.1444651853636017</v>
      </c>
      <c r="W339" s="152">
        <f t="shared" ca="1" si="220"/>
        <v>0.18484976214849161</v>
      </c>
      <c r="X339" s="152">
        <f t="shared" ca="1" si="220"/>
        <v>0.23311856446076956</v>
      </c>
      <c r="Y339" s="152">
        <f t="shared" ca="1" si="220"/>
        <v>0.18824592039501414</v>
      </c>
      <c r="Z339" s="152">
        <f t="shared" ca="1" si="220"/>
        <v>0.12294414002127617</v>
      </c>
      <c r="AA339" s="152">
        <f t="shared" ca="1" si="220"/>
        <v>6.8432990104574376E-2</v>
      </c>
      <c r="AB339" s="152">
        <f t="shared" ca="1" si="220"/>
        <v>5.1881736617089176E-2</v>
      </c>
      <c r="AC339" s="152">
        <f t="shared" ca="1" si="220"/>
        <v>6.0617008891832762E-3</v>
      </c>
      <c r="AD339" s="152"/>
      <c r="AE339" s="177">
        <f t="shared" ca="1" si="186"/>
        <v>232</v>
      </c>
      <c r="AF339" s="177">
        <f t="shared" ca="1" si="187"/>
        <v>336</v>
      </c>
      <c r="AG339" s="177">
        <f t="shared" ca="1" si="188"/>
        <v>253</v>
      </c>
      <c r="AH339" s="177">
        <f t="shared" ca="1" si="189"/>
        <v>261</v>
      </c>
      <c r="AI339" s="177">
        <f t="shared" ca="1" si="190"/>
        <v>135</v>
      </c>
      <c r="AJ339" s="177">
        <f t="shared" ca="1" si="191"/>
        <v>121</v>
      </c>
      <c r="AK339" s="177">
        <f t="shared" ca="1" si="192"/>
        <v>103</v>
      </c>
      <c r="AL339" s="177">
        <f t="shared" ca="1" si="193"/>
        <v>10</v>
      </c>
      <c r="AM339" s="177">
        <f t="shared" ca="1" si="194"/>
        <v>1451</v>
      </c>
      <c r="AN339" s="147"/>
      <c r="AX339">
        <f t="shared" ca="1" si="195"/>
        <v>3</v>
      </c>
      <c r="AY339">
        <f t="shared" ca="1" si="196"/>
        <v>-7</v>
      </c>
      <c r="AZ339">
        <f t="shared" ca="1" si="197"/>
        <v>21</v>
      </c>
      <c r="BA339">
        <f t="shared" ca="1" si="198"/>
        <v>-2</v>
      </c>
      <c r="BB339">
        <f t="shared" ca="1" si="199"/>
        <v>24</v>
      </c>
      <c r="BC339">
        <f t="shared" ca="1" si="200"/>
        <v>15</v>
      </c>
      <c r="BD339">
        <f t="shared" ca="1" si="201"/>
        <v>-6</v>
      </c>
      <c r="BE339">
        <f t="shared" ca="1" si="202"/>
        <v>7</v>
      </c>
      <c r="BF339">
        <f t="shared" ca="1" si="203"/>
        <v>55</v>
      </c>
      <c r="BH339" s="115">
        <v>0</v>
      </c>
      <c r="BI339" s="115">
        <v>1</v>
      </c>
      <c r="BJ339" s="154">
        <v>375156.68</v>
      </c>
      <c r="BK339" s="155">
        <f t="shared" si="204"/>
        <v>375156.68</v>
      </c>
      <c r="BL339" s="158">
        <v>455473.91333333333</v>
      </c>
      <c r="BM339" s="155">
        <f t="shared" si="205"/>
        <v>455473.91333333333</v>
      </c>
      <c r="BN339" s="158">
        <v>464777.89111111121</v>
      </c>
      <c r="BO339" s="155">
        <f t="shared" si="206"/>
        <v>464777.89111111121</v>
      </c>
      <c r="BP339" s="158">
        <v>520879.30666666664</v>
      </c>
      <c r="BQ339" s="155">
        <f t="shared" si="207"/>
        <v>520879.30666666664</v>
      </c>
      <c r="BR339" s="158">
        <v>458411.69288888888</v>
      </c>
      <c r="BS339" s="155">
        <f t="shared" si="208"/>
        <v>458411.69288888888</v>
      </c>
      <c r="BT339" s="178">
        <v>445227.41822222224</v>
      </c>
      <c r="BU339" s="178"/>
      <c r="BV339" s="348">
        <f t="shared" si="165"/>
        <v>445227.41822222224</v>
      </c>
      <c r="BW339" s="178"/>
      <c r="BX339" s="159">
        <f t="shared" si="209"/>
        <v>477963.8631111111</v>
      </c>
      <c r="BY339" s="159"/>
      <c r="BZ339" s="159">
        <f t="shared" si="210"/>
        <v>289189.89835377783</v>
      </c>
      <c r="CA339" s="159"/>
      <c r="CB339" s="159">
        <f t="shared" si="211"/>
        <v>188773.96475733331</v>
      </c>
      <c r="CD339" s="159">
        <f t="shared" si="212"/>
        <v>755095.85902933322</v>
      </c>
      <c r="CE339" s="155">
        <f t="shared" si="215"/>
        <v>188773.96475733331</v>
      </c>
    </row>
    <row r="340" spans="2:83" x14ac:dyDescent="0.2">
      <c r="B340" s="57" t="s">
        <v>467</v>
      </c>
      <c r="C340" s="57" t="s">
        <v>459</v>
      </c>
      <c r="D340" s="57" t="s">
        <v>368</v>
      </c>
      <c r="E340" s="197">
        <v>611396.4444444445</v>
      </c>
      <c r="F340" s="147">
        <f t="shared" ca="1" si="162"/>
        <v>626144</v>
      </c>
      <c r="G340" s="344">
        <f t="shared" ca="1" si="173"/>
        <v>3905</v>
      </c>
      <c r="H340" s="149">
        <f t="shared" ca="1" si="174"/>
        <v>5317</v>
      </c>
      <c r="I340" s="149">
        <f t="shared" si="213"/>
        <v>3167.5173333333332</v>
      </c>
      <c r="J340" s="176">
        <f t="shared" ca="1" si="175"/>
        <v>679</v>
      </c>
      <c r="K340"/>
      <c r="L340" s="177">
        <f t="shared" ca="1" si="176"/>
        <v>53950</v>
      </c>
      <c r="M340" s="177">
        <f t="shared" ca="1" si="177"/>
        <v>114903</v>
      </c>
      <c r="N340" s="177">
        <f t="shared" ca="1" si="178"/>
        <v>184240</v>
      </c>
      <c r="O340" s="177">
        <f t="shared" ca="1" si="179"/>
        <v>122445</v>
      </c>
      <c r="P340" s="177">
        <f t="shared" ca="1" si="180"/>
        <v>75345</v>
      </c>
      <c r="Q340" s="177">
        <f t="shared" ca="1" si="181"/>
        <v>43104</v>
      </c>
      <c r="R340" s="177">
        <f t="shared" ca="1" si="182"/>
        <v>28678</v>
      </c>
      <c r="S340" s="177">
        <f t="shared" ca="1" si="183"/>
        <v>3479</v>
      </c>
      <c r="T340" s="177">
        <f t="shared" ca="1" si="184"/>
        <v>626144</v>
      </c>
      <c r="U340" s="147"/>
      <c r="V340" s="152">
        <f t="shared" ref="V340:AC340" ca="1" si="221">L340/$T$340</f>
        <v>8.6162288547043497E-2</v>
      </c>
      <c r="W340" s="152">
        <f t="shared" ca="1" si="221"/>
        <v>0.18350890529973934</v>
      </c>
      <c r="X340" s="152">
        <f t="shared" ca="1" si="221"/>
        <v>0.29424541319568659</v>
      </c>
      <c r="Y340" s="152">
        <f t="shared" ca="1" si="221"/>
        <v>0.19555405785250676</v>
      </c>
      <c r="Z340" s="152">
        <f t="shared" ca="1" si="221"/>
        <v>0.12033174477436501</v>
      </c>
      <c r="AA340" s="152">
        <f t="shared" ca="1" si="221"/>
        <v>6.8840394541830635E-2</v>
      </c>
      <c r="AB340" s="152">
        <f t="shared" ca="1" si="221"/>
        <v>4.5800965911994687E-2</v>
      </c>
      <c r="AC340" s="152">
        <f t="shared" ca="1" si="221"/>
        <v>5.5562298768334437E-3</v>
      </c>
      <c r="AD340" s="152"/>
      <c r="AE340" s="177">
        <f t="shared" ca="1" si="186"/>
        <v>436</v>
      </c>
      <c r="AF340" s="177">
        <f t="shared" ca="1" si="187"/>
        <v>989</v>
      </c>
      <c r="AG340" s="177">
        <f t="shared" ca="1" si="188"/>
        <v>1169</v>
      </c>
      <c r="AH340" s="177">
        <f t="shared" ca="1" si="189"/>
        <v>1117</v>
      </c>
      <c r="AI340" s="177">
        <f t="shared" ca="1" si="190"/>
        <v>910</v>
      </c>
      <c r="AJ340" s="177">
        <f t="shared" ca="1" si="191"/>
        <v>548</v>
      </c>
      <c r="AK340" s="177">
        <f t="shared" ca="1" si="192"/>
        <v>349</v>
      </c>
      <c r="AL340" s="177">
        <f t="shared" ca="1" si="193"/>
        <v>42</v>
      </c>
      <c r="AM340" s="177">
        <f t="shared" ca="1" si="194"/>
        <v>5560</v>
      </c>
      <c r="AN340" s="147"/>
      <c r="AX340">
        <f t="shared" ca="1" si="195"/>
        <v>-36</v>
      </c>
      <c r="AY340">
        <f t="shared" ca="1" si="196"/>
        <v>33</v>
      </c>
      <c r="AZ340">
        <f t="shared" ca="1" si="197"/>
        <v>-52</v>
      </c>
      <c r="BA340">
        <f t="shared" ca="1" si="198"/>
        <v>-88</v>
      </c>
      <c r="BB340">
        <f t="shared" ca="1" si="199"/>
        <v>-29</v>
      </c>
      <c r="BC340">
        <f t="shared" ca="1" si="200"/>
        <v>-22</v>
      </c>
      <c r="BD340">
        <f t="shared" ca="1" si="201"/>
        <v>-49</v>
      </c>
      <c r="BE340">
        <f t="shared" ca="1" si="202"/>
        <v>0</v>
      </c>
      <c r="BF340">
        <f t="shared" ca="1" si="203"/>
        <v>-243</v>
      </c>
      <c r="BH340" s="115">
        <v>0</v>
      </c>
      <c r="BI340" s="115">
        <v>1</v>
      </c>
      <c r="BJ340" s="154">
        <v>1010012.6133333335</v>
      </c>
      <c r="BK340" s="155">
        <f t="shared" si="204"/>
        <v>1010012.6133333335</v>
      </c>
      <c r="BL340" s="158">
        <v>1090656.8123218392</v>
      </c>
      <c r="BM340" s="155">
        <f t="shared" si="205"/>
        <v>1090656.8123218392</v>
      </c>
      <c r="BN340" s="158">
        <v>1397618.3231111113</v>
      </c>
      <c r="BO340" s="155">
        <f t="shared" si="206"/>
        <v>1397618.3231111113</v>
      </c>
      <c r="BP340" s="158">
        <v>1239893.5466666666</v>
      </c>
      <c r="BQ340" s="155">
        <f t="shared" si="207"/>
        <v>1239893.5466666666</v>
      </c>
      <c r="BR340" s="158">
        <v>1161357.9666666666</v>
      </c>
      <c r="BS340" s="155">
        <f t="shared" si="208"/>
        <v>1161357.9666666666</v>
      </c>
      <c r="BT340" s="178">
        <v>1570883.5800000003</v>
      </c>
      <c r="BU340" s="178"/>
      <c r="BV340" s="348">
        <f t="shared" si="165"/>
        <v>1570883.5800000003</v>
      </c>
      <c r="BW340" s="178"/>
      <c r="BX340" s="159">
        <f t="shared" si="209"/>
        <v>1731269.648</v>
      </c>
      <c r="BY340" s="159"/>
      <c r="BZ340" s="159">
        <f t="shared" si="210"/>
        <v>714758.0855253333</v>
      </c>
      <c r="CA340" s="159"/>
      <c r="CB340" s="159">
        <f t="shared" si="211"/>
        <v>1016511.5624746667</v>
      </c>
      <c r="CD340" s="159">
        <f t="shared" si="212"/>
        <v>4066046.249898667</v>
      </c>
      <c r="CE340" s="155">
        <f t="shared" si="215"/>
        <v>1016511.5624746667</v>
      </c>
    </row>
    <row r="341" spans="2:83" x14ac:dyDescent="0.2">
      <c r="B341" s="57" t="s">
        <v>518</v>
      </c>
      <c r="C341" s="57" t="s">
        <v>472</v>
      </c>
      <c r="D341" s="57" t="s">
        <v>369</v>
      </c>
      <c r="E341" s="197">
        <v>262914.88888888893</v>
      </c>
      <c r="F341" s="147">
        <f t="shared" ca="1" si="162"/>
        <v>282910</v>
      </c>
      <c r="G341" s="344">
        <f t="shared" ca="1" si="173"/>
        <v>2464</v>
      </c>
      <c r="H341" s="149">
        <f t="shared" ca="1" si="174"/>
        <v>2907</v>
      </c>
      <c r="I341" s="149">
        <f t="shared" si="213"/>
        <v>1843.7848888888889</v>
      </c>
      <c r="J341" s="176">
        <f t="shared" ca="1" si="175"/>
        <v>511</v>
      </c>
      <c r="K341"/>
      <c r="L341" s="177">
        <f t="shared" ca="1" si="176"/>
        <v>50165</v>
      </c>
      <c r="M341" s="177">
        <f t="shared" ca="1" si="177"/>
        <v>62393</v>
      </c>
      <c r="N341" s="177">
        <f t="shared" ca="1" si="178"/>
        <v>69250</v>
      </c>
      <c r="O341" s="177">
        <f t="shared" ca="1" si="179"/>
        <v>40970</v>
      </c>
      <c r="P341" s="177">
        <f t="shared" ca="1" si="180"/>
        <v>30088</v>
      </c>
      <c r="Q341" s="177">
        <f t="shared" ca="1" si="181"/>
        <v>16901</v>
      </c>
      <c r="R341" s="177">
        <f t="shared" ca="1" si="182"/>
        <v>11832</v>
      </c>
      <c r="S341" s="177">
        <f t="shared" ca="1" si="183"/>
        <v>1311</v>
      </c>
      <c r="T341" s="177">
        <f t="shared" ca="1" si="184"/>
        <v>282910</v>
      </c>
      <c r="U341" s="147"/>
      <c r="V341" s="152">
        <f t="shared" ref="V341:AC341" ca="1" si="222">L341/$T$341</f>
        <v>0.17731787494256124</v>
      </c>
      <c r="W341" s="152">
        <f t="shared" ca="1" si="222"/>
        <v>0.22054010109222014</v>
      </c>
      <c r="X341" s="152">
        <f t="shared" ca="1" si="222"/>
        <v>0.24477749107490016</v>
      </c>
      <c r="Y341" s="152">
        <f t="shared" ca="1" si="222"/>
        <v>0.14481637269803119</v>
      </c>
      <c r="Z341" s="152">
        <f t="shared" ca="1" si="222"/>
        <v>0.10635184334240572</v>
      </c>
      <c r="AA341" s="152">
        <f t="shared" ca="1" si="222"/>
        <v>5.9739846594323284E-2</v>
      </c>
      <c r="AB341" s="152">
        <f t="shared" ca="1" si="222"/>
        <v>4.1822487716941782E-2</v>
      </c>
      <c r="AC341" s="152">
        <f t="shared" ca="1" si="222"/>
        <v>4.6339825386165212E-3</v>
      </c>
      <c r="AD341" s="152"/>
      <c r="AE341" s="177">
        <f t="shared" ca="1" si="186"/>
        <v>414</v>
      </c>
      <c r="AF341" s="177">
        <f t="shared" ca="1" si="187"/>
        <v>451</v>
      </c>
      <c r="AG341" s="177">
        <f t="shared" ca="1" si="188"/>
        <v>819</v>
      </c>
      <c r="AH341" s="177">
        <f t="shared" ca="1" si="189"/>
        <v>488</v>
      </c>
      <c r="AI341" s="177">
        <f t="shared" ca="1" si="190"/>
        <v>437</v>
      </c>
      <c r="AJ341" s="177">
        <f t="shared" ca="1" si="191"/>
        <v>305</v>
      </c>
      <c r="AK341" s="177">
        <f t="shared" ca="1" si="192"/>
        <v>119</v>
      </c>
      <c r="AL341" s="177">
        <f t="shared" ca="1" si="193"/>
        <v>12</v>
      </c>
      <c r="AM341" s="177">
        <f t="shared" ca="1" si="194"/>
        <v>3045</v>
      </c>
      <c r="AN341" s="147"/>
      <c r="AX341">
        <f t="shared" ca="1" si="195"/>
        <v>7</v>
      </c>
      <c r="AY341">
        <f t="shared" ca="1" si="196"/>
        <v>9</v>
      </c>
      <c r="AZ341">
        <f t="shared" ca="1" si="197"/>
        <v>-45</v>
      </c>
      <c r="BA341">
        <f t="shared" ca="1" si="198"/>
        <v>-74</v>
      </c>
      <c r="BB341">
        <f t="shared" ca="1" si="199"/>
        <v>-32</v>
      </c>
      <c r="BC341">
        <f t="shared" ca="1" si="200"/>
        <v>-5</v>
      </c>
      <c r="BD341">
        <f t="shared" ca="1" si="201"/>
        <v>-1</v>
      </c>
      <c r="BE341">
        <f t="shared" ca="1" si="202"/>
        <v>3</v>
      </c>
      <c r="BF341">
        <f t="shared" ca="1" si="203"/>
        <v>-138</v>
      </c>
      <c r="BH341" s="115">
        <v>0</v>
      </c>
      <c r="BI341" s="115">
        <v>1</v>
      </c>
      <c r="BJ341" s="154">
        <v>589344.59866666677</v>
      </c>
      <c r="BK341" s="155">
        <f t="shared" si="204"/>
        <v>589344.59866666677</v>
      </c>
      <c r="BL341" s="158">
        <v>622315.94016858249</v>
      </c>
      <c r="BM341" s="155">
        <f t="shared" si="205"/>
        <v>622315.94016858249</v>
      </c>
      <c r="BN341" s="158">
        <v>607215.40755555569</v>
      </c>
      <c r="BO341" s="155">
        <f t="shared" si="206"/>
        <v>607215.40755555569</v>
      </c>
      <c r="BP341" s="158">
        <v>726773.81333333335</v>
      </c>
      <c r="BQ341" s="155">
        <f t="shared" si="207"/>
        <v>726773.81333333335</v>
      </c>
      <c r="BR341" s="158">
        <v>903757.84133333329</v>
      </c>
      <c r="BS341" s="155">
        <f t="shared" si="208"/>
        <v>903757.84133333329</v>
      </c>
      <c r="BT341" s="178">
        <v>1030190.3733333334</v>
      </c>
      <c r="BU341" s="178"/>
      <c r="BV341" s="348">
        <f t="shared" si="165"/>
        <v>1030190.3733333334</v>
      </c>
      <c r="BW341" s="178"/>
      <c r="BX341" s="159">
        <f t="shared" si="209"/>
        <v>921521.20088888903</v>
      </c>
      <c r="BY341" s="159"/>
      <c r="BZ341" s="159">
        <f t="shared" si="210"/>
        <v>321715.27795911109</v>
      </c>
      <c r="CA341" s="159"/>
      <c r="CB341" s="159">
        <f t="shared" si="211"/>
        <v>599805.922929778</v>
      </c>
      <c r="CD341" s="159">
        <f t="shared" si="212"/>
        <v>2399223.691719112</v>
      </c>
      <c r="CE341" s="155">
        <f t="shared" si="215"/>
        <v>599805.922929778</v>
      </c>
    </row>
    <row r="342" spans="2:83" x14ac:dyDescent="0.2">
      <c r="B342" s="57" t="s">
        <v>469</v>
      </c>
      <c r="C342" s="57" t="s">
        <v>443</v>
      </c>
      <c r="D342" s="57" t="s">
        <v>370</v>
      </c>
      <c r="E342" s="197">
        <v>583257.22222222236</v>
      </c>
      <c r="F342" s="147">
        <f t="shared" ca="1" si="162"/>
        <v>582874</v>
      </c>
      <c r="G342" s="344">
        <f t="shared" ca="1" si="173"/>
        <v>2880</v>
      </c>
      <c r="H342" s="149">
        <f t="shared" ca="1" si="174"/>
        <v>5206</v>
      </c>
      <c r="I342" s="149">
        <f t="shared" si="213"/>
        <v>2911.3528888888891</v>
      </c>
      <c r="J342" s="176">
        <f t="shared" ca="1" si="175"/>
        <v>794</v>
      </c>
      <c r="K342"/>
      <c r="L342" s="177">
        <f t="shared" ca="1" si="176"/>
        <v>41586</v>
      </c>
      <c r="M342" s="177">
        <f t="shared" ca="1" si="177"/>
        <v>101052</v>
      </c>
      <c r="N342" s="177">
        <f t="shared" ca="1" si="178"/>
        <v>161212</v>
      </c>
      <c r="O342" s="177">
        <f t="shared" ca="1" si="179"/>
        <v>115138</v>
      </c>
      <c r="P342" s="177">
        <f t="shared" ca="1" si="180"/>
        <v>83125</v>
      </c>
      <c r="Q342" s="177">
        <f t="shared" ca="1" si="181"/>
        <v>48376</v>
      </c>
      <c r="R342" s="177">
        <f t="shared" ca="1" si="182"/>
        <v>29107</v>
      </c>
      <c r="S342" s="177">
        <f t="shared" ca="1" si="183"/>
        <v>3278</v>
      </c>
      <c r="T342" s="177">
        <f t="shared" ca="1" si="184"/>
        <v>582874</v>
      </c>
      <c r="U342" s="147"/>
      <c r="V342" s="152">
        <f t="shared" ref="V342:AC342" ca="1" si="223">L342/$T$342</f>
        <v>7.1346465960053118E-2</v>
      </c>
      <c r="W342" s="152">
        <f t="shared" ca="1" si="223"/>
        <v>0.17336851532235098</v>
      </c>
      <c r="X342" s="152">
        <f t="shared" ca="1" si="223"/>
        <v>0.27658121652363976</v>
      </c>
      <c r="Y342" s="152">
        <f t="shared" ca="1" si="223"/>
        <v>0.19753497325322453</v>
      </c>
      <c r="Z342" s="152">
        <f t="shared" ca="1" si="223"/>
        <v>0.14261229699729272</v>
      </c>
      <c r="AA342" s="152">
        <f t="shared" ca="1" si="223"/>
        <v>8.299563885162145E-2</v>
      </c>
      <c r="AB342" s="152">
        <f t="shared" ca="1" si="223"/>
        <v>4.9937036134739238E-2</v>
      </c>
      <c r="AC342" s="152">
        <f t="shared" ca="1" si="223"/>
        <v>5.6238569570782023E-3</v>
      </c>
      <c r="AD342" s="152"/>
      <c r="AE342" s="177">
        <f t="shared" ca="1" si="186"/>
        <v>445</v>
      </c>
      <c r="AF342" s="177">
        <f t="shared" ca="1" si="187"/>
        <v>1130</v>
      </c>
      <c r="AG342" s="177">
        <f t="shared" ca="1" si="188"/>
        <v>1261</v>
      </c>
      <c r="AH342" s="177">
        <f t="shared" ca="1" si="189"/>
        <v>992</v>
      </c>
      <c r="AI342" s="177">
        <f t="shared" ca="1" si="190"/>
        <v>586</v>
      </c>
      <c r="AJ342" s="177">
        <f t="shared" ca="1" si="191"/>
        <v>411</v>
      </c>
      <c r="AK342" s="177">
        <f t="shared" ca="1" si="192"/>
        <v>314</v>
      </c>
      <c r="AL342" s="177">
        <f t="shared" ca="1" si="193"/>
        <v>20</v>
      </c>
      <c r="AM342" s="177">
        <f t="shared" ca="1" si="194"/>
        <v>5159</v>
      </c>
      <c r="AN342" s="147"/>
      <c r="AX342">
        <f t="shared" ca="1" si="195"/>
        <v>43</v>
      </c>
      <c r="AY342">
        <f t="shared" ca="1" si="196"/>
        <v>8</v>
      </c>
      <c r="AZ342">
        <f t="shared" ca="1" si="197"/>
        <v>13</v>
      </c>
      <c r="BA342">
        <f t="shared" ca="1" si="198"/>
        <v>-30</v>
      </c>
      <c r="BB342">
        <f t="shared" ca="1" si="199"/>
        <v>9</v>
      </c>
      <c r="BC342">
        <f t="shared" ca="1" si="200"/>
        <v>-7</v>
      </c>
      <c r="BD342">
        <f t="shared" ca="1" si="201"/>
        <v>3</v>
      </c>
      <c r="BE342">
        <f t="shared" ca="1" si="202"/>
        <v>8</v>
      </c>
      <c r="BF342">
        <f t="shared" ca="1" si="203"/>
        <v>47</v>
      </c>
      <c r="BH342" s="115">
        <v>0</v>
      </c>
      <c r="BI342" s="115">
        <v>1</v>
      </c>
      <c r="BJ342" s="154">
        <v>1024532.7440000001</v>
      </c>
      <c r="BK342" s="155">
        <f t="shared" si="204"/>
        <v>1024532.7440000001</v>
      </c>
      <c r="BL342" s="158">
        <v>1352704.0233333334</v>
      </c>
      <c r="BM342" s="155">
        <f t="shared" si="205"/>
        <v>1352704.0233333334</v>
      </c>
      <c r="BN342" s="158">
        <v>1219586.1002222225</v>
      </c>
      <c r="BO342" s="155">
        <f t="shared" si="206"/>
        <v>1219586.1002222225</v>
      </c>
      <c r="BP342" s="158">
        <v>1319064.6666666667</v>
      </c>
      <c r="BQ342" s="155">
        <f t="shared" si="207"/>
        <v>1319064.6666666667</v>
      </c>
      <c r="BR342" s="158">
        <v>1262476.8804444447</v>
      </c>
      <c r="BS342" s="155">
        <f t="shared" si="208"/>
        <v>1262476.8804444447</v>
      </c>
      <c r="BT342" s="178">
        <v>1447894.3764444448</v>
      </c>
      <c r="BU342" s="178"/>
      <c r="BV342" s="348">
        <f t="shared" si="165"/>
        <v>1447894.3764444448</v>
      </c>
      <c r="BW342" s="178"/>
      <c r="BX342" s="159">
        <f t="shared" si="209"/>
        <v>1646322.4000000001</v>
      </c>
      <c r="BY342" s="159"/>
      <c r="BZ342" s="159">
        <f t="shared" si="210"/>
        <v>700124.61505422229</v>
      </c>
      <c r="CA342" s="159"/>
      <c r="CB342" s="159">
        <f t="shared" si="211"/>
        <v>946197.78494577773</v>
      </c>
      <c r="CD342" s="159">
        <f t="shared" si="212"/>
        <v>3784791.1397831109</v>
      </c>
      <c r="CE342" s="155">
        <f t="shared" si="215"/>
        <v>946197.78494577773</v>
      </c>
    </row>
    <row r="343" spans="2:83" x14ac:dyDescent="0.2">
      <c r="B343" s="57" t="s">
        <v>500</v>
      </c>
      <c r="C343" s="57" t="s">
        <v>459</v>
      </c>
      <c r="D343" s="57" t="s">
        <v>371</v>
      </c>
      <c r="E343" s="197">
        <v>517001.22222222219</v>
      </c>
      <c r="F343" s="147">
        <f t="shared" ca="1" si="162"/>
        <v>484875</v>
      </c>
      <c r="G343" s="344">
        <f t="shared" ca="1" si="173"/>
        <v>2475</v>
      </c>
      <c r="H343" s="149">
        <f t="shared" ca="1" si="174"/>
        <v>4044</v>
      </c>
      <c r="I343" s="149">
        <f t="shared" si="213"/>
        <v>2223.217333333333</v>
      </c>
      <c r="J343" s="176">
        <f t="shared" ca="1" si="175"/>
        <v>680</v>
      </c>
      <c r="K343"/>
      <c r="L343" s="177">
        <f t="shared" ca="1" si="176"/>
        <v>11160</v>
      </c>
      <c r="M343" s="177">
        <f t="shared" ca="1" si="177"/>
        <v>49750</v>
      </c>
      <c r="N343" s="177">
        <f t="shared" ca="1" si="178"/>
        <v>136700</v>
      </c>
      <c r="O343" s="177">
        <f t="shared" ca="1" si="179"/>
        <v>122182</v>
      </c>
      <c r="P343" s="177">
        <f t="shared" ca="1" si="180"/>
        <v>74762</v>
      </c>
      <c r="Q343" s="177">
        <f t="shared" ca="1" si="181"/>
        <v>45045</v>
      </c>
      <c r="R343" s="177">
        <f t="shared" ca="1" si="182"/>
        <v>38677</v>
      </c>
      <c r="S343" s="177">
        <f t="shared" ca="1" si="183"/>
        <v>6599</v>
      </c>
      <c r="T343" s="177">
        <f t="shared" ca="1" si="184"/>
        <v>484875</v>
      </c>
      <c r="U343" s="147"/>
      <c r="V343" s="152">
        <f t="shared" ref="V343:AC343" ca="1" si="224">L343/$T$343</f>
        <v>2.3016241299303946E-2</v>
      </c>
      <c r="W343" s="152">
        <f t="shared" ca="1" si="224"/>
        <v>0.10260376385666409</v>
      </c>
      <c r="X343" s="152">
        <f t="shared" ca="1" si="224"/>
        <v>0.28192833204434131</v>
      </c>
      <c r="Y343" s="152">
        <f t="shared" ca="1" si="224"/>
        <v>0.25198659448311422</v>
      </c>
      <c r="Z343" s="152">
        <f t="shared" ca="1" si="224"/>
        <v>0.15418819283320442</v>
      </c>
      <c r="AA343" s="152">
        <f t="shared" ca="1" si="224"/>
        <v>9.2900232018561485E-2</v>
      </c>
      <c r="AB343" s="152">
        <f t="shared" ca="1" si="224"/>
        <v>7.9766950244908486E-2</v>
      </c>
      <c r="AC343" s="152">
        <f t="shared" ca="1" si="224"/>
        <v>1.3609693219902037E-2</v>
      </c>
      <c r="AD343" s="152"/>
      <c r="AE343" s="177">
        <f t="shared" ca="1" si="186"/>
        <v>406</v>
      </c>
      <c r="AF343" s="177">
        <f t="shared" ca="1" si="187"/>
        <v>427</v>
      </c>
      <c r="AG343" s="177">
        <f t="shared" ca="1" si="188"/>
        <v>1222</v>
      </c>
      <c r="AH343" s="177">
        <f t="shared" ca="1" si="189"/>
        <v>990</v>
      </c>
      <c r="AI343" s="177">
        <f t="shared" ca="1" si="190"/>
        <v>520</v>
      </c>
      <c r="AJ343" s="177">
        <f t="shared" ca="1" si="191"/>
        <v>438</v>
      </c>
      <c r="AK343" s="177">
        <f t="shared" ca="1" si="192"/>
        <v>318</v>
      </c>
      <c r="AL343" s="177">
        <f t="shared" ca="1" si="193"/>
        <v>111</v>
      </c>
      <c r="AM343" s="177">
        <f t="shared" ca="1" si="194"/>
        <v>4432</v>
      </c>
      <c r="AN343" s="147"/>
      <c r="AX343">
        <f t="shared" ca="1" si="195"/>
        <v>-39</v>
      </c>
      <c r="AY343">
        <f t="shared" ca="1" si="196"/>
        <v>-27</v>
      </c>
      <c r="AZ343">
        <f t="shared" ca="1" si="197"/>
        <v>-95</v>
      </c>
      <c r="BA343">
        <f t="shared" ca="1" si="198"/>
        <v>-99</v>
      </c>
      <c r="BB343">
        <f t="shared" ca="1" si="199"/>
        <v>-80</v>
      </c>
      <c r="BC343">
        <f t="shared" ca="1" si="200"/>
        <v>-22</v>
      </c>
      <c r="BD343">
        <f t="shared" ca="1" si="201"/>
        <v>-12</v>
      </c>
      <c r="BE343">
        <f t="shared" ca="1" si="202"/>
        <v>-14</v>
      </c>
      <c r="BF343">
        <f t="shared" ca="1" si="203"/>
        <v>-388</v>
      </c>
      <c r="BH343" s="115">
        <v>0</v>
      </c>
      <c r="BI343" s="115">
        <v>1</v>
      </c>
      <c r="BJ343" s="154">
        <v>769886.75199999998</v>
      </c>
      <c r="BK343" s="155">
        <f t="shared" si="204"/>
        <v>769886.75199999998</v>
      </c>
      <c r="BL343" s="158">
        <v>1229839.8562222223</v>
      </c>
      <c r="BM343" s="155">
        <f t="shared" si="205"/>
        <v>1229839.8562222223</v>
      </c>
      <c r="BN343" s="158">
        <v>1114327.8255555555</v>
      </c>
      <c r="BO343" s="155">
        <f t="shared" si="206"/>
        <v>1114327.8255555555</v>
      </c>
      <c r="BP343" s="158">
        <v>1190453.9466666668</v>
      </c>
      <c r="BQ343" s="155">
        <f t="shared" si="207"/>
        <v>1190453.9466666668</v>
      </c>
      <c r="BR343" s="158">
        <v>1152066.0604444444</v>
      </c>
      <c r="BS343" s="155">
        <f t="shared" si="208"/>
        <v>1152066.0604444444</v>
      </c>
      <c r="BT343" s="178">
        <v>1178906.7453333335</v>
      </c>
      <c r="BU343" s="178"/>
      <c r="BV343" s="348">
        <f t="shared" si="165"/>
        <v>1178906.7453333335</v>
      </c>
      <c r="BW343" s="178"/>
      <c r="BX343" s="159">
        <f t="shared" si="209"/>
        <v>1360336.3724444443</v>
      </c>
      <c r="BY343" s="159"/>
      <c r="BZ343" s="159">
        <f t="shared" si="210"/>
        <v>632627.51156977774</v>
      </c>
      <c r="CA343" s="159"/>
      <c r="CB343" s="159">
        <f t="shared" si="211"/>
        <v>727708.8608746666</v>
      </c>
      <c r="CD343" s="159">
        <f t="shared" si="212"/>
        <v>2910835.4434986664</v>
      </c>
      <c r="CE343" s="155">
        <f t="shared" si="215"/>
        <v>727708.8608746666</v>
      </c>
    </row>
    <row r="344" spans="2:83" x14ac:dyDescent="0.2">
      <c r="B344" s="57" t="s">
        <v>372</v>
      </c>
      <c r="C344" s="57" t="s">
        <v>443</v>
      </c>
      <c r="D344" s="57" t="s">
        <v>372</v>
      </c>
      <c r="E344" s="197">
        <v>636203.11111111101</v>
      </c>
      <c r="F344" s="147">
        <f t="shared" ca="1" si="162"/>
        <v>655787</v>
      </c>
      <c r="G344" s="344">
        <f t="shared" ca="1" si="173"/>
        <v>4999</v>
      </c>
      <c r="H344" s="149">
        <f t="shared" ca="1" si="174"/>
        <v>6035</v>
      </c>
      <c r="I344" s="149">
        <f t="shared" si="213"/>
        <v>4053.4644444444448</v>
      </c>
      <c r="J344" s="176">
        <f t="shared" ca="1" si="175"/>
        <v>1058</v>
      </c>
      <c r="K344"/>
      <c r="L344" s="177">
        <f t="shared" ca="1" si="176"/>
        <v>66671</v>
      </c>
      <c r="M344" s="177">
        <f t="shared" ca="1" si="177"/>
        <v>124366</v>
      </c>
      <c r="N344" s="177">
        <f t="shared" ca="1" si="178"/>
        <v>181957</v>
      </c>
      <c r="O344" s="177">
        <f t="shared" ca="1" si="179"/>
        <v>128458</v>
      </c>
      <c r="P344" s="177">
        <f t="shared" ca="1" si="180"/>
        <v>74129</v>
      </c>
      <c r="Q344" s="177">
        <f t="shared" ca="1" si="181"/>
        <v>43105</v>
      </c>
      <c r="R344" s="177">
        <f t="shared" ca="1" si="182"/>
        <v>33684</v>
      </c>
      <c r="S344" s="177">
        <f t="shared" ca="1" si="183"/>
        <v>3417</v>
      </c>
      <c r="T344" s="177">
        <f t="shared" ca="1" si="184"/>
        <v>655787</v>
      </c>
      <c r="U344" s="147"/>
      <c r="V344" s="152">
        <f t="shared" ref="V344:AC344" ca="1" si="225">L344/$T$344</f>
        <v>0.10166563228609289</v>
      </c>
      <c r="W344" s="152">
        <f t="shared" ca="1" si="225"/>
        <v>0.18964389352030461</v>
      </c>
      <c r="X344" s="152">
        <f t="shared" ca="1" si="225"/>
        <v>0.27746356667637512</v>
      </c>
      <c r="Y344" s="152">
        <f t="shared" ca="1" si="225"/>
        <v>0.19588372444101515</v>
      </c>
      <c r="Z344" s="152">
        <f t="shared" ca="1" si="225"/>
        <v>0.11303822735125887</v>
      </c>
      <c r="AA344" s="152">
        <f t="shared" ca="1" si="225"/>
        <v>6.5730183733437836E-2</v>
      </c>
      <c r="AB344" s="152">
        <f t="shared" ca="1" si="225"/>
        <v>5.1364238693356226E-2</v>
      </c>
      <c r="AC344" s="152">
        <f t="shared" ca="1" si="225"/>
        <v>5.2105332981593104E-3</v>
      </c>
      <c r="AD344" s="152"/>
      <c r="AE344" s="177">
        <f t="shared" ca="1" si="186"/>
        <v>340</v>
      </c>
      <c r="AF344" s="177">
        <f t="shared" ca="1" si="187"/>
        <v>928</v>
      </c>
      <c r="AG344" s="177">
        <f t="shared" ca="1" si="188"/>
        <v>1772</v>
      </c>
      <c r="AH344" s="177">
        <f t="shared" ca="1" si="189"/>
        <v>1513</v>
      </c>
      <c r="AI344" s="177">
        <f t="shared" ca="1" si="190"/>
        <v>1046</v>
      </c>
      <c r="AJ344" s="177">
        <f t="shared" ca="1" si="191"/>
        <v>458</v>
      </c>
      <c r="AK344" s="177">
        <f t="shared" ca="1" si="192"/>
        <v>414</v>
      </c>
      <c r="AL344" s="177">
        <f t="shared" ca="1" si="193"/>
        <v>67</v>
      </c>
      <c r="AM344" s="177">
        <f t="shared" ca="1" si="194"/>
        <v>6538</v>
      </c>
      <c r="AN344" s="147"/>
      <c r="AX344">
        <f t="shared" ca="1" si="195"/>
        <v>12</v>
      </c>
      <c r="AY344">
        <f t="shared" ca="1" si="196"/>
        <v>-76</v>
      </c>
      <c r="AZ344">
        <f t="shared" ca="1" si="197"/>
        <v>-232</v>
      </c>
      <c r="BA344">
        <f t="shared" ca="1" si="198"/>
        <v>-101</v>
      </c>
      <c r="BB344">
        <f t="shared" ca="1" si="199"/>
        <v>-72</v>
      </c>
      <c r="BC344">
        <f t="shared" ca="1" si="200"/>
        <v>-39</v>
      </c>
      <c r="BD344">
        <f t="shared" ca="1" si="201"/>
        <v>-8</v>
      </c>
      <c r="BE344">
        <f t="shared" ca="1" si="202"/>
        <v>13</v>
      </c>
      <c r="BF344">
        <f t="shared" ca="1" si="203"/>
        <v>-503</v>
      </c>
      <c r="BH344" s="115">
        <v>0</v>
      </c>
      <c r="BI344" s="115">
        <v>1</v>
      </c>
      <c r="BJ344" s="154">
        <v>1378612.8466666667</v>
      </c>
      <c r="BK344" s="155">
        <f t="shared" si="204"/>
        <v>1378612.8466666667</v>
      </c>
      <c r="BL344" s="158">
        <v>1459962.929777778</v>
      </c>
      <c r="BM344" s="155">
        <f t="shared" si="205"/>
        <v>1459962.929777778</v>
      </c>
      <c r="BN344" s="158">
        <v>1634734.1635555557</v>
      </c>
      <c r="BO344" s="155">
        <f t="shared" si="206"/>
        <v>1634734.1635555557</v>
      </c>
      <c r="BP344" s="158">
        <v>1569711.9466666668</v>
      </c>
      <c r="BQ344" s="155">
        <f t="shared" si="207"/>
        <v>1569711.9466666668</v>
      </c>
      <c r="BR344" s="158">
        <v>1282230.6920000003</v>
      </c>
      <c r="BS344" s="155">
        <f t="shared" si="208"/>
        <v>1282230.6920000003</v>
      </c>
      <c r="BT344" s="178">
        <v>1583557.4533333334</v>
      </c>
      <c r="BU344" s="178"/>
      <c r="BV344" s="348">
        <f t="shared" si="165"/>
        <v>1583557.4533333334</v>
      </c>
      <c r="BW344" s="178"/>
      <c r="BX344" s="159">
        <f t="shared" si="209"/>
        <v>2004534.6711111111</v>
      </c>
      <c r="BY344" s="159"/>
      <c r="BZ344" s="159">
        <f t="shared" si="210"/>
        <v>690471.25598222227</v>
      </c>
      <c r="CA344" s="159"/>
      <c r="CB344" s="159">
        <f t="shared" si="211"/>
        <v>1314063.415128889</v>
      </c>
      <c r="CD344" s="159">
        <f t="shared" si="212"/>
        <v>5256253.6605155561</v>
      </c>
      <c r="CE344" s="155">
        <f t="shared" si="215"/>
        <v>1314063.415128889</v>
      </c>
    </row>
    <row r="345" spans="2:83" x14ac:dyDescent="0.2">
      <c r="B345" s="57" t="s">
        <v>803</v>
      </c>
      <c r="C345" s="57" t="s">
        <v>446</v>
      </c>
      <c r="D345" s="57" t="s">
        <v>373</v>
      </c>
      <c r="E345" s="197">
        <v>451409.77777777781</v>
      </c>
      <c r="F345" s="147">
        <f t="shared" ca="1" si="162"/>
        <v>538095</v>
      </c>
      <c r="G345" s="344">
        <f t="shared" ca="1" si="173"/>
        <v>7692</v>
      </c>
      <c r="H345" s="149">
        <f t="shared" ca="1" si="174"/>
        <v>4350</v>
      </c>
      <c r="I345" s="149">
        <f t="shared" si="213"/>
        <v>2314.5711111111109</v>
      </c>
      <c r="J345" s="176">
        <f t="shared" ca="1" si="175"/>
        <v>796</v>
      </c>
      <c r="K345"/>
      <c r="L345" s="177">
        <f t="shared" ca="1" si="176"/>
        <v>200405</v>
      </c>
      <c r="M345" s="177">
        <f t="shared" ca="1" si="177"/>
        <v>105041</v>
      </c>
      <c r="N345" s="177">
        <f t="shared" ca="1" si="178"/>
        <v>99175</v>
      </c>
      <c r="O345" s="177">
        <f t="shared" ca="1" si="179"/>
        <v>64924</v>
      </c>
      <c r="P345" s="177">
        <f t="shared" ca="1" si="180"/>
        <v>38747</v>
      </c>
      <c r="Q345" s="177">
        <f t="shared" ca="1" si="181"/>
        <v>18559</v>
      </c>
      <c r="R345" s="177">
        <f t="shared" ca="1" si="182"/>
        <v>10392</v>
      </c>
      <c r="S345" s="177">
        <f t="shared" ca="1" si="183"/>
        <v>852</v>
      </c>
      <c r="T345" s="177">
        <f t="shared" ca="1" si="184"/>
        <v>538095</v>
      </c>
      <c r="U345" s="147"/>
      <c r="V345" s="152">
        <f t="shared" ref="V345:AC345" ca="1" si="226">L345/$T$345</f>
        <v>0.37243423559036976</v>
      </c>
      <c r="W345" s="152">
        <f t="shared" ca="1" si="226"/>
        <v>0.19520902442877186</v>
      </c>
      <c r="X345" s="152">
        <f t="shared" ca="1" si="226"/>
        <v>0.18430760367593083</v>
      </c>
      <c r="Y345" s="152">
        <f t="shared" ca="1" si="226"/>
        <v>0.12065527462622772</v>
      </c>
      <c r="Z345" s="152">
        <f t="shared" ca="1" si="226"/>
        <v>7.2007730976872117E-2</v>
      </c>
      <c r="AA345" s="152">
        <f t="shared" ca="1" si="226"/>
        <v>3.4490192252297457E-2</v>
      </c>
      <c r="AB345" s="152">
        <f t="shared" ca="1" si="226"/>
        <v>1.9312574917068549E-2</v>
      </c>
      <c r="AC345" s="152">
        <f t="shared" ca="1" si="226"/>
        <v>1.58336353246174E-3</v>
      </c>
      <c r="AD345" s="152"/>
      <c r="AE345" s="177">
        <f t="shared" ca="1" si="186"/>
        <v>889</v>
      </c>
      <c r="AF345" s="177">
        <f t="shared" ca="1" si="187"/>
        <v>989</v>
      </c>
      <c r="AG345" s="177">
        <f t="shared" ca="1" si="188"/>
        <v>730</v>
      </c>
      <c r="AH345" s="177">
        <f t="shared" ca="1" si="189"/>
        <v>611</v>
      </c>
      <c r="AI345" s="177">
        <f t="shared" ca="1" si="190"/>
        <v>720</v>
      </c>
      <c r="AJ345" s="177">
        <f t="shared" ca="1" si="191"/>
        <v>347</v>
      </c>
      <c r="AK345" s="177">
        <f t="shared" ca="1" si="192"/>
        <v>63</v>
      </c>
      <c r="AL345" s="177">
        <f t="shared" ca="1" si="193"/>
        <v>12</v>
      </c>
      <c r="AM345" s="177">
        <f t="shared" ca="1" si="194"/>
        <v>4361</v>
      </c>
      <c r="AN345" s="147"/>
      <c r="AX345">
        <f t="shared" ca="1" si="195"/>
        <v>-11</v>
      </c>
      <c r="AY345">
        <f t="shared" ca="1" si="196"/>
        <v>-48</v>
      </c>
      <c r="AZ345">
        <f t="shared" ca="1" si="197"/>
        <v>72</v>
      </c>
      <c r="BA345">
        <f t="shared" ca="1" si="198"/>
        <v>-2</v>
      </c>
      <c r="BB345">
        <f t="shared" ca="1" si="199"/>
        <v>-20</v>
      </c>
      <c r="BC345">
        <f t="shared" ca="1" si="200"/>
        <v>8</v>
      </c>
      <c r="BD345">
        <f t="shared" ca="1" si="201"/>
        <v>-11</v>
      </c>
      <c r="BE345">
        <f t="shared" ca="1" si="202"/>
        <v>1</v>
      </c>
      <c r="BF345">
        <f t="shared" ca="1" si="203"/>
        <v>-11</v>
      </c>
      <c r="BH345" s="115">
        <v>0</v>
      </c>
      <c r="BI345" s="115">
        <v>1</v>
      </c>
      <c r="BJ345" s="154">
        <v>464868.06</v>
      </c>
      <c r="BK345" s="155">
        <f t="shared" si="204"/>
        <v>464868.06</v>
      </c>
      <c r="BL345" s="158">
        <v>566257.98111111089</v>
      </c>
      <c r="BM345" s="155">
        <f t="shared" si="205"/>
        <v>566257.98111111089</v>
      </c>
      <c r="BN345" s="158">
        <v>763092.95444444462</v>
      </c>
      <c r="BO345" s="155">
        <f t="shared" si="206"/>
        <v>763092.95444444462</v>
      </c>
      <c r="BP345" s="158">
        <v>1069166.3466666667</v>
      </c>
      <c r="BQ345" s="155">
        <f t="shared" si="207"/>
        <v>1069166.3466666667</v>
      </c>
      <c r="BR345" s="158">
        <v>1023228.9346666667</v>
      </c>
      <c r="BS345" s="155">
        <f t="shared" si="208"/>
        <v>1023228.9346666667</v>
      </c>
      <c r="BT345" s="178">
        <v>1207904.0057777779</v>
      </c>
      <c r="BU345" s="178"/>
      <c r="BV345" s="348">
        <f t="shared" si="165"/>
        <v>1207904.0057777779</v>
      </c>
      <c r="BW345" s="178"/>
      <c r="BX345" s="159">
        <f t="shared" si="209"/>
        <v>1316111.4302222223</v>
      </c>
      <c r="BY345" s="159"/>
      <c r="BZ345" s="159">
        <f t="shared" si="210"/>
        <v>552336.35248</v>
      </c>
      <c r="CA345" s="159"/>
      <c r="CB345" s="159">
        <f t="shared" si="211"/>
        <v>763775.077742222</v>
      </c>
      <c r="CD345" s="159">
        <f t="shared" si="212"/>
        <v>3055100.310968888</v>
      </c>
      <c r="CE345" s="155">
        <f t="shared" si="215"/>
        <v>763775.077742222</v>
      </c>
    </row>
    <row r="346" spans="2:83" x14ac:dyDescent="0.2">
      <c r="B346" s="57" t="s">
        <v>478</v>
      </c>
      <c r="C346" s="57" t="s">
        <v>449</v>
      </c>
      <c r="D346" s="57" t="s">
        <v>374</v>
      </c>
      <c r="E346" s="197">
        <v>260640.22222222222</v>
      </c>
      <c r="F346" s="147">
        <f t="shared" ca="1" si="162"/>
        <v>289712</v>
      </c>
      <c r="G346" s="344">
        <f t="shared" ca="1" si="173"/>
        <v>2372</v>
      </c>
      <c r="H346" s="149">
        <f t="shared" ca="1" si="174"/>
        <v>3561</v>
      </c>
      <c r="I346" s="149">
        <f t="shared" si="213"/>
        <v>2526.3279999999995</v>
      </c>
      <c r="J346" s="176">
        <f t="shared" ca="1" si="175"/>
        <v>494</v>
      </c>
      <c r="K346"/>
      <c r="L346" s="177">
        <f t="shared" ca="1" si="176"/>
        <v>47282</v>
      </c>
      <c r="M346" s="177">
        <f t="shared" ca="1" si="177"/>
        <v>85305</v>
      </c>
      <c r="N346" s="177">
        <f t="shared" ca="1" si="178"/>
        <v>63980</v>
      </c>
      <c r="O346" s="177">
        <f t="shared" ca="1" si="179"/>
        <v>42380</v>
      </c>
      <c r="P346" s="177">
        <f t="shared" ca="1" si="180"/>
        <v>28533</v>
      </c>
      <c r="Q346" s="177">
        <f t="shared" ca="1" si="181"/>
        <v>13372</v>
      </c>
      <c r="R346" s="177">
        <f t="shared" ca="1" si="182"/>
        <v>8106</v>
      </c>
      <c r="S346" s="177">
        <f t="shared" ca="1" si="183"/>
        <v>754</v>
      </c>
      <c r="T346" s="177">
        <f t="shared" ca="1" si="184"/>
        <v>289712</v>
      </c>
      <c r="U346" s="147"/>
      <c r="V346" s="152">
        <f t="shared" ref="V346:AC346" ca="1" si="227">L346/$T$346</f>
        <v>0.16320345722648699</v>
      </c>
      <c r="W346" s="152">
        <f t="shared" ca="1" si="227"/>
        <v>0.29444758933009335</v>
      </c>
      <c r="X346" s="152">
        <f t="shared" ca="1" si="227"/>
        <v>0.22084000662727121</v>
      </c>
      <c r="Y346" s="152">
        <f t="shared" ca="1" si="227"/>
        <v>0.14628320539018058</v>
      </c>
      <c r="Z346" s="152">
        <f t="shared" ca="1" si="227"/>
        <v>9.8487463411940132E-2</v>
      </c>
      <c r="AA346" s="152">
        <f t="shared" ca="1" si="227"/>
        <v>4.6156182691776661E-2</v>
      </c>
      <c r="AB346" s="152">
        <f t="shared" ca="1" si="227"/>
        <v>2.7979510686474845E-2</v>
      </c>
      <c r="AC346" s="152">
        <f t="shared" ca="1" si="227"/>
        <v>2.6025846357762192E-3</v>
      </c>
      <c r="AD346" s="152"/>
      <c r="AE346" s="177">
        <f t="shared" ca="1" si="186"/>
        <v>279</v>
      </c>
      <c r="AF346" s="177">
        <f t="shared" ca="1" si="187"/>
        <v>983</v>
      </c>
      <c r="AG346" s="177">
        <f t="shared" ca="1" si="188"/>
        <v>553</v>
      </c>
      <c r="AH346" s="177">
        <f t="shared" ca="1" si="189"/>
        <v>668</v>
      </c>
      <c r="AI346" s="177">
        <f t="shared" ca="1" si="190"/>
        <v>728</v>
      </c>
      <c r="AJ346" s="177">
        <f t="shared" ca="1" si="191"/>
        <v>344</v>
      </c>
      <c r="AK346" s="177">
        <f t="shared" ca="1" si="192"/>
        <v>101</v>
      </c>
      <c r="AL346" s="177">
        <f t="shared" ca="1" si="193"/>
        <v>9</v>
      </c>
      <c r="AM346" s="177">
        <f t="shared" ca="1" si="194"/>
        <v>3665</v>
      </c>
      <c r="AN346" s="147"/>
      <c r="AX346">
        <f t="shared" ca="1" si="195"/>
        <v>29</v>
      </c>
      <c r="AY346">
        <f t="shared" ca="1" si="196"/>
        <v>-14</v>
      </c>
      <c r="AZ346">
        <f t="shared" ca="1" si="197"/>
        <v>-78</v>
      </c>
      <c r="BA346">
        <f t="shared" ca="1" si="198"/>
        <v>-21</v>
      </c>
      <c r="BB346">
        <f t="shared" ca="1" si="199"/>
        <v>-2</v>
      </c>
      <c r="BC346">
        <f t="shared" ca="1" si="200"/>
        <v>-5</v>
      </c>
      <c r="BD346">
        <f t="shared" ca="1" si="201"/>
        <v>-10</v>
      </c>
      <c r="BE346">
        <f t="shared" ca="1" si="202"/>
        <v>-3</v>
      </c>
      <c r="BF346">
        <f t="shared" ca="1" si="203"/>
        <v>-104</v>
      </c>
      <c r="BH346" s="115">
        <v>0</v>
      </c>
      <c r="BI346" s="115">
        <v>1</v>
      </c>
      <c r="BJ346" s="154">
        <v>531296.05866666674</v>
      </c>
      <c r="BK346" s="155">
        <f t="shared" si="204"/>
        <v>531296.05866666674</v>
      </c>
      <c r="BL346" s="158">
        <v>543887.01377777779</v>
      </c>
      <c r="BM346" s="155">
        <f t="shared" si="205"/>
        <v>543887.01377777779</v>
      </c>
      <c r="BN346" s="158">
        <v>623030.66533333343</v>
      </c>
      <c r="BO346" s="155">
        <f t="shared" si="206"/>
        <v>623030.66533333343</v>
      </c>
      <c r="BP346" s="158">
        <v>677831.62666666671</v>
      </c>
      <c r="BQ346" s="155">
        <f t="shared" si="207"/>
        <v>677831.62666666671</v>
      </c>
      <c r="BR346" s="158">
        <v>788930.0293333336</v>
      </c>
      <c r="BS346" s="155">
        <f t="shared" si="208"/>
        <v>788930.0293333336</v>
      </c>
      <c r="BT346" s="178">
        <v>1005636.1902222222</v>
      </c>
      <c r="BU346" s="178"/>
      <c r="BV346" s="348">
        <f t="shared" si="165"/>
        <v>1005636.1902222222</v>
      </c>
      <c r="BW346" s="178"/>
      <c r="BX346" s="159">
        <f t="shared" si="209"/>
        <v>1126345.9377777779</v>
      </c>
      <c r="BY346" s="159"/>
      <c r="BZ346" s="159">
        <f t="shared" si="210"/>
        <v>318931.88664177788</v>
      </c>
      <c r="CA346" s="159"/>
      <c r="CB346" s="159">
        <f t="shared" si="211"/>
        <v>807414.05113599997</v>
      </c>
      <c r="CD346" s="159">
        <f t="shared" si="212"/>
        <v>3229656.2045439999</v>
      </c>
      <c r="CE346" s="155">
        <f t="shared" si="215"/>
        <v>807414.05113599997</v>
      </c>
    </row>
    <row r="347" spans="2:83" x14ac:dyDescent="0.2">
      <c r="B347" s="57" t="s">
        <v>484</v>
      </c>
      <c r="C347" s="57" t="s">
        <v>449</v>
      </c>
      <c r="D347" s="57" t="s">
        <v>375</v>
      </c>
      <c r="E347" s="197">
        <v>274778.55555555556</v>
      </c>
      <c r="F347" s="147">
        <f t="shared" ca="1" si="162"/>
        <v>337280</v>
      </c>
      <c r="G347" s="344">
        <f t="shared" ca="1" si="173"/>
        <v>3033</v>
      </c>
      <c r="H347" s="149">
        <f t="shared" ca="1" si="174"/>
        <v>3133</v>
      </c>
      <c r="I347" s="149">
        <f t="shared" si="213"/>
        <v>1556.1079999999999</v>
      </c>
      <c r="J347" s="176">
        <f t="shared" ca="1" si="175"/>
        <v>515</v>
      </c>
      <c r="K347"/>
      <c r="L347" s="177">
        <f t="shared" ca="1" si="176"/>
        <v>131824</v>
      </c>
      <c r="M347" s="177">
        <f t="shared" ca="1" si="177"/>
        <v>71789</v>
      </c>
      <c r="N347" s="177">
        <f t="shared" ca="1" si="178"/>
        <v>67424</v>
      </c>
      <c r="O347" s="177">
        <f t="shared" ca="1" si="179"/>
        <v>36151</v>
      </c>
      <c r="P347" s="177">
        <f t="shared" ca="1" si="180"/>
        <v>19131</v>
      </c>
      <c r="Q347" s="177">
        <f t="shared" ca="1" si="181"/>
        <v>7802</v>
      </c>
      <c r="R347" s="177">
        <f t="shared" ca="1" si="182"/>
        <v>2818</v>
      </c>
      <c r="S347" s="177">
        <f t="shared" ca="1" si="183"/>
        <v>341</v>
      </c>
      <c r="T347" s="177">
        <f t="shared" ca="1" si="184"/>
        <v>337280</v>
      </c>
      <c r="U347" s="147"/>
      <c r="V347" s="152">
        <f t="shared" ref="V347:AC347" ca="1" si="228">L347/$T$347</f>
        <v>0.39084440227703987</v>
      </c>
      <c r="W347" s="152">
        <f t="shared" ca="1" si="228"/>
        <v>0.21284689278937383</v>
      </c>
      <c r="X347" s="152">
        <f t="shared" ca="1" si="228"/>
        <v>0.19990512333965843</v>
      </c>
      <c r="Y347" s="152">
        <f t="shared" ca="1" si="228"/>
        <v>0.10718394212523719</v>
      </c>
      <c r="Z347" s="152">
        <f t="shared" ca="1" si="228"/>
        <v>5.6721418406072109E-2</v>
      </c>
      <c r="AA347" s="152">
        <f t="shared" ca="1" si="228"/>
        <v>2.3132115749525617E-2</v>
      </c>
      <c r="AB347" s="152">
        <f t="shared" ca="1" si="228"/>
        <v>8.3550759013282724E-3</v>
      </c>
      <c r="AC347" s="152">
        <f t="shared" ca="1" si="228"/>
        <v>1.011029411764706E-3</v>
      </c>
      <c r="AD347" s="152"/>
      <c r="AE347" s="177">
        <f t="shared" ca="1" si="186"/>
        <v>1300</v>
      </c>
      <c r="AF347" s="177">
        <f t="shared" ca="1" si="187"/>
        <v>548</v>
      </c>
      <c r="AG347" s="177">
        <f t="shared" ca="1" si="188"/>
        <v>358</v>
      </c>
      <c r="AH347" s="177">
        <f t="shared" ca="1" si="189"/>
        <v>466</v>
      </c>
      <c r="AI347" s="177">
        <f t="shared" ca="1" si="190"/>
        <v>246</v>
      </c>
      <c r="AJ347" s="177">
        <f t="shared" ca="1" si="191"/>
        <v>112</v>
      </c>
      <c r="AK347" s="177">
        <f t="shared" ca="1" si="192"/>
        <v>21</v>
      </c>
      <c r="AL347" s="177">
        <f t="shared" ca="1" si="193"/>
        <v>4</v>
      </c>
      <c r="AM347" s="177">
        <f t="shared" ca="1" si="194"/>
        <v>3055</v>
      </c>
      <c r="AN347" s="147"/>
      <c r="AX347">
        <f t="shared" ca="1" si="195"/>
        <v>43</v>
      </c>
      <c r="AY347">
        <f t="shared" ca="1" si="196"/>
        <v>0</v>
      </c>
      <c r="AZ347">
        <f t="shared" ca="1" si="197"/>
        <v>16</v>
      </c>
      <c r="BA347">
        <f t="shared" ca="1" si="198"/>
        <v>-4</v>
      </c>
      <c r="BB347">
        <f t="shared" ca="1" si="199"/>
        <v>2</v>
      </c>
      <c r="BC347">
        <f t="shared" ca="1" si="200"/>
        <v>18</v>
      </c>
      <c r="BD347">
        <f t="shared" ca="1" si="201"/>
        <v>2</v>
      </c>
      <c r="BE347">
        <f t="shared" ca="1" si="202"/>
        <v>1</v>
      </c>
      <c r="BF347">
        <f t="shared" ca="1" si="203"/>
        <v>78</v>
      </c>
      <c r="BH347" s="115">
        <v>0</v>
      </c>
      <c r="BI347" s="115">
        <v>1</v>
      </c>
      <c r="BJ347" s="154">
        <v>784950.58800000011</v>
      </c>
      <c r="BK347" s="155">
        <f t="shared" si="204"/>
        <v>784950.58800000011</v>
      </c>
      <c r="BL347" s="158">
        <v>710219.7162222222</v>
      </c>
      <c r="BM347" s="155">
        <f t="shared" si="205"/>
        <v>710219.7162222222</v>
      </c>
      <c r="BN347" s="158">
        <v>543538.92644444446</v>
      </c>
      <c r="BO347" s="155">
        <f t="shared" si="206"/>
        <v>543538.92644444446</v>
      </c>
      <c r="BP347" s="158">
        <v>769293.54666666663</v>
      </c>
      <c r="BQ347" s="155">
        <f t="shared" si="207"/>
        <v>769293.54666666663</v>
      </c>
      <c r="BR347" s="158">
        <v>716150.88622222224</v>
      </c>
      <c r="BS347" s="155">
        <f t="shared" si="208"/>
        <v>716150.88622222224</v>
      </c>
      <c r="BT347" s="178">
        <v>759534.41511111101</v>
      </c>
      <c r="BU347" s="178"/>
      <c r="BV347" s="348">
        <f t="shared" si="165"/>
        <v>759534.41511111101</v>
      </c>
      <c r="BW347" s="178"/>
      <c r="BX347" s="159">
        <f t="shared" si="209"/>
        <v>848314.34044444445</v>
      </c>
      <c r="BY347" s="159"/>
      <c r="BZ347" s="159">
        <f t="shared" si="210"/>
        <v>336232.22994844447</v>
      </c>
      <c r="CA347" s="159"/>
      <c r="CB347" s="159">
        <f t="shared" si="211"/>
        <v>512082.11049600004</v>
      </c>
      <c r="CD347" s="159">
        <f t="shared" si="212"/>
        <v>2048328.4419840002</v>
      </c>
      <c r="CE347" s="155">
        <f t="shared" si="215"/>
        <v>512082.11049600004</v>
      </c>
    </row>
    <row r="348" spans="2:83" x14ac:dyDescent="0.2">
      <c r="B348" s="57" t="s">
        <v>490</v>
      </c>
      <c r="C348" s="57" t="s">
        <v>459</v>
      </c>
      <c r="D348" s="57" t="s">
        <v>376</v>
      </c>
      <c r="E348" s="197">
        <v>352898.22222222225</v>
      </c>
      <c r="F348" s="147">
        <f t="shared" ca="1" si="162"/>
        <v>414616</v>
      </c>
      <c r="G348" s="344">
        <f t="shared" ca="1" si="173"/>
        <v>3188</v>
      </c>
      <c r="H348" s="149">
        <f t="shared" ca="1" si="174"/>
        <v>3713</v>
      </c>
      <c r="I348" s="149">
        <f t="shared" si="213"/>
        <v>2020.4071111111109</v>
      </c>
      <c r="J348" s="176">
        <f t="shared" ca="1" si="175"/>
        <v>265</v>
      </c>
      <c r="K348"/>
      <c r="L348" s="177">
        <f t="shared" ca="1" si="176"/>
        <v>109964</v>
      </c>
      <c r="M348" s="177">
        <f t="shared" ca="1" si="177"/>
        <v>114304</v>
      </c>
      <c r="N348" s="177">
        <f t="shared" ca="1" si="178"/>
        <v>89674</v>
      </c>
      <c r="O348" s="177">
        <f t="shared" ca="1" si="179"/>
        <v>52829</v>
      </c>
      <c r="P348" s="177">
        <f t="shared" ca="1" si="180"/>
        <v>28981</v>
      </c>
      <c r="Q348" s="177">
        <f t="shared" ca="1" si="181"/>
        <v>12448</v>
      </c>
      <c r="R348" s="177">
        <f t="shared" ca="1" si="182"/>
        <v>5875</v>
      </c>
      <c r="S348" s="177">
        <f t="shared" ca="1" si="183"/>
        <v>541</v>
      </c>
      <c r="T348" s="177">
        <f t="shared" ca="1" si="184"/>
        <v>414616</v>
      </c>
      <c r="U348" s="147"/>
      <c r="V348" s="152">
        <f t="shared" ref="V348:AC348" ca="1" si="229">L348/$T$348</f>
        <v>0.26521890134485887</v>
      </c>
      <c r="W348" s="152">
        <f t="shared" ca="1" si="229"/>
        <v>0.27568641827618806</v>
      </c>
      <c r="X348" s="152">
        <f t="shared" ca="1" si="229"/>
        <v>0.21628205375576437</v>
      </c>
      <c r="Y348" s="152">
        <f t="shared" ca="1" si="229"/>
        <v>0.12741669400119629</v>
      </c>
      <c r="Z348" s="152">
        <f t="shared" ca="1" si="229"/>
        <v>6.9898412024620368E-2</v>
      </c>
      <c r="AA348" s="152">
        <f t="shared" ca="1" si="229"/>
        <v>3.0022961004881627E-2</v>
      </c>
      <c r="AB348" s="152">
        <f t="shared" ca="1" si="229"/>
        <v>1.4169737781465259E-2</v>
      </c>
      <c r="AC348" s="152">
        <f t="shared" ca="1" si="229"/>
        <v>1.3048218110251414E-3</v>
      </c>
      <c r="AD348" s="152"/>
      <c r="AE348" s="177">
        <f t="shared" ca="1" si="186"/>
        <v>838</v>
      </c>
      <c r="AF348" s="177">
        <f t="shared" ca="1" si="187"/>
        <v>735</v>
      </c>
      <c r="AG348" s="177">
        <f t="shared" ca="1" si="188"/>
        <v>787</v>
      </c>
      <c r="AH348" s="177">
        <f t="shared" ca="1" si="189"/>
        <v>602</v>
      </c>
      <c r="AI348" s="177">
        <f t="shared" ca="1" si="190"/>
        <v>529</v>
      </c>
      <c r="AJ348" s="177">
        <f t="shared" ca="1" si="191"/>
        <v>180</v>
      </c>
      <c r="AK348" s="177">
        <f t="shared" ca="1" si="192"/>
        <v>51</v>
      </c>
      <c r="AL348" s="177">
        <f t="shared" ca="1" si="193"/>
        <v>8</v>
      </c>
      <c r="AM348" s="177">
        <f t="shared" ca="1" si="194"/>
        <v>3730</v>
      </c>
      <c r="AN348" s="147"/>
      <c r="AX348">
        <f t="shared" ca="1" si="195"/>
        <v>36</v>
      </c>
      <c r="AY348">
        <f t="shared" ca="1" si="196"/>
        <v>-55</v>
      </c>
      <c r="AZ348">
        <f t="shared" ca="1" si="197"/>
        <v>-42</v>
      </c>
      <c r="BA348">
        <f t="shared" ca="1" si="198"/>
        <v>25</v>
      </c>
      <c r="BB348">
        <f t="shared" ca="1" si="199"/>
        <v>18</v>
      </c>
      <c r="BC348">
        <f t="shared" ca="1" si="200"/>
        <v>6</v>
      </c>
      <c r="BD348">
        <f t="shared" ca="1" si="201"/>
        <v>-9</v>
      </c>
      <c r="BE348">
        <f t="shared" ca="1" si="202"/>
        <v>4</v>
      </c>
      <c r="BF348">
        <f t="shared" ca="1" si="203"/>
        <v>-17</v>
      </c>
      <c r="BH348" s="115">
        <v>0</v>
      </c>
      <c r="BI348" s="115">
        <v>1</v>
      </c>
      <c r="BJ348" s="154">
        <v>799054.94400000002</v>
      </c>
      <c r="BK348" s="155">
        <f t="shared" si="204"/>
        <v>799054.94400000002</v>
      </c>
      <c r="BL348" s="158">
        <v>797284.28022222221</v>
      </c>
      <c r="BM348" s="155">
        <f t="shared" si="205"/>
        <v>797284.28022222221</v>
      </c>
      <c r="BN348" s="158">
        <v>713737.82688888907</v>
      </c>
      <c r="BO348" s="155">
        <f t="shared" si="206"/>
        <v>713737.82688888907</v>
      </c>
      <c r="BP348" s="158">
        <v>903188.77333333332</v>
      </c>
      <c r="BQ348" s="155">
        <f t="shared" si="207"/>
        <v>903188.77333333332</v>
      </c>
      <c r="BR348" s="158">
        <v>910918.42933333339</v>
      </c>
      <c r="BS348" s="155">
        <f t="shared" si="208"/>
        <v>910918.42933333339</v>
      </c>
      <c r="BT348" s="178">
        <v>833749.73733333347</v>
      </c>
      <c r="BU348" s="178"/>
      <c r="BV348" s="348">
        <f t="shared" si="165"/>
        <v>833749.73733333347</v>
      </c>
      <c r="BW348" s="178"/>
      <c r="BX348" s="159">
        <f t="shared" si="209"/>
        <v>1068439.9840000002</v>
      </c>
      <c r="BY348" s="159"/>
      <c r="BZ348" s="159">
        <f t="shared" si="210"/>
        <v>431823.20382577786</v>
      </c>
      <c r="CA348" s="159"/>
      <c r="CB348" s="159">
        <f t="shared" si="211"/>
        <v>636616.78017422219</v>
      </c>
      <c r="CD348" s="159">
        <f t="shared" si="212"/>
        <v>2546467.1206968888</v>
      </c>
      <c r="CE348" s="155">
        <f t="shared" si="215"/>
        <v>636616.78017422219</v>
      </c>
    </row>
    <row r="349" spans="2:83" x14ac:dyDescent="0.2">
      <c r="B349" s="57" t="s">
        <v>538</v>
      </c>
      <c r="C349" s="57" t="s">
        <v>464</v>
      </c>
      <c r="D349" s="57" t="s">
        <v>377</v>
      </c>
      <c r="E349" s="197">
        <v>267036.11111111112</v>
      </c>
      <c r="F349" s="147">
        <f t="shared" ca="1" si="162"/>
        <v>282672</v>
      </c>
      <c r="G349" s="344">
        <f t="shared" ca="1" si="173"/>
        <v>3196</v>
      </c>
      <c r="H349" s="149">
        <f t="shared" ca="1" si="174"/>
        <v>2072</v>
      </c>
      <c r="I349" s="149">
        <f t="shared" si="213"/>
        <v>1092.8555555555554</v>
      </c>
      <c r="J349" s="176">
        <f t="shared" ca="1" si="175"/>
        <v>277</v>
      </c>
      <c r="K349"/>
      <c r="L349" s="177">
        <f t="shared" ca="1" si="176"/>
        <v>47420</v>
      </c>
      <c r="M349" s="177">
        <f t="shared" ca="1" si="177"/>
        <v>62239</v>
      </c>
      <c r="N349" s="177">
        <f t="shared" ca="1" si="178"/>
        <v>63225</v>
      </c>
      <c r="O349" s="177">
        <f t="shared" ca="1" si="179"/>
        <v>42226</v>
      </c>
      <c r="P349" s="177">
        <f t="shared" ca="1" si="180"/>
        <v>33493</v>
      </c>
      <c r="Q349" s="177">
        <f t="shared" ca="1" si="181"/>
        <v>20020</v>
      </c>
      <c r="R349" s="177">
        <f t="shared" ca="1" si="182"/>
        <v>12824</v>
      </c>
      <c r="S349" s="177">
        <f t="shared" ca="1" si="183"/>
        <v>1225</v>
      </c>
      <c r="T349" s="177">
        <f t="shared" ca="1" si="184"/>
        <v>282672</v>
      </c>
      <c r="U349" s="147"/>
      <c r="V349" s="152">
        <f t="shared" ref="V349:AC349" ca="1" si="230">L349/$T$349</f>
        <v>0.16775626874964622</v>
      </c>
      <c r="W349" s="152">
        <f t="shared" ca="1" si="230"/>
        <v>0.22018098715118584</v>
      </c>
      <c r="X349" s="152">
        <f t="shared" ca="1" si="230"/>
        <v>0.22366912888436066</v>
      </c>
      <c r="Y349" s="152">
        <f t="shared" ca="1" si="230"/>
        <v>0.14938161544121809</v>
      </c>
      <c r="Z349" s="152">
        <f t="shared" ca="1" si="230"/>
        <v>0.11848715118582669</v>
      </c>
      <c r="AA349" s="152">
        <f t="shared" ca="1" si="230"/>
        <v>7.0824135393671814E-2</v>
      </c>
      <c r="AB349" s="152">
        <f t="shared" ca="1" si="230"/>
        <v>4.5367068545876493E-2</v>
      </c>
      <c r="AC349" s="152">
        <f t="shared" ca="1" si="230"/>
        <v>4.3336446482141848E-3</v>
      </c>
      <c r="AD349" s="152"/>
      <c r="AE349" s="177">
        <f t="shared" ca="1" si="186"/>
        <v>101</v>
      </c>
      <c r="AF349" s="177">
        <f t="shared" ca="1" si="187"/>
        <v>460</v>
      </c>
      <c r="AG349" s="177">
        <f t="shared" ca="1" si="188"/>
        <v>475</v>
      </c>
      <c r="AH349" s="177">
        <f t="shared" ca="1" si="189"/>
        <v>429</v>
      </c>
      <c r="AI349" s="177">
        <f t="shared" ca="1" si="190"/>
        <v>372</v>
      </c>
      <c r="AJ349" s="177">
        <f t="shared" ca="1" si="191"/>
        <v>185</v>
      </c>
      <c r="AK349" s="177">
        <f t="shared" ca="1" si="192"/>
        <v>110</v>
      </c>
      <c r="AL349" s="177">
        <f t="shared" ca="1" si="193"/>
        <v>12</v>
      </c>
      <c r="AM349" s="177">
        <f t="shared" ca="1" si="194"/>
        <v>2144</v>
      </c>
      <c r="AN349" s="147"/>
      <c r="AX349">
        <f t="shared" ca="1" si="195"/>
        <v>-97</v>
      </c>
      <c r="AY349">
        <f t="shared" ca="1" si="196"/>
        <v>0</v>
      </c>
      <c r="AZ349">
        <f t="shared" ca="1" si="197"/>
        <v>35</v>
      </c>
      <c r="BA349">
        <f t="shared" ca="1" si="198"/>
        <v>-24</v>
      </c>
      <c r="BB349">
        <f t="shared" ca="1" si="199"/>
        <v>37</v>
      </c>
      <c r="BC349">
        <f t="shared" ca="1" si="200"/>
        <v>-14</v>
      </c>
      <c r="BD349">
        <f t="shared" ca="1" si="201"/>
        <v>-18</v>
      </c>
      <c r="BE349">
        <f t="shared" ca="1" si="202"/>
        <v>9</v>
      </c>
      <c r="BF349">
        <f t="shared" ca="1" si="203"/>
        <v>-72</v>
      </c>
      <c r="BH349" s="115">
        <v>0</v>
      </c>
      <c r="BI349" s="115">
        <v>1</v>
      </c>
      <c r="BJ349" s="154">
        <v>381968.98799999995</v>
      </c>
      <c r="BK349" s="155">
        <f t="shared" si="204"/>
        <v>381968.98799999995</v>
      </c>
      <c r="BL349" s="158">
        <v>467837.18866666663</v>
      </c>
      <c r="BM349" s="155">
        <f t="shared" si="205"/>
        <v>467837.18866666663</v>
      </c>
      <c r="BN349" s="158">
        <v>408276.68355555559</v>
      </c>
      <c r="BO349" s="155">
        <f t="shared" si="206"/>
        <v>408276.68355555559</v>
      </c>
      <c r="BP349" s="158">
        <v>532066.45333333337</v>
      </c>
      <c r="BQ349" s="155">
        <f t="shared" si="207"/>
        <v>532066.45333333337</v>
      </c>
      <c r="BR349" s="158">
        <v>407031.8057777778</v>
      </c>
      <c r="BS349" s="155">
        <f t="shared" si="208"/>
        <v>407031.8057777778</v>
      </c>
      <c r="BT349" s="178">
        <v>510768.3311111111</v>
      </c>
      <c r="BU349" s="178"/>
      <c r="BV349" s="348">
        <f t="shared" si="165"/>
        <v>510768.3311111111</v>
      </c>
      <c r="BW349" s="178"/>
      <c r="BX349" s="159">
        <f t="shared" si="209"/>
        <v>680465.83199999994</v>
      </c>
      <c r="BY349" s="159"/>
      <c r="BZ349" s="159">
        <f t="shared" si="210"/>
        <v>326758.20328888885</v>
      </c>
      <c r="CA349" s="159"/>
      <c r="CB349" s="159">
        <f t="shared" si="211"/>
        <v>353707.62871111109</v>
      </c>
      <c r="CD349" s="159">
        <f t="shared" si="212"/>
        <v>1414830.5148444443</v>
      </c>
      <c r="CE349" s="155">
        <f t="shared" si="215"/>
        <v>353707.62871111109</v>
      </c>
    </row>
    <row r="350" spans="2:83" x14ac:dyDescent="0.2">
      <c r="B350" s="57" t="s">
        <v>533</v>
      </c>
      <c r="C350" s="57" t="s">
        <v>449</v>
      </c>
      <c r="D350" s="57" t="s">
        <v>378</v>
      </c>
      <c r="E350" s="197">
        <v>274552.66666666663</v>
      </c>
      <c r="F350" s="147">
        <f t="shared" ca="1" si="162"/>
        <v>314400</v>
      </c>
      <c r="G350" s="344">
        <f t="shared" ca="1" si="173"/>
        <v>1807</v>
      </c>
      <c r="H350" s="149">
        <f t="shared" ca="1" si="174"/>
        <v>4265</v>
      </c>
      <c r="I350" s="149">
        <f t="shared" si="213"/>
        <v>3125.567111111111</v>
      </c>
      <c r="J350" s="176">
        <f t="shared" ca="1" si="175"/>
        <v>615</v>
      </c>
      <c r="K350"/>
      <c r="L350" s="177">
        <f t="shared" ca="1" si="176"/>
        <v>83364</v>
      </c>
      <c r="M350" s="177">
        <f t="shared" ca="1" si="177"/>
        <v>77521</v>
      </c>
      <c r="N350" s="177">
        <f t="shared" ca="1" si="178"/>
        <v>66041</v>
      </c>
      <c r="O350" s="177">
        <f t="shared" ca="1" si="179"/>
        <v>38437</v>
      </c>
      <c r="P350" s="177">
        <f t="shared" ca="1" si="180"/>
        <v>25933</v>
      </c>
      <c r="Q350" s="177">
        <f t="shared" ca="1" si="181"/>
        <v>13968</v>
      </c>
      <c r="R350" s="177">
        <f t="shared" ca="1" si="182"/>
        <v>8474</v>
      </c>
      <c r="S350" s="177">
        <f t="shared" ca="1" si="183"/>
        <v>662</v>
      </c>
      <c r="T350" s="177">
        <f t="shared" ca="1" si="184"/>
        <v>314400</v>
      </c>
      <c r="U350" s="147"/>
      <c r="V350" s="152">
        <f t="shared" ref="V350:AC350" ca="1" si="231">L350/$T$350</f>
        <v>0.26515267175572521</v>
      </c>
      <c r="W350" s="152">
        <f t="shared" ca="1" si="231"/>
        <v>0.24656806615776081</v>
      </c>
      <c r="X350" s="152">
        <f t="shared" ca="1" si="231"/>
        <v>0.21005407124681935</v>
      </c>
      <c r="Y350" s="152">
        <f t="shared" ca="1" si="231"/>
        <v>0.12225508905852417</v>
      </c>
      <c r="Z350" s="152">
        <f t="shared" ca="1" si="231"/>
        <v>8.2484096692111958E-2</v>
      </c>
      <c r="AA350" s="152">
        <f t="shared" ca="1" si="231"/>
        <v>4.4427480916030535E-2</v>
      </c>
      <c r="AB350" s="152">
        <f t="shared" ca="1" si="231"/>
        <v>2.69529262086514E-2</v>
      </c>
      <c r="AC350" s="152">
        <f t="shared" ca="1" si="231"/>
        <v>2.1055979643765902E-3</v>
      </c>
      <c r="AD350" s="152"/>
      <c r="AE350" s="177">
        <f t="shared" ca="1" si="186"/>
        <v>435</v>
      </c>
      <c r="AF350" s="177">
        <f t="shared" ca="1" si="187"/>
        <v>898</v>
      </c>
      <c r="AG350" s="177">
        <f t="shared" ca="1" si="188"/>
        <v>1104</v>
      </c>
      <c r="AH350" s="177">
        <f t="shared" ca="1" si="189"/>
        <v>736</v>
      </c>
      <c r="AI350" s="177">
        <f t="shared" ca="1" si="190"/>
        <v>574</v>
      </c>
      <c r="AJ350" s="177">
        <f t="shared" ca="1" si="191"/>
        <v>432</v>
      </c>
      <c r="AK350" s="177">
        <f t="shared" ca="1" si="192"/>
        <v>140</v>
      </c>
      <c r="AL350" s="177">
        <f t="shared" ca="1" si="193"/>
        <v>7</v>
      </c>
      <c r="AM350" s="177">
        <f t="shared" ca="1" si="194"/>
        <v>4326</v>
      </c>
      <c r="AN350" s="147"/>
      <c r="AX350">
        <f t="shared" ca="1" si="195"/>
        <v>-80</v>
      </c>
      <c r="AY350">
        <f t="shared" ca="1" si="196"/>
        <v>32</v>
      </c>
      <c r="AZ350">
        <f t="shared" ca="1" si="197"/>
        <v>24</v>
      </c>
      <c r="BA350">
        <f t="shared" ca="1" si="198"/>
        <v>-14</v>
      </c>
      <c r="BB350">
        <f t="shared" ca="1" si="199"/>
        <v>-9</v>
      </c>
      <c r="BC350">
        <f t="shared" ca="1" si="200"/>
        <v>-1</v>
      </c>
      <c r="BD350">
        <f t="shared" ca="1" si="201"/>
        <v>-14</v>
      </c>
      <c r="BE350">
        <f t="shared" ca="1" si="202"/>
        <v>1</v>
      </c>
      <c r="BF350">
        <f t="shared" ca="1" si="203"/>
        <v>-61</v>
      </c>
      <c r="BH350" s="115">
        <v>0</v>
      </c>
      <c r="BI350" s="115">
        <v>1</v>
      </c>
      <c r="BJ350" s="154">
        <v>647233.22533333336</v>
      </c>
      <c r="BK350" s="155">
        <f t="shared" si="204"/>
        <v>647233.22533333336</v>
      </c>
      <c r="BL350" s="158">
        <v>783560.58311111119</v>
      </c>
      <c r="BM350" s="155">
        <f t="shared" si="205"/>
        <v>783560.58311111119</v>
      </c>
      <c r="BN350" s="158">
        <v>674225.47155555559</v>
      </c>
      <c r="BO350" s="155">
        <f t="shared" si="206"/>
        <v>674225.47155555559</v>
      </c>
      <c r="BP350" s="158">
        <v>659095.52</v>
      </c>
      <c r="BQ350" s="155">
        <f t="shared" si="207"/>
        <v>659095.52</v>
      </c>
      <c r="BR350" s="158">
        <v>931180.46400000004</v>
      </c>
      <c r="BS350" s="155">
        <f t="shared" si="208"/>
        <v>931180.46400000004</v>
      </c>
      <c r="BT350" s="178">
        <v>1042255.1875555555</v>
      </c>
      <c r="BU350" s="178"/>
      <c r="BV350" s="348">
        <f t="shared" si="165"/>
        <v>1042255.1875555555</v>
      </c>
      <c r="BW350" s="178"/>
      <c r="BX350" s="159">
        <f t="shared" si="209"/>
        <v>1335154.3075555554</v>
      </c>
      <c r="BY350" s="159"/>
      <c r="BZ350" s="159">
        <f t="shared" si="210"/>
        <v>335955.82146133331</v>
      </c>
      <c r="CA350" s="159"/>
      <c r="CB350" s="159">
        <f t="shared" si="211"/>
        <v>999198.48609422217</v>
      </c>
      <c r="CD350" s="159">
        <f t="shared" si="212"/>
        <v>3996793.9443768887</v>
      </c>
      <c r="CE350" s="155">
        <f t="shared" si="215"/>
        <v>999198.48609422217</v>
      </c>
    </row>
    <row r="351" spans="2:83" x14ac:dyDescent="0.2">
      <c r="B351" s="57" t="s">
        <v>452</v>
      </c>
      <c r="C351" s="57" t="s">
        <v>449</v>
      </c>
      <c r="D351" s="57" t="s">
        <v>379</v>
      </c>
      <c r="E351" s="197">
        <v>297540.66666666669</v>
      </c>
      <c r="F351" s="147">
        <f t="shared" ca="1" si="162"/>
        <v>359271</v>
      </c>
      <c r="G351" s="344">
        <f t="shared" ca="1" si="173"/>
        <v>3554</v>
      </c>
      <c r="H351" s="149">
        <f t="shared" ca="1" si="174"/>
        <v>2694</v>
      </c>
      <c r="I351" s="149">
        <f t="shared" si="213"/>
        <v>1186.9462222222221</v>
      </c>
      <c r="J351" s="176">
        <f t="shared" ca="1" si="175"/>
        <v>380</v>
      </c>
      <c r="K351"/>
      <c r="L351" s="177">
        <f t="shared" ca="1" si="176"/>
        <v>142806</v>
      </c>
      <c r="M351" s="177">
        <f t="shared" ca="1" si="177"/>
        <v>74091</v>
      </c>
      <c r="N351" s="177">
        <f t="shared" ca="1" si="178"/>
        <v>61336</v>
      </c>
      <c r="O351" s="177">
        <f t="shared" ca="1" si="179"/>
        <v>40812</v>
      </c>
      <c r="P351" s="177">
        <f t="shared" ca="1" si="180"/>
        <v>22775</v>
      </c>
      <c r="Q351" s="177">
        <f t="shared" ca="1" si="181"/>
        <v>10961</v>
      </c>
      <c r="R351" s="177">
        <f t="shared" ca="1" si="182"/>
        <v>6019</v>
      </c>
      <c r="S351" s="177">
        <f t="shared" ca="1" si="183"/>
        <v>471</v>
      </c>
      <c r="T351" s="177">
        <f t="shared" ca="1" si="184"/>
        <v>359271</v>
      </c>
      <c r="U351" s="147"/>
      <c r="V351" s="152">
        <f t="shared" ref="V351:AC351" ca="1" si="232">L351/$T$351</f>
        <v>0.39748824703357633</v>
      </c>
      <c r="W351" s="152">
        <f t="shared" ca="1" si="232"/>
        <v>0.20622594086358209</v>
      </c>
      <c r="X351" s="152">
        <f t="shared" ca="1" si="232"/>
        <v>0.17072349285080066</v>
      </c>
      <c r="Y351" s="152">
        <f t="shared" ca="1" si="232"/>
        <v>0.11359669998413453</v>
      </c>
      <c r="Z351" s="152">
        <f t="shared" ca="1" si="232"/>
        <v>6.3392258211767721E-2</v>
      </c>
      <c r="AA351" s="152">
        <f t="shared" ca="1" si="232"/>
        <v>3.0509002953202458E-2</v>
      </c>
      <c r="AB351" s="152">
        <f t="shared" ca="1" si="232"/>
        <v>1.6753370018732377E-2</v>
      </c>
      <c r="AC351" s="152">
        <f t="shared" ca="1" si="232"/>
        <v>1.3109880842038461E-3</v>
      </c>
      <c r="AD351" s="152"/>
      <c r="AE351" s="177">
        <f t="shared" ca="1" si="186"/>
        <v>799</v>
      </c>
      <c r="AF351" s="177">
        <f t="shared" ca="1" si="187"/>
        <v>480</v>
      </c>
      <c r="AG351" s="177">
        <f t="shared" ca="1" si="188"/>
        <v>364</v>
      </c>
      <c r="AH351" s="177">
        <f t="shared" ca="1" si="189"/>
        <v>268</v>
      </c>
      <c r="AI351" s="177">
        <f t="shared" ca="1" si="190"/>
        <v>297</v>
      </c>
      <c r="AJ351" s="177">
        <f t="shared" ca="1" si="191"/>
        <v>172</v>
      </c>
      <c r="AK351" s="177">
        <f t="shared" ca="1" si="192"/>
        <v>48</v>
      </c>
      <c r="AL351" s="177">
        <f t="shared" ca="1" si="193"/>
        <v>4</v>
      </c>
      <c r="AM351" s="177">
        <f t="shared" ca="1" si="194"/>
        <v>2432</v>
      </c>
      <c r="AN351" s="147"/>
      <c r="AX351">
        <f t="shared" ca="1" si="195"/>
        <v>187</v>
      </c>
      <c r="AY351">
        <f t="shared" ca="1" si="196"/>
        <v>82</v>
      </c>
      <c r="AZ351">
        <f t="shared" ca="1" si="197"/>
        <v>18</v>
      </c>
      <c r="BA351">
        <f t="shared" ca="1" si="198"/>
        <v>11</v>
      </c>
      <c r="BB351">
        <f t="shared" ca="1" si="199"/>
        <v>-7</v>
      </c>
      <c r="BC351">
        <f t="shared" ca="1" si="200"/>
        <v>-19</v>
      </c>
      <c r="BD351">
        <f t="shared" ca="1" si="201"/>
        <v>2</v>
      </c>
      <c r="BE351">
        <f t="shared" ca="1" si="202"/>
        <v>-12</v>
      </c>
      <c r="BF351">
        <f t="shared" ca="1" si="203"/>
        <v>262</v>
      </c>
      <c r="BH351" s="115">
        <v>0</v>
      </c>
      <c r="BI351" s="115">
        <v>1</v>
      </c>
      <c r="BJ351" s="154">
        <v>533119.07066666661</v>
      </c>
      <c r="BK351" s="155">
        <f t="shared" si="204"/>
        <v>533119.07066666661</v>
      </c>
      <c r="BL351" s="158">
        <v>525127.78311111114</v>
      </c>
      <c r="BM351" s="155">
        <f t="shared" si="205"/>
        <v>525127.78311111114</v>
      </c>
      <c r="BN351" s="158">
        <v>596176.30222222232</v>
      </c>
      <c r="BO351" s="155">
        <f t="shared" si="206"/>
        <v>596176.30222222232</v>
      </c>
      <c r="BP351" s="158">
        <v>649533.38666666672</v>
      </c>
      <c r="BQ351" s="155">
        <f t="shared" si="207"/>
        <v>649533.38666666672</v>
      </c>
      <c r="BR351" s="158">
        <v>665606.32888888894</v>
      </c>
      <c r="BS351" s="155">
        <f t="shared" si="208"/>
        <v>665606.32888888894</v>
      </c>
      <c r="BT351" s="178">
        <v>574368.95911111112</v>
      </c>
      <c r="BU351" s="178"/>
      <c r="BV351" s="348">
        <f t="shared" si="165"/>
        <v>574368.95911111112</v>
      </c>
      <c r="BW351" s="178"/>
      <c r="BX351" s="159">
        <f t="shared" si="209"/>
        <v>747260.69155555556</v>
      </c>
      <c r="BY351" s="159"/>
      <c r="BZ351" s="159">
        <f t="shared" si="210"/>
        <v>357559.5988231111</v>
      </c>
      <c r="CA351" s="159"/>
      <c r="CB351" s="159">
        <f t="shared" si="211"/>
        <v>389701.09273244441</v>
      </c>
      <c r="CD351" s="159">
        <f t="shared" si="212"/>
        <v>1558804.3709297776</v>
      </c>
      <c r="CE351" s="155">
        <f t="shared" si="215"/>
        <v>389701.09273244441</v>
      </c>
    </row>
    <row r="352" spans="2:83" x14ac:dyDescent="0.2">
      <c r="B352" s="57" t="s">
        <v>520</v>
      </c>
      <c r="C352" s="57" t="s">
        <v>443</v>
      </c>
      <c r="D352" s="57" t="s">
        <v>380</v>
      </c>
      <c r="E352" s="197">
        <v>288216.22222222219</v>
      </c>
      <c r="F352" s="147">
        <f t="shared" ca="1" si="162"/>
        <v>283953</v>
      </c>
      <c r="G352" s="344">
        <f t="shared" ca="1" si="173"/>
        <v>1487</v>
      </c>
      <c r="H352" s="149">
        <f t="shared" ca="1" si="174"/>
        <v>3842</v>
      </c>
      <c r="I352" s="149">
        <f t="shared" si="213"/>
        <v>2849.0240000000003</v>
      </c>
      <c r="J352" s="176">
        <f t="shared" ca="1" si="175"/>
        <v>939</v>
      </c>
      <c r="K352"/>
      <c r="L352" s="177">
        <f t="shared" ca="1" si="176"/>
        <v>13387</v>
      </c>
      <c r="M352" s="177">
        <f t="shared" ca="1" si="177"/>
        <v>41299</v>
      </c>
      <c r="N352" s="177">
        <f t="shared" ca="1" si="178"/>
        <v>84459</v>
      </c>
      <c r="O352" s="177">
        <f t="shared" ca="1" si="179"/>
        <v>62939</v>
      </c>
      <c r="P352" s="177">
        <f t="shared" ca="1" si="180"/>
        <v>40093</v>
      </c>
      <c r="Q352" s="177">
        <f t="shared" ca="1" si="181"/>
        <v>21310</v>
      </c>
      <c r="R352" s="177">
        <f t="shared" ca="1" si="182"/>
        <v>18006</v>
      </c>
      <c r="S352" s="177">
        <f t="shared" ca="1" si="183"/>
        <v>2460</v>
      </c>
      <c r="T352" s="177">
        <f t="shared" ca="1" si="184"/>
        <v>283953</v>
      </c>
      <c r="U352" s="147"/>
      <c r="V352" s="152">
        <f t="shared" ref="V352:AC352" ca="1" si="233">L352/$T$352</f>
        <v>4.714512613002856E-2</v>
      </c>
      <c r="W352" s="152">
        <f t="shared" ca="1" si="233"/>
        <v>0.14544308389064386</v>
      </c>
      <c r="X352" s="152">
        <f t="shared" ca="1" si="233"/>
        <v>0.29744006930724448</v>
      </c>
      <c r="Y352" s="152">
        <f t="shared" ca="1" si="233"/>
        <v>0.22165287917366605</v>
      </c>
      <c r="Z352" s="152">
        <f t="shared" ca="1" si="233"/>
        <v>0.14119590213873423</v>
      </c>
      <c r="AA352" s="152">
        <f t="shared" ca="1" si="233"/>
        <v>7.5047631122051886E-2</v>
      </c>
      <c r="AB352" s="152">
        <f t="shared" ca="1" si="233"/>
        <v>6.3411902674034085E-2</v>
      </c>
      <c r="AC352" s="152">
        <f t="shared" ca="1" si="233"/>
        <v>8.6634055635967933E-3</v>
      </c>
      <c r="AD352" s="152"/>
      <c r="AE352" s="177">
        <f t="shared" ca="1" si="186"/>
        <v>107</v>
      </c>
      <c r="AF352" s="177">
        <f t="shared" ca="1" si="187"/>
        <v>543</v>
      </c>
      <c r="AG352" s="177">
        <f t="shared" ca="1" si="188"/>
        <v>1246</v>
      </c>
      <c r="AH352" s="177">
        <f t="shared" ca="1" si="189"/>
        <v>827</v>
      </c>
      <c r="AI352" s="177">
        <f t="shared" ca="1" si="190"/>
        <v>567</v>
      </c>
      <c r="AJ352" s="177">
        <f t="shared" ca="1" si="191"/>
        <v>366</v>
      </c>
      <c r="AK352" s="177">
        <f t="shared" ca="1" si="192"/>
        <v>217</v>
      </c>
      <c r="AL352" s="177">
        <f t="shared" ca="1" si="193"/>
        <v>27</v>
      </c>
      <c r="AM352" s="177">
        <f t="shared" ca="1" si="194"/>
        <v>3900</v>
      </c>
      <c r="AN352" s="147"/>
      <c r="AX352">
        <f t="shared" ca="1" si="195"/>
        <v>-40</v>
      </c>
      <c r="AY352">
        <f t="shared" ca="1" si="196"/>
        <v>31</v>
      </c>
      <c r="AZ352">
        <f t="shared" ca="1" si="197"/>
        <v>-29</v>
      </c>
      <c r="BA352">
        <f t="shared" ca="1" si="198"/>
        <v>-8</v>
      </c>
      <c r="BB352">
        <f t="shared" ca="1" si="199"/>
        <v>11</v>
      </c>
      <c r="BC352">
        <f t="shared" ca="1" si="200"/>
        <v>-10</v>
      </c>
      <c r="BD352">
        <f t="shared" ca="1" si="201"/>
        <v>1</v>
      </c>
      <c r="BE352">
        <f t="shared" ca="1" si="202"/>
        <v>-14</v>
      </c>
      <c r="BF352">
        <f t="shared" ca="1" si="203"/>
        <v>-58</v>
      </c>
      <c r="BH352" s="115">
        <v>0</v>
      </c>
      <c r="BI352" s="115">
        <v>1</v>
      </c>
      <c r="BJ352" s="154">
        <v>491445.65600000008</v>
      </c>
      <c r="BK352" s="155">
        <f t="shared" si="204"/>
        <v>491445.65600000008</v>
      </c>
      <c r="BL352" s="158">
        <v>576951.20688888896</v>
      </c>
      <c r="BM352" s="155">
        <f t="shared" si="205"/>
        <v>576951.20688888896</v>
      </c>
      <c r="BN352" s="158">
        <v>593896.91444444447</v>
      </c>
      <c r="BO352" s="155">
        <f t="shared" si="206"/>
        <v>593896.91444444447</v>
      </c>
      <c r="BP352" s="158">
        <v>724949.84</v>
      </c>
      <c r="BQ352" s="155">
        <f t="shared" si="207"/>
        <v>724949.84</v>
      </c>
      <c r="BR352" s="158">
        <v>782529.38444444444</v>
      </c>
      <c r="BS352" s="155">
        <f t="shared" si="208"/>
        <v>782529.38444444444</v>
      </c>
      <c r="BT352" s="178">
        <v>959841.38444444432</v>
      </c>
      <c r="BU352" s="178"/>
      <c r="BV352" s="348">
        <f t="shared" si="165"/>
        <v>959841.38444444432</v>
      </c>
      <c r="BW352" s="178"/>
      <c r="BX352" s="159">
        <f t="shared" si="209"/>
        <v>1289955.8337777781</v>
      </c>
      <c r="BY352" s="159"/>
      <c r="BZ352" s="159">
        <f t="shared" si="210"/>
        <v>352675.20388977777</v>
      </c>
      <c r="CA352" s="159"/>
      <c r="CB352" s="159">
        <f t="shared" si="211"/>
        <v>937280.6298880002</v>
      </c>
      <c r="CD352" s="159">
        <f t="shared" si="212"/>
        <v>3749122.5195520008</v>
      </c>
      <c r="CE352" s="155">
        <f t="shared" si="215"/>
        <v>937280.6298880002</v>
      </c>
    </row>
    <row r="353" spans="2:83" ht="14.25" customHeight="1" x14ac:dyDescent="0.2">
      <c r="B353" s="57" t="s">
        <v>639</v>
      </c>
      <c r="C353" s="57" t="s">
        <v>472</v>
      </c>
      <c r="D353" s="57" t="s">
        <v>381</v>
      </c>
      <c r="E353" s="197">
        <v>231011.44444444444</v>
      </c>
      <c r="F353" s="147">
        <f t="shared" ca="1" si="162"/>
        <v>252226</v>
      </c>
      <c r="G353" s="344">
        <f t="shared" ca="1" si="173"/>
        <v>2070</v>
      </c>
      <c r="H353" s="149">
        <f t="shared" ca="1" si="174"/>
        <v>3048</v>
      </c>
      <c r="I353" s="149">
        <f t="shared" si="213"/>
        <v>2039.2875555555554</v>
      </c>
      <c r="J353" s="176">
        <f t="shared" ca="1" si="175"/>
        <v>531</v>
      </c>
      <c r="K353"/>
      <c r="L353" s="177">
        <f t="shared" ca="1" si="176"/>
        <v>40774</v>
      </c>
      <c r="M353" s="177">
        <f t="shared" ca="1" si="177"/>
        <v>68350</v>
      </c>
      <c r="N353" s="177">
        <f t="shared" ca="1" si="178"/>
        <v>54549</v>
      </c>
      <c r="O353" s="177">
        <f t="shared" ca="1" si="179"/>
        <v>37341</v>
      </c>
      <c r="P353" s="177">
        <f t="shared" ca="1" si="180"/>
        <v>27991</v>
      </c>
      <c r="Q353" s="177">
        <f t="shared" ca="1" si="181"/>
        <v>15373</v>
      </c>
      <c r="R353" s="177">
        <f t="shared" ca="1" si="182"/>
        <v>7343</v>
      </c>
      <c r="S353" s="177">
        <f t="shared" ca="1" si="183"/>
        <v>505</v>
      </c>
      <c r="T353" s="177">
        <f t="shared" ca="1" si="184"/>
        <v>252226</v>
      </c>
      <c r="U353" s="147"/>
      <c r="V353" s="152">
        <f t="shared" ref="V353:AC353" ca="1" si="234">L353/$T$353</f>
        <v>0.16165660954857944</v>
      </c>
      <c r="W353" s="152">
        <f t="shared" ca="1" si="234"/>
        <v>0.27098713058923346</v>
      </c>
      <c r="X353" s="152">
        <f t="shared" ca="1" si="234"/>
        <v>0.21627032899066709</v>
      </c>
      <c r="Y353" s="152">
        <f t="shared" ca="1" si="234"/>
        <v>0.14804580019506317</v>
      </c>
      <c r="Z353" s="152">
        <f t="shared" ca="1" si="234"/>
        <v>0.11097587084598733</v>
      </c>
      <c r="AA353" s="152">
        <f t="shared" ca="1" si="234"/>
        <v>6.0949307367202429E-2</v>
      </c>
      <c r="AB353" s="152">
        <f t="shared" ca="1" si="234"/>
        <v>2.9112779808584364E-2</v>
      </c>
      <c r="AC353" s="152">
        <f t="shared" ca="1" si="234"/>
        <v>2.0021726546827052E-3</v>
      </c>
      <c r="AD353" s="152"/>
      <c r="AE353" s="177">
        <f t="shared" ca="1" si="186"/>
        <v>448</v>
      </c>
      <c r="AF353" s="177">
        <f t="shared" ca="1" si="187"/>
        <v>581</v>
      </c>
      <c r="AG353" s="177">
        <f t="shared" ca="1" si="188"/>
        <v>740</v>
      </c>
      <c r="AH353" s="177">
        <f t="shared" ca="1" si="189"/>
        <v>396</v>
      </c>
      <c r="AI353" s="177">
        <f t="shared" ca="1" si="190"/>
        <v>560</v>
      </c>
      <c r="AJ353" s="177">
        <f t="shared" ca="1" si="191"/>
        <v>236</v>
      </c>
      <c r="AK353" s="177">
        <f t="shared" ca="1" si="192"/>
        <v>73</v>
      </c>
      <c r="AL353" s="177">
        <f t="shared" ca="1" si="193"/>
        <v>6</v>
      </c>
      <c r="AM353" s="177">
        <f t="shared" ca="1" si="194"/>
        <v>3040</v>
      </c>
      <c r="AN353" s="147"/>
      <c r="AX353">
        <f t="shared" ca="1" si="195"/>
        <v>-47</v>
      </c>
      <c r="AY353">
        <f t="shared" ca="1" si="196"/>
        <v>-3</v>
      </c>
      <c r="AZ353">
        <f t="shared" ca="1" si="197"/>
        <v>51</v>
      </c>
      <c r="BA353">
        <f t="shared" ca="1" si="198"/>
        <v>28</v>
      </c>
      <c r="BB353">
        <f t="shared" ca="1" si="199"/>
        <v>13</v>
      </c>
      <c r="BC353">
        <f t="shared" ca="1" si="200"/>
        <v>-11</v>
      </c>
      <c r="BD353">
        <f t="shared" ca="1" si="201"/>
        <v>-19</v>
      </c>
      <c r="BE353">
        <f t="shared" ca="1" si="202"/>
        <v>-4</v>
      </c>
      <c r="BF353">
        <f t="shared" ca="1" si="203"/>
        <v>8</v>
      </c>
      <c r="BH353" s="115">
        <v>0</v>
      </c>
      <c r="BI353" s="115">
        <v>1</v>
      </c>
      <c r="BJ353" s="154">
        <v>553204.18533333333</v>
      </c>
      <c r="BK353" s="155">
        <f t="shared" si="204"/>
        <v>553204.18533333333</v>
      </c>
      <c r="BL353" s="158">
        <v>712657.92955555569</v>
      </c>
      <c r="BM353" s="155">
        <f t="shared" si="205"/>
        <v>712657.92955555569</v>
      </c>
      <c r="BN353" s="158">
        <v>805999.42822222237</v>
      </c>
      <c r="BO353" s="155">
        <f t="shared" si="206"/>
        <v>805999.42822222237</v>
      </c>
      <c r="BP353" s="158">
        <v>746204.6133333334</v>
      </c>
      <c r="BQ353" s="155">
        <f t="shared" si="207"/>
        <v>746204.6133333334</v>
      </c>
      <c r="BR353" s="158">
        <v>651712.51644444442</v>
      </c>
      <c r="BS353" s="155">
        <f t="shared" si="208"/>
        <v>651712.51644444442</v>
      </c>
      <c r="BT353" s="178">
        <v>750382.19511111116</v>
      </c>
      <c r="BU353" s="178"/>
      <c r="BV353" s="348">
        <f t="shared" si="165"/>
        <v>750382.19511111116</v>
      </c>
      <c r="BW353" s="178"/>
      <c r="BX353" s="159">
        <f t="shared" si="209"/>
        <v>943689.22666666668</v>
      </c>
      <c r="BY353" s="159"/>
      <c r="BZ353" s="159">
        <f t="shared" si="210"/>
        <v>282676.69197155559</v>
      </c>
      <c r="CA353" s="159"/>
      <c r="CB353" s="159">
        <f t="shared" si="211"/>
        <v>661012.53469511122</v>
      </c>
      <c r="CD353" s="159">
        <f t="shared" si="212"/>
        <v>2644050.1387804449</v>
      </c>
      <c r="CE353" s="155">
        <f t="shared" si="215"/>
        <v>661012.53469511122</v>
      </c>
    </row>
    <row r="354" spans="2:83" x14ac:dyDescent="0.2">
      <c r="B354" s="57" t="s">
        <v>510</v>
      </c>
      <c r="C354" s="57" t="s">
        <v>476</v>
      </c>
      <c r="D354" s="57" t="s">
        <v>382</v>
      </c>
      <c r="E354" s="197">
        <v>328069.88888888888</v>
      </c>
      <c r="F354" s="147">
        <f t="shared" ca="1" si="162"/>
        <v>373931</v>
      </c>
      <c r="G354" s="344">
        <f t="shared" ca="1" si="173"/>
        <v>3330</v>
      </c>
      <c r="H354" s="149">
        <f t="shared" ca="1" si="174"/>
        <v>2752</v>
      </c>
      <c r="I354" s="149">
        <f t="shared" si="213"/>
        <v>1370.8386666666661</v>
      </c>
      <c r="J354" s="176">
        <f t="shared" ca="1" si="175"/>
        <v>289</v>
      </c>
      <c r="K354"/>
      <c r="L354" s="177">
        <f t="shared" ca="1" si="176"/>
        <v>99138</v>
      </c>
      <c r="M354" s="177">
        <f t="shared" ca="1" si="177"/>
        <v>91123</v>
      </c>
      <c r="N354" s="177">
        <f t="shared" ca="1" si="178"/>
        <v>78183</v>
      </c>
      <c r="O354" s="177">
        <f t="shared" ca="1" si="179"/>
        <v>47591</v>
      </c>
      <c r="P354" s="177">
        <f t="shared" ca="1" si="180"/>
        <v>30409</v>
      </c>
      <c r="Q354" s="177">
        <f t="shared" ca="1" si="181"/>
        <v>16990</v>
      </c>
      <c r="R354" s="177">
        <f t="shared" ca="1" si="182"/>
        <v>9589</v>
      </c>
      <c r="S354" s="177">
        <f t="shared" ca="1" si="183"/>
        <v>908</v>
      </c>
      <c r="T354" s="177">
        <f t="shared" ca="1" si="184"/>
        <v>373931</v>
      </c>
      <c r="U354" s="147"/>
      <c r="V354" s="152">
        <f t="shared" ref="V354:AC354" ca="1" si="235">L354/$T$354</f>
        <v>0.26512377952082067</v>
      </c>
      <c r="W354" s="152">
        <f t="shared" ca="1" si="235"/>
        <v>0.24368934375593357</v>
      </c>
      <c r="X354" s="152">
        <f t="shared" ca="1" si="235"/>
        <v>0.20908402887163674</v>
      </c>
      <c r="Y354" s="152">
        <f t="shared" ca="1" si="235"/>
        <v>0.12727214379123422</v>
      </c>
      <c r="Z354" s="152">
        <f t="shared" ca="1" si="235"/>
        <v>8.1322489978097559E-2</v>
      </c>
      <c r="AA354" s="152">
        <f t="shared" ca="1" si="235"/>
        <v>4.5436190099242907E-2</v>
      </c>
      <c r="AB354" s="152">
        <f t="shared" ca="1" si="235"/>
        <v>2.5643768502745159E-2</v>
      </c>
      <c r="AC354" s="152">
        <f t="shared" ca="1" si="235"/>
        <v>2.4282554802891442E-3</v>
      </c>
      <c r="AD354" s="152"/>
      <c r="AE354" s="177">
        <f t="shared" ca="1" si="186"/>
        <v>342</v>
      </c>
      <c r="AF354" s="177">
        <f t="shared" ca="1" si="187"/>
        <v>432</v>
      </c>
      <c r="AG354" s="177">
        <f t="shared" ca="1" si="188"/>
        <v>647</v>
      </c>
      <c r="AH354" s="177">
        <f t="shared" ca="1" si="189"/>
        <v>541</v>
      </c>
      <c r="AI354" s="177">
        <f t="shared" ca="1" si="190"/>
        <v>372</v>
      </c>
      <c r="AJ354" s="177">
        <f t="shared" ca="1" si="191"/>
        <v>171</v>
      </c>
      <c r="AK354" s="177">
        <f t="shared" ca="1" si="192"/>
        <v>89</v>
      </c>
      <c r="AL354" s="177">
        <f t="shared" ca="1" si="193"/>
        <v>2</v>
      </c>
      <c r="AM354" s="177">
        <f t="shared" ca="1" si="194"/>
        <v>2596</v>
      </c>
      <c r="AN354" s="147"/>
      <c r="AX354">
        <f t="shared" ca="1" si="195"/>
        <v>144</v>
      </c>
      <c r="AY354">
        <f t="shared" ca="1" si="196"/>
        <v>-5</v>
      </c>
      <c r="AZ354">
        <f t="shared" ca="1" si="197"/>
        <v>58</v>
      </c>
      <c r="BA354">
        <f t="shared" ca="1" si="198"/>
        <v>-22</v>
      </c>
      <c r="BB354">
        <f t="shared" ca="1" si="199"/>
        <v>1</v>
      </c>
      <c r="BC354">
        <f t="shared" ca="1" si="200"/>
        <v>-11</v>
      </c>
      <c r="BD354">
        <f t="shared" ca="1" si="201"/>
        <v>-5</v>
      </c>
      <c r="BE354">
        <f t="shared" ca="1" si="202"/>
        <v>-4</v>
      </c>
      <c r="BF354">
        <f t="shared" ca="1" si="203"/>
        <v>156</v>
      </c>
      <c r="BH354" s="115">
        <v>0</v>
      </c>
      <c r="BI354" s="115">
        <v>1</v>
      </c>
      <c r="BJ354" s="154">
        <v>474686.73866666673</v>
      </c>
      <c r="BK354" s="155">
        <f t="shared" si="204"/>
        <v>474686.73866666673</v>
      </c>
      <c r="BL354" s="158">
        <v>556100.06577777781</v>
      </c>
      <c r="BM354" s="155">
        <f t="shared" si="205"/>
        <v>556100.06577777781</v>
      </c>
      <c r="BN354" s="158">
        <v>408156.19</v>
      </c>
      <c r="BO354" s="155">
        <f t="shared" si="206"/>
        <v>408156.19</v>
      </c>
      <c r="BP354" s="158">
        <v>782930.48</v>
      </c>
      <c r="BQ354" s="155">
        <f t="shared" si="207"/>
        <v>782930.48</v>
      </c>
      <c r="BR354" s="158">
        <v>568170.33600000013</v>
      </c>
      <c r="BS354" s="155">
        <f t="shared" si="208"/>
        <v>568170.33600000013</v>
      </c>
      <c r="BT354" s="178">
        <v>669201.01422222215</v>
      </c>
      <c r="BU354" s="178"/>
      <c r="BV354" s="348">
        <f t="shared" si="165"/>
        <v>669201.01422222215</v>
      </c>
      <c r="BW354" s="178"/>
      <c r="BX354" s="159">
        <f t="shared" si="209"/>
        <v>823181.01955555554</v>
      </c>
      <c r="BY354" s="159"/>
      <c r="BZ354" s="159">
        <f t="shared" si="210"/>
        <v>383595.02135822218</v>
      </c>
      <c r="CA354" s="159"/>
      <c r="CB354" s="159">
        <f t="shared" si="211"/>
        <v>439585.99819733336</v>
      </c>
      <c r="CD354" s="159">
        <f t="shared" si="212"/>
        <v>1758343.9927893335</v>
      </c>
      <c r="CE354" s="155">
        <f t="shared" si="215"/>
        <v>439585.99819733336</v>
      </c>
    </row>
    <row r="355" spans="2:83" x14ac:dyDescent="0.2">
      <c r="B355" s="57" t="s">
        <v>458</v>
      </c>
      <c r="C355" s="57" t="s">
        <v>459</v>
      </c>
      <c r="D355" s="57" t="s">
        <v>383</v>
      </c>
      <c r="E355" s="197">
        <v>298698.77777777781</v>
      </c>
      <c r="F355" s="147">
        <f t="shared" ca="1" si="162"/>
        <v>337652</v>
      </c>
      <c r="G355" s="344">
        <f t="shared" ca="1" si="173"/>
        <v>2567</v>
      </c>
      <c r="H355" s="149">
        <f t="shared" ca="1" si="174"/>
        <v>2640</v>
      </c>
      <c r="I355" s="149">
        <f t="shared" si="213"/>
        <v>1247.8715555555557</v>
      </c>
      <c r="J355" s="176">
        <f t="shared" ca="1" si="175"/>
        <v>322</v>
      </c>
      <c r="K355"/>
      <c r="L355" s="177">
        <f t="shared" ca="1" si="176"/>
        <v>67879</v>
      </c>
      <c r="M355" s="177">
        <f t="shared" ca="1" si="177"/>
        <v>103826</v>
      </c>
      <c r="N355" s="177">
        <f t="shared" ca="1" si="178"/>
        <v>66677</v>
      </c>
      <c r="O355" s="177">
        <f t="shared" ca="1" si="179"/>
        <v>47361</v>
      </c>
      <c r="P355" s="177">
        <f t="shared" ca="1" si="180"/>
        <v>29054</v>
      </c>
      <c r="Q355" s="177">
        <f t="shared" ca="1" si="181"/>
        <v>13796</v>
      </c>
      <c r="R355" s="177">
        <f t="shared" ca="1" si="182"/>
        <v>8323</v>
      </c>
      <c r="S355" s="177">
        <f t="shared" ca="1" si="183"/>
        <v>736</v>
      </c>
      <c r="T355" s="177">
        <f t="shared" ca="1" si="184"/>
        <v>337652</v>
      </c>
      <c r="U355" s="147"/>
      <c r="V355" s="152">
        <f t="shared" ref="V355:AC355" ca="1" si="236">L355/$T$355</f>
        <v>0.20103242391574758</v>
      </c>
      <c r="W355" s="152">
        <f t="shared" ca="1" si="236"/>
        <v>0.30749410635802543</v>
      </c>
      <c r="X355" s="152">
        <f t="shared" ca="1" si="236"/>
        <v>0.19747254569793751</v>
      </c>
      <c r="Y355" s="152">
        <f t="shared" ca="1" si="236"/>
        <v>0.14026571736580859</v>
      </c>
      <c r="Z355" s="152">
        <f t="shared" ca="1" si="236"/>
        <v>8.6047172828829677E-2</v>
      </c>
      <c r="AA355" s="152">
        <f t="shared" ca="1" si="236"/>
        <v>4.0858635518225862E-2</v>
      </c>
      <c r="AB355" s="152">
        <f t="shared" ca="1" si="236"/>
        <v>2.4649639273571607E-2</v>
      </c>
      <c r="AC355" s="152">
        <f t="shared" ca="1" si="236"/>
        <v>2.179759041853743E-3</v>
      </c>
      <c r="AD355" s="152"/>
      <c r="AE355" s="177">
        <f t="shared" ca="1" si="186"/>
        <v>511</v>
      </c>
      <c r="AF355" s="177">
        <f t="shared" ca="1" si="187"/>
        <v>506</v>
      </c>
      <c r="AG355" s="177">
        <f t="shared" ca="1" si="188"/>
        <v>491</v>
      </c>
      <c r="AH355" s="177">
        <f t="shared" ca="1" si="189"/>
        <v>340</v>
      </c>
      <c r="AI355" s="177">
        <f t="shared" ca="1" si="190"/>
        <v>329</v>
      </c>
      <c r="AJ355" s="177">
        <f t="shared" ca="1" si="191"/>
        <v>174</v>
      </c>
      <c r="AK355" s="177">
        <f t="shared" ca="1" si="192"/>
        <v>66</v>
      </c>
      <c r="AL355" s="177">
        <f t="shared" ca="1" si="193"/>
        <v>8</v>
      </c>
      <c r="AM355" s="177">
        <f t="shared" ca="1" si="194"/>
        <v>2425</v>
      </c>
      <c r="AN355" s="147"/>
      <c r="AX355">
        <f t="shared" ca="1" si="195"/>
        <v>120</v>
      </c>
      <c r="AY355">
        <f t="shared" ca="1" si="196"/>
        <v>52</v>
      </c>
      <c r="AZ355">
        <f t="shared" ca="1" si="197"/>
        <v>23</v>
      </c>
      <c r="BA355">
        <f t="shared" ca="1" si="198"/>
        <v>25</v>
      </c>
      <c r="BB355">
        <f t="shared" ca="1" si="199"/>
        <v>25</v>
      </c>
      <c r="BC355">
        <f t="shared" ca="1" si="200"/>
        <v>-26</v>
      </c>
      <c r="BD355">
        <f t="shared" ca="1" si="201"/>
        <v>-5</v>
      </c>
      <c r="BE355">
        <f t="shared" ca="1" si="202"/>
        <v>1</v>
      </c>
      <c r="BF355">
        <f t="shared" ca="1" si="203"/>
        <v>215</v>
      </c>
      <c r="BH355" s="115">
        <v>0</v>
      </c>
      <c r="BI355" s="115">
        <v>1</v>
      </c>
      <c r="BJ355" s="154">
        <v>589728.39066666667</v>
      </c>
      <c r="BK355" s="155">
        <f t="shared" si="204"/>
        <v>589728.39066666667</v>
      </c>
      <c r="BL355" s="158">
        <v>800165.57044444443</v>
      </c>
      <c r="BM355" s="155">
        <f t="shared" si="205"/>
        <v>800165.57044444443</v>
      </c>
      <c r="BN355" s="158">
        <v>410922.07155555557</v>
      </c>
      <c r="BO355" s="155">
        <f t="shared" si="206"/>
        <v>410922.07155555557</v>
      </c>
      <c r="BP355" s="158">
        <v>678893.2533333333</v>
      </c>
      <c r="BQ355" s="155">
        <f t="shared" si="207"/>
        <v>678893.2533333333</v>
      </c>
      <c r="BR355" s="158">
        <v>591957.75822222233</v>
      </c>
      <c r="BS355" s="155">
        <f t="shared" si="208"/>
        <v>591957.75822222233</v>
      </c>
      <c r="BT355" s="178">
        <v>660222.41600000008</v>
      </c>
      <c r="BU355" s="178"/>
      <c r="BV355" s="348">
        <f t="shared" si="165"/>
        <v>660222.41600000008</v>
      </c>
      <c r="BW355" s="178"/>
      <c r="BX355" s="159">
        <f t="shared" si="209"/>
        <v>769781.04533333331</v>
      </c>
      <c r="BY355" s="159"/>
      <c r="BZ355" s="159">
        <f t="shared" si="210"/>
        <v>365502.16203022224</v>
      </c>
      <c r="CA355" s="159"/>
      <c r="CB355" s="159">
        <f t="shared" si="211"/>
        <v>404278.88330311107</v>
      </c>
      <c r="CD355" s="159">
        <f t="shared" si="212"/>
        <v>1617115.5332124443</v>
      </c>
      <c r="CE355" s="155">
        <f t="shared" si="215"/>
        <v>404278.88330311107</v>
      </c>
    </row>
    <row r="356" spans="2:83" x14ac:dyDescent="0.2">
      <c r="B356" s="57" t="s">
        <v>568</v>
      </c>
      <c r="C356" s="57" t="s">
        <v>443</v>
      </c>
      <c r="D356" s="57" t="s">
        <v>384</v>
      </c>
      <c r="E356" s="197">
        <v>567673.99999999988</v>
      </c>
      <c r="F356" s="147">
        <f t="shared" ca="1" si="162"/>
        <v>488325</v>
      </c>
      <c r="G356" s="344">
        <f t="shared" ca="1" si="173"/>
        <v>3426</v>
      </c>
      <c r="H356" s="149">
        <f t="shared" ca="1" si="174"/>
        <v>3637</v>
      </c>
      <c r="I356" s="149">
        <f t="shared" si="213"/>
        <v>1809.9253333333334</v>
      </c>
      <c r="J356" s="176">
        <f t="shared" ca="1" si="175"/>
        <v>569</v>
      </c>
      <c r="K356"/>
      <c r="L356" s="177">
        <f t="shared" ca="1" si="176"/>
        <v>9124</v>
      </c>
      <c r="M356" s="177">
        <f t="shared" ca="1" si="177"/>
        <v>26525</v>
      </c>
      <c r="N356" s="177">
        <f t="shared" ca="1" si="178"/>
        <v>86883</v>
      </c>
      <c r="O356" s="177">
        <f t="shared" ca="1" si="179"/>
        <v>131610</v>
      </c>
      <c r="P356" s="177">
        <f t="shared" ca="1" si="180"/>
        <v>91950</v>
      </c>
      <c r="Q356" s="177">
        <f t="shared" ca="1" si="181"/>
        <v>62024</v>
      </c>
      <c r="R356" s="177">
        <f t="shared" ca="1" si="182"/>
        <v>66588</v>
      </c>
      <c r="S356" s="177">
        <f t="shared" ca="1" si="183"/>
        <v>13621</v>
      </c>
      <c r="T356" s="177">
        <f t="shared" ca="1" si="184"/>
        <v>488325</v>
      </c>
      <c r="U356" s="147"/>
      <c r="V356" s="152">
        <f t="shared" ref="V356:AC356" ca="1" si="237">L356/$T$356</f>
        <v>1.8684277888701171E-2</v>
      </c>
      <c r="W356" s="152">
        <f t="shared" ca="1" si="237"/>
        <v>5.4318333077356271E-2</v>
      </c>
      <c r="X356" s="152">
        <f t="shared" ca="1" si="237"/>
        <v>0.17792044232836737</v>
      </c>
      <c r="Y356" s="152">
        <f t="shared" ca="1" si="237"/>
        <v>0.26951313162340657</v>
      </c>
      <c r="Z356" s="152">
        <f t="shared" ca="1" si="237"/>
        <v>0.18829672861311628</v>
      </c>
      <c r="AA356" s="152">
        <f t="shared" ca="1" si="237"/>
        <v>0.12701377156606769</v>
      </c>
      <c r="AB356" s="152">
        <f t="shared" ca="1" si="237"/>
        <v>0.13636000614344954</v>
      </c>
      <c r="AC356" s="152">
        <f t="shared" ca="1" si="237"/>
        <v>2.7893308759535145E-2</v>
      </c>
      <c r="AD356" s="152"/>
      <c r="AE356" s="177">
        <f t="shared" ca="1" si="186"/>
        <v>223</v>
      </c>
      <c r="AF356" s="177">
        <f t="shared" ca="1" si="187"/>
        <v>401</v>
      </c>
      <c r="AG356" s="177">
        <f t="shared" ca="1" si="188"/>
        <v>1032</v>
      </c>
      <c r="AH356" s="177">
        <f t="shared" ca="1" si="189"/>
        <v>912</v>
      </c>
      <c r="AI356" s="177">
        <f t="shared" ca="1" si="190"/>
        <v>386</v>
      </c>
      <c r="AJ356" s="177">
        <f t="shared" ca="1" si="191"/>
        <v>252</v>
      </c>
      <c r="AK356" s="177">
        <f t="shared" ca="1" si="192"/>
        <v>492</v>
      </c>
      <c r="AL356" s="177">
        <f t="shared" ca="1" si="193"/>
        <v>251</v>
      </c>
      <c r="AM356" s="177">
        <f t="shared" ca="1" si="194"/>
        <v>3949</v>
      </c>
      <c r="AN356" s="147"/>
      <c r="AX356">
        <f t="shared" ca="1" si="195"/>
        <v>10</v>
      </c>
      <c r="AY356">
        <f t="shared" ca="1" si="196"/>
        <v>-31</v>
      </c>
      <c r="AZ356">
        <f t="shared" ca="1" si="197"/>
        <v>-49</v>
      </c>
      <c r="BA356">
        <f t="shared" ca="1" si="198"/>
        <v>-92</v>
      </c>
      <c r="BB356">
        <f t="shared" ca="1" si="199"/>
        <v>-36</v>
      </c>
      <c r="BC356">
        <f t="shared" ca="1" si="200"/>
        <v>-21</v>
      </c>
      <c r="BD356">
        <f t="shared" ca="1" si="201"/>
        <v>-61</v>
      </c>
      <c r="BE356">
        <f t="shared" ca="1" si="202"/>
        <v>-32</v>
      </c>
      <c r="BF356">
        <f t="shared" ca="1" si="203"/>
        <v>-312</v>
      </c>
      <c r="BH356" s="115">
        <v>0</v>
      </c>
      <c r="BI356" s="115">
        <v>1</v>
      </c>
      <c r="BJ356" s="154">
        <v>708160.20533333323</v>
      </c>
      <c r="BK356" s="155">
        <f t="shared" si="204"/>
        <v>708160.20533333323</v>
      </c>
      <c r="BL356" s="158">
        <v>1112120.8255555553</v>
      </c>
      <c r="BM356" s="155">
        <f t="shared" si="205"/>
        <v>1112120.8255555553</v>
      </c>
      <c r="BN356" s="158">
        <v>1031910.3542222221</v>
      </c>
      <c r="BO356" s="155">
        <f t="shared" si="206"/>
        <v>1031910.3542222221</v>
      </c>
      <c r="BP356" s="158">
        <v>1044431.2533333332</v>
      </c>
      <c r="BQ356" s="155">
        <f t="shared" si="207"/>
        <v>1044431.2533333332</v>
      </c>
      <c r="BR356" s="158">
        <v>961610.652</v>
      </c>
      <c r="BS356" s="155">
        <f t="shared" si="208"/>
        <v>961610.652</v>
      </c>
      <c r="BT356" s="178">
        <v>1122928.4266666665</v>
      </c>
      <c r="BU356" s="178">
        <v>1540</v>
      </c>
      <c r="BV356" s="349">
        <f t="shared" si="165"/>
        <v>1124468.4266666665</v>
      </c>
      <c r="BW356" s="178"/>
      <c r="BX356" s="159">
        <f t="shared" si="209"/>
        <v>1280201.1893333336</v>
      </c>
      <c r="BY356" s="159"/>
      <c r="BZ356" s="159">
        <f t="shared" si="210"/>
        <v>686693.31076266675</v>
      </c>
      <c r="CA356" s="159"/>
      <c r="CB356" s="159">
        <f t="shared" si="211"/>
        <v>593507.87857066677</v>
      </c>
      <c r="CD356" s="159">
        <f t="shared" si="212"/>
        <v>2374031.5142826671</v>
      </c>
      <c r="CE356" s="155">
        <f t="shared" si="215"/>
        <v>593507.87857066677</v>
      </c>
    </row>
    <row r="357" spans="2:83" x14ac:dyDescent="0.2">
      <c r="B357" s="57" t="s">
        <v>663</v>
      </c>
      <c r="C357" s="57" t="s">
        <v>476</v>
      </c>
      <c r="D357" s="57" t="s">
        <v>385</v>
      </c>
      <c r="E357" s="197">
        <v>231555.44444444444</v>
      </c>
      <c r="F357" s="147">
        <f t="shared" ca="1" si="162"/>
        <v>247812</v>
      </c>
      <c r="G357" s="344">
        <f t="shared" ca="1" si="173"/>
        <v>2339</v>
      </c>
      <c r="H357" s="149">
        <f t="shared" ca="1" si="174"/>
        <v>2623</v>
      </c>
      <c r="I357" s="149">
        <f t="shared" si="213"/>
        <v>1755.8893333333333</v>
      </c>
      <c r="J357" s="176">
        <f t="shared" ca="1" si="175"/>
        <v>674</v>
      </c>
      <c r="K357"/>
      <c r="L357" s="177">
        <f t="shared" ca="1" si="176"/>
        <v>43508</v>
      </c>
      <c r="M357" s="177">
        <f t="shared" ca="1" si="177"/>
        <v>50514</v>
      </c>
      <c r="N357" s="177">
        <f t="shared" ca="1" si="178"/>
        <v>62263</v>
      </c>
      <c r="O357" s="177">
        <f t="shared" ca="1" si="179"/>
        <v>38679</v>
      </c>
      <c r="P357" s="177">
        <f t="shared" ca="1" si="180"/>
        <v>25208</v>
      </c>
      <c r="Q357" s="177">
        <f t="shared" ca="1" si="181"/>
        <v>14851</v>
      </c>
      <c r="R357" s="177">
        <f t="shared" ca="1" si="182"/>
        <v>11281</v>
      </c>
      <c r="S357" s="177">
        <f t="shared" ca="1" si="183"/>
        <v>1508</v>
      </c>
      <c r="T357" s="177">
        <f t="shared" ca="1" si="184"/>
        <v>247812</v>
      </c>
      <c r="U357" s="147"/>
      <c r="V357" s="152">
        <f t="shared" ref="V357:AC357" ca="1" si="238">L357/$T$357</f>
        <v>0.17556857617871613</v>
      </c>
      <c r="W357" s="152">
        <f t="shared" ca="1" si="238"/>
        <v>0.20384000774780883</v>
      </c>
      <c r="X357" s="152">
        <f t="shared" ca="1" si="238"/>
        <v>0.25125094829951738</v>
      </c>
      <c r="Y357" s="152">
        <f t="shared" ca="1" si="238"/>
        <v>0.15608202992591158</v>
      </c>
      <c r="Z357" s="152">
        <f t="shared" ca="1" si="238"/>
        <v>0.10172227333623876</v>
      </c>
      <c r="AA357" s="152">
        <f t="shared" ca="1" si="238"/>
        <v>5.9928494181072746E-2</v>
      </c>
      <c r="AB357" s="152">
        <f t="shared" ca="1" si="238"/>
        <v>4.5522412151146836E-2</v>
      </c>
      <c r="AC357" s="152">
        <f t="shared" ca="1" si="238"/>
        <v>6.0852581795877523E-3</v>
      </c>
      <c r="AD357" s="152"/>
      <c r="AE357" s="177">
        <f t="shared" ca="1" si="186"/>
        <v>244</v>
      </c>
      <c r="AF357" s="177">
        <f t="shared" ca="1" si="187"/>
        <v>433</v>
      </c>
      <c r="AG357" s="177">
        <f t="shared" ca="1" si="188"/>
        <v>754</v>
      </c>
      <c r="AH357" s="177">
        <f t="shared" ca="1" si="189"/>
        <v>397</v>
      </c>
      <c r="AI357" s="177">
        <f t="shared" ca="1" si="190"/>
        <v>491</v>
      </c>
      <c r="AJ357" s="177">
        <f t="shared" ca="1" si="191"/>
        <v>211</v>
      </c>
      <c r="AK357" s="177">
        <f t="shared" ca="1" si="192"/>
        <v>136</v>
      </c>
      <c r="AL357" s="177">
        <f t="shared" ca="1" si="193"/>
        <v>31</v>
      </c>
      <c r="AM357" s="177">
        <f t="shared" ca="1" si="194"/>
        <v>2697</v>
      </c>
      <c r="AN357" s="147"/>
      <c r="AX357">
        <f t="shared" ca="1" si="195"/>
        <v>22</v>
      </c>
      <c r="AY357">
        <f t="shared" ca="1" si="196"/>
        <v>-17</v>
      </c>
      <c r="AZ357">
        <f t="shared" ca="1" si="197"/>
        <v>-47</v>
      </c>
      <c r="BA357">
        <f t="shared" ca="1" si="198"/>
        <v>-19</v>
      </c>
      <c r="BB357">
        <f t="shared" ca="1" si="199"/>
        <v>-10</v>
      </c>
      <c r="BC357">
        <f t="shared" ca="1" si="200"/>
        <v>4</v>
      </c>
      <c r="BD357">
        <f t="shared" ca="1" si="201"/>
        <v>-5</v>
      </c>
      <c r="BE357">
        <f t="shared" ca="1" si="202"/>
        <v>-2</v>
      </c>
      <c r="BF357">
        <f t="shared" ca="1" si="203"/>
        <v>-74</v>
      </c>
      <c r="BH357" s="115">
        <v>0</v>
      </c>
      <c r="BI357" s="115">
        <v>1</v>
      </c>
      <c r="BJ357" s="154">
        <v>300956.89333333337</v>
      </c>
      <c r="BK357" s="155">
        <f t="shared" si="204"/>
        <v>300956.89333333337</v>
      </c>
      <c r="BL357" s="158">
        <v>475971.10911111115</v>
      </c>
      <c r="BM357" s="155">
        <f t="shared" si="205"/>
        <v>475971.10911111115</v>
      </c>
      <c r="BN357" s="158">
        <v>386287.01644444448</v>
      </c>
      <c r="BO357" s="155">
        <f t="shared" si="206"/>
        <v>386287.01644444448</v>
      </c>
      <c r="BP357" s="158">
        <v>441402.02666666661</v>
      </c>
      <c r="BQ357" s="155">
        <f t="shared" si="207"/>
        <v>441402.02666666661</v>
      </c>
      <c r="BR357" s="158">
        <v>516305.96488888899</v>
      </c>
      <c r="BS357" s="155">
        <f t="shared" si="208"/>
        <v>516305.96488888899</v>
      </c>
      <c r="BT357" s="178">
        <v>756752.54977777775</v>
      </c>
      <c r="BU357" s="178"/>
      <c r="BV357" s="348">
        <f t="shared" si="165"/>
        <v>756752.54977777775</v>
      </c>
      <c r="BW357" s="178"/>
      <c r="BX357" s="159">
        <f t="shared" si="209"/>
        <v>867669.97422222211</v>
      </c>
      <c r="BY357" s="159"/>
      <c r="BZ357" s="159">
        <f t="shared" si="210"/>
        <v>283342.35648355557</v>
      </c>
      <c r="CA357" s="159"/>
      <c r="CB357" s="159">
        <f t="shared" si="211"/>
        <v>584327.61773866659</v>
      </c>
      <c r="CD357" s="159">
        <f t="shared" si="212"/>
        <v>2337310.4709546664</v>
      </c>
      <c r="CE357" s="155">
        <f t="shared" si="215"/>
        <v>584327.61773866659</v>
      </c>
    </row>
    <row r="358" spans="2:83" x14ac:dyDescent="0.2">
      <c r="B358" s="57" t="s">
        <v>442</v>
      </c>
      <c r="C358" s="57" t="s">
        <v>443</v>
      </c>
      <c r="D358" s="57" t="s">
        <v>386</v>
      </c>
      <c r="E358" s="197">
        <v>378112.66666666663</v>
      </c>
      <c r="F358" s="147">
        <f t="shared" ca="1" si="162"/>
        <v>373807</v>
      </c>
      <c r="G358" s="344">
        <f t="shared" ca="1" si="173"/>
        <v>1843</v>
      </c>
      <c r="H358" s="149">
        <f t="shared" ca="1" si="174"/>
        <v>4381</v>
      </c>
      <c r="I358" s="149">
        <f t="shared" si="213"/>
        <v>2986.4524444444446</v>
      </c>
      <c r="J358" s="176">
        <f t="shared" ca="1" si="175"/>
        <v>521</v>
      </c>
      <c r="K358"/>
      <c r="L358" s="177">
        <f t="shared" ca="1" si="176"/>
        <v>27036</v>
      </c>
      <c r="M358" s="177">
        <f t="shared" ca="1" si="177"/>
        <v>53415</v>
      </c>
      <c r="N358" s="177">
        <f t="shared" ca="1" si="178"/>
        <v>104854</v>
      </c>
      <c r="O358" s="177">
        <f t="shared" ca="1" si="179"/>
        <v>80274</v>
      </c>
      <c r="P358" s="177">
        <f t="shared" ca="1" si="180"/>
        <v>51156</v>
      </c>
      <c r="Q358" s="177">
        <f t="shared" ca="1" si="181"/>
        <v>32680</v>
      </c>
      <c r="R358" s="177">
        <f t="shared" ca="1" si="182"/>
        <v>21653</v>
      </c>
      <c r="S358" s="177">
        <f t="shared" ca="1" si="183"/>
        <v>2739</v>
      </c>
      <c r="T358" s="177">
        <f t="shared" ca="1" si="184"/>
        <v>373807</v>
      </c>
      <c r="U358" s="147"/>
      <c r="V358" s="152">
        <f t="shared" ref="V358:AC358" ca="1" si="239">L358/$T$358</f>
        <v>7.2326093411840875E-2</v>
      </c>
      <c r="W358" s="152">
        <f t="shared" ca="1" si="239"/>
        <v>0.14289459533930612</v>
      </c>
      <c r="X358" s="152">
        <f t="shared" ca="1" si="239"/>
        <v>0.28050304033899848</v>
      </c>
      <c r="Y358" s="152">
        <f t="shared" ca="1" si="239"/>
        <v>0.21474718236951154</v>
      </c>
      <c r="Z358" s="152">
        <f t="shared" ca="1" si="239"/>
        <v>0.13685136982453511</v>
      </c>
      <c r="AA358" s="152">
        <f t="shared" ca="1" si="239"/>
        <v>8.7424794078227536E-2</v>
      </c>
      <c r="AB358" s="152">
        <f t="shared" ca="1" si="239"/>
        <v>5.7925614020069183E-2</v>
      </c>
      <c r="AC358" s="152">
        <f t="shared" ca="1" si="239"/>
        <v>7.3273106175111759E-3</v>
      </c>
      <c r="AD358" s="152"/>
      <c r="AE358" s="177">
        <f t="shared" ca="1" si="186"/>
        <v>530</v>
      </c>
      <c r="AF358" s="177">
        <f t="shared" ca="1" si="187"/>
        <v>566</v>
      </c>
      <c r="AG358" s="177">
        <f t="shared" ca="1" si="188"/>
        <v>1111</v>
      </c>
      <c r="AH358" s="177">
        <f t="shared" ca="1" si="189"/>
        <v>998</v>
      </c>
      <c r="AI358" s="177">
        <f t="shared" ca="1" si="190"/>
        <v>585</v>
      </c>
      <c r="AJ358" s="177">
        <f t="shared" ca="1" si="191"/>
        <v>386</v>
      </c>
      <c r="AK358" s="177">
        <f t="shared" ca="1" si="192"/>
        <v>259</v>
      </c>
      <c r="AL358" s="177">
        <f t="shared" ca="1" si="193"/>
        <v>30</v>
      </c>
      <c r="AM358" s="177">
        <f t="shared" ca="1" si="194"/>
        <v>4465</v>
      </c>
      <c r="AN358" s="147"/>
      <c r="AX358">
        <f t="shared" ca="1" si="195"/>
        <v>29</v>
      </c>
      <c r="AY358">
        <f t="shared" ca="1" si="196"/>
        <v>5</v>
      </c>
      <c r="AZ358">
        <f t="shared" ca="1" si="197"/>
        <v>-26</v>
      </c>
      <c r="BA358">
        <f t="shared" ca="1" si="198"/>
        <v>0</v>
      </c>
      <c r="BB358">
        <f t="shared" ca="1" si="199"/>
        <v>-33</v>
      </c>
      <c r="BC358">
        <f t="shared" ca="1" si="200"/>
        <v>-24</v>
      </c>
      <c r="BD358">
        <f t="shared" ca="1" si="201"/>
        <v>-37</v>
      </c>
      <c r="BE358">
        <f t="shared" ca="1" si="202"/>
        <v>2</v>
      </c>
      <c r="BF358">
        <f t="shared" ca="1" si="203"/>
        <v>-84</v>
      </c>
      <c r="BH358" s="115">
        <v>0</v>
      </c>
      <c r="BI358" s="115">
        <v>1</v>
      </c>
      <c r="BJ358" s="154">
        <v>610868.93333333335</v>
      </c>
      <c r="BK358" s="155">
        <f t="shared" si="204"/>
        <v>610868.93333333335</v>
      </c>
      <c r="BL358" s="158">
        <v>690498.5995555555</v>
      </c>
      <c r="BM358" s="155">
        <f t="shared" si="205"/>
        <v>690498.5995555555</v>
      </c>
      <c r="BN358" s="158">
        <v>813676.83133333339</v>
      </c>
      <c r="BO358" s="155">
        <f t="shared" si="206"/>
        <v>813676.83133333339</v>
      </c>
      <c r="BP358" s="158">
        <v>839071.65333333332</v>
      </c>
      <c r="BQ358" s="155">
        <f t="shared" si="207"/>
        <v>839071.65333333332</v>
      </c>
      <c r="BR358" s="158">
        <v>855728.35511111119</v>
      </c>
      <c r="BS358" s="155">
        <f t="shared" si="208"/>
        <v>855728.35511111119</v>
      </c>
      <c r="BT358" s="178">
        <v>1378774.6</v>
      </c>
      <c r="BU358" s="178"/>
      <c r="BV358" s="348">
        <f t="shared" si="165"/>
        <v>1378774.6</v>
      </c>
      <c r="BW358" s="178"/>
      <c r="BX358" s="159">
        <f t="shared" si="209"/>
        <v>1385779.8515555556</v>
      </c>
      <c r="BY358" s="159"/>
      <c r="BZ358" s="159">
        <f t="shared" si="210"/>
        <v>435718.21137066669</v>
      </c>
      <c r="CA358" s="159"/>
      <c r="CB358" s="159">
        <f t="shared" si="211"/>
        <v>950061.64018488908</v>
      </c>
      <c r="CD358" s="159">
        <f t="shared" si="212"/>
        <v>3800246.5607395563</v>
      </c>
      <c r="CE358" s="155">
        <f t="shared" si="215"/>
        <v>950061.64018488908</v>
      </c>
    </row>
    <row r="359" spans="2:83" x14ac:dyDescent="0.2">
      <c r="B359" s="57" t="s">
        <v>498</v>
      </c>
      <c r="C359" s="57" t="s">
        <v>476</v>
      </c>
      <c r="D359" s="57" t="s">
        <v>387</v>
      </c>
      <c r="E359" s="197">
        <v>241914.44444444444</v>
      </c>
      <c r="F359" s="147">
        <f t="shared" ca="1" si="162"/>
        <v>258547</v>
      </c>
      <c r="G359" s="344">
        <f t="shared" ca="1" si="173"/>
        <v>1798</v>
      </c>
      <c r="H359" s="149">
        <f t="shared" ca="1" si="174"/>
        <v>2891</v>
      </c>
      <c r="I359" s="149">
        <f>SUMIF($B$6:$B$331,B359,$I$6:$I$331)</f>
        <v>1985.6755555555558</v>
      </c>
      <c r="J359" s="176">
        <f t="shared" ca="1" si="175"/>
        <v>336</v>
      </c>
      <c r="K359"/>
      <c r="L359" s="177">
        <f t="shared" ca="1" si="176"/>
        <v>41000</v>
      </c>
      <c r="M359" s="177">
        <f t="shared" ca="1" si="177"/>
        <v>63903</v>
      </c>
      <c r="N359" s="177">
        <f t="shared" ca="1" si="178"/>
        <v>58820</v>
      </c>
      <c r="O359" s="177">
        <f t="shared" ca="1" si="179"/>
        <v>36856</v>
      </c>
      <c r="P359" s="177">
        <f t="shared" ca="1" si="180"/>
        <v>28458</v>
      </c>
      <c r="Q359" s="177">
        <f t="shared" ca="1" si="181"/>
        <v>17465</v>
      </c>
      <c r="R359" s="177">
        <f t="shared" ca="1" si="182"/>
        <v>11197</v>
      </c>
      <c r="S359" s="177">
        <f t="shared" ca="1" si="183"/>
        <v>848</v>
      </c>
      <c r="T359" s="177">
        <f t="shared" ca="1" si="184"/>
        <v>258547</v>
      </c>
      <c r="U359" s="147"/>
      <c r="V359" s="152">
        <f t="shared" ref="V359:AC359" ca="1" si="240">L359/$T$359</f>
        <v>0.15857851763895925</v>
      </c>
      <c r="W359" s="152">
        <f t="shared" ca="1" si="240"/>
        <v>0.24716202469957108</v>
      </c>
      <c r="X359" s="152">
        <f t="shared" ca="1" si="240"/>
        <v>0.22750215628106302</v>
      </c>
      <c r="Y359" s="152">
        <f t="shared" ca="1" si="240"/>
        <v>0.14255048405125567</v>
      </c>
      <c r="Z359" s="152">
        <f t="shared" ca="1" si="240"/>
        <v>0.11006896231632933</v>
      </c>
      <c r="AA359" s="152">
        <f t="shared" ca="1" si="240"/>
        <v>6.7550580745473737E-2</v>
      </c>
      <c r="AB359" s="152">
        <f t="shared" ca="1" si="240"/>
        <v>4.3307406390327485E-2</v>
      </c>
      <c r="AC359" s="152">
        <f t="shared" ca="1" si="240"/>
        <v>3.2798678770204256E-3</v>
      </c>
      <c r="AD359" s="152"/>
      <c r="AE359" s="177">
        <f t="shared" ca="1" si="186"/>
        <v>273</v>
      </c>
      <c r="AF359" s="177">
        <f t="shared" ca="1" si="187"/>
        <v>461</v>
      </c>
      <c r="AG359" s="177">
        <f t="shared" ca="1" si="188"/>
        <v>706</v>
      </c>
      <c r="AH359" s="177">
        <f t="shared" ca="1" si="189"/>
        <v>284</v>
      </c>
      <c r="AI359" s="177">
        <f t="shared" ca="1" si="190"/>
        <v>300</v>
      </c>
      <c r="AJ359" s="177">
        <f t="shared" ca="1" si="191"/>
        <v>393</v>
      </c>
      <c r="AK359" s="177">
        <f t="shared" ca="1" si="192"/>
        <v>194</v>
      </c>
      <c r="AL359" s="177">
        <f t="shared" ca="1" si="193"/>
        <v>0</v>
      </c>
      <c r="AM359" s="177">
        <f t="shared" ca="1" si="194"/>
        <v>2611</v>
      </c>
      <c r="AN359" s="147"/>
      <c r="AX359">
        <f t="shared" ca="1" si="195"/>
        <v>62</v>
      </c>
      <c r="AY359">
        <f t="shared" ca="1" si="196"/>
        <v>96</v>
      </c>
      <c r="AZ359">
        <f t="shared" ca="1" si="197"/>
        <v>54</v>
      </c>
      <c r="BA359">
        <f t="shared" ca="1" si="198"/>
        <v>36</v>
      </c>
      <c r="BB359">
        <f t="shared" ca="1" si="199"/>
        <v>21</v>
      </c>
      <c r="BC359">
        <f t="shared" ca="1" si="200"/>
        <v>5</v>
      </c>
      <c r="BD359">
        <f t="shared" ca="1" si="201"/>
        <v>4</v>
      </c>
      <c r="BE359">
        <f t="shared" ca="1" si="202"/>
        <v>2</v>
      </c>
      <c r="BF359">
        <f t="shared" ca="1" si="203"/>
        <v>280</v>
      </c>
      <c r="BH359" s="115">
        <v>0</v>
      </c>
      <c r="BI359" s="115">
        <v>1</v>
      </c>
      <c r="BJ359" s="154">
        <v>431254.27733333339</v>
      </c>
      <c r="BK359" s="155">
        <f t="shared" si="204"/>
        <v>431254.27733333339</v>
      </c>
      <c r="BL359" s="158">
        <v>417117.21422222222</v>
      </c>
      <c r="BM359" s="155">
        <f t="shared" si="205"/>
        <v>417117.21422222222</v>
      </c>
      <c r="BN359" s="158">
        <v>456125.75733333331</v>
      </c>
      <c r="BO359" s="155">
        <f t="shared" si="206"/>
        <v>456125.75733333331</v>
      </c>
      <c r="BP359" s="158">
        <v>614516.29333333333</v>
      </c>
      <c r="BQ359" s="155">
        <f t="shared" si="207"/>
        <v>614516.29333333333</v>
      </c>
      <c r="BR359" s="158">
        <v>636530.96800000011</v>
      </c>
      <c r="BS359" s="155">
        <f t="shared" si="208"/>
        <v>636530.96800000011</v>
      </c>
      <c r="BT359" s="178">
        <v>848310.66444444447</v>
      </c>
      <c r="BU359" s="178">
        <v>1890</v>
      </c>
      <c r="BV359" s="349">
        <f t="shared" si="165"/>
        <v>850200.66444444447</v>
      </c>
      <c r="BW359" s="178"/>
      <c r="BX359" s="159">
        <f t="shared" si="209"/>
        <v>926980.10666666669</v>
      </c>
      <c r="BY359" s="159"/>
      <c r="BZ359" s="159">
        <f t="shared" si="210"/>
        <v>296018.12611555553</v>
      </c>
      <c r="CA359" s="159"/>
      <c r="CB359" s="159">
        <f t="shared" si="211"/>
        <v>630961.98055111116</v>
      </c>
      <c r="CD359" s="159">
        <f t="shared" si="212"/>
        <v>2523847.9222044447</v>
      </c>
      <c r="CE359" s="155">
        <f t="shared" si="215"/>
        <v>630961.98055111116</v>
      </c>
    </row>
    <row r="360" spans="2:83" x14ac:dyDescent="0.2">
      <c r="D360" s="57"/>
      <c r="E360" s="57"/>
      <c r="F360" s="147"/>
      <c r="G360" s="345"/>
      <c r="H360" s="147"/>
      <c r="I360" s="179"/>
      <c r="J360" s="179"/>
      <c r="K360" s="179"/>
      <c r="L360" s="179"/>
      <c r="M360" s="179"/>
      <c r="N360" s="179"/>
      <c r="O360" s="179"/>
      <c r="P360" s="179"/>
      <c r="Q360" s="179"/>
      <c r="R360" s="179"/>
      <c r="S360" s="179"/>
      <c r="T360" s="179"/>
      <c r="U360" s="147"/>
      <c r="V360" s="180"/>
      <c r="W360" s="180"/>
      <c r="X360" s="180"/>
      <c r="Y360" s="180"/>
      <c r="Z360" s="180"/>
      <c r="AA360" s="180"/>
      <c r="AB360" s="180"/>
      <c r="AC360" s="180"/>
      <c r="AD360" s="180"/>
      <c r="AE360" s="179"/>
      <c r="AF360" s="179"/>
      <c r="AG360" s="179"/>
      <c r="AH360" s="179"/>
      <c r="AI360" s="179"/>
      <c r="AJ360" s="179"/>
      <c r="AK360" s="179"/>
      <c r="AL360" s="179"/>
      <c r="AM360" s="179"/>
      <c r="BL360" s="131"/>
      <c r="CE360" s="130"/>
    </row>
    <row r="361" spans="2:83" x14ac:dyDescent="0.2">
      <c r="AE361" s="179"/>
      <c r="AF361" s="179"/>
      <c r="AG361" s="179"/>
      <c r="AH361" s="179"/>
      <c r="AI361" s="179"/>
      <c r="AJ361" s="179"/>
      <c r="AK361" s="179"/>
      <c r="AL361" s="179"/>
      <c r="AM361" s="179"/>
      <c r="BJ361" s="181">
        <f>SUM(BJ333:BJ359)+SUM(BJ6:BJ331)</f>
        <v>199260648.65333313</v>
      </c>
      <c r="BL361" s="182">
        <f>SUM(BL333:BL359)+SUM(BL6:BL331)</f>
        <v>232628166.95467439</v>
      </c>
      <c r="BN361" s="182">
        <f>SUM(BN333:BN359)+SUM(BN6:BN331)</f>
        <v>236449097.61666659</v>
      </c>
      <c r="BP361" s="182">
        <f>SUM(BP333:BP359)+SUM(BP6:BP331)</f>
        <v>248634233.59999996</v>
      </c>
      <c r="BR361" s="182">
        <f>SUM(BR333:BR359)+SUM(BR6:BR331)</f>
        <v>250664435.66177791</v>
      </c>
      <c r="BT361" s="182">
        <f>SUM(BT333:BT359)+SUM(BT6:BT331)</f>
        <v>294217341.9749077</v>
      </c>
      <c r="BU361" s="182">
        <f t="shared" ref="BU361:BV361" si="241">SUM(BU333:BU359)+SUM(BU6:BU331)</f>
        <v>33600</v>
      </c>
      <c r="BV361" s="182">
        <f t="shared" si="241"/>
        <v>294250941.9749077</v>
      </c>
      <c r="BW361" s="157"/>
      <c r="BX361" s="182">
        <f>SUM(BX333:BX359)+SUM(BW6:BW331)</f>
        <v>327188005.15555567</v>
      </c>
      <c r="BY361" s="182"/>
      <c r="BZ361" s="182">
        <f>SUM(BZ333:BZ359)+SUM(BY6:BY331)</f>
        <v>129773144.32288004</v>
      </c>
      <c r="CA361" s="182"/>
      <c r="CB361" s="182">
        <f>SUM(CB333:CB359)+SUM(CA6:CA331)</f>
        <v>197414860.83267573</v>
      </c>
      <c r="CE361" s="130"/>
    </row>
    <row r="362" spans="2:83" x14ac:dyDescent="0.2">
      <c r="AE362" s="183"/>
      <c r="AF362" s="183"/>
      <c r="AG362" s="183"/>
      <c r="AH362" s="183"/>
      <c r="AI362" s="183"/>
      <c r="AJ362" s="183"/>
      <c r="AK362" s="183"/>
      <c r="AL362" s="183"/>
      <c r="AM362" s="183"/>
      <c r="AO362" s="183"/>
      <c r="AP362" s="183"/>
      <c r="AQ362" s="183"/>
      <c r="AR362" s="183"/>
      <c r="AS362" s="183"/>
      <c r="AT362" s="183"/>
      <c r="AU362" s="183"/>
      <c r="AV362" s="183"/>
      <c r="AW362" s="183"/>
      <c r="AX362" s="183">
        <f>SUM(AX6:AX331)</f>
        <v>2430</v>
      </c>
      <c r="AY362" s="183">
        <f t="shared" ref="AY362:BF362" si="242">SUM(AY6:AY331)</f>
        <v>1681</v>
      </c>
      <c r="AZ362" s="183">
        <f t="shared" si="242"/>
        <v>440</v>
      </c>
      <c r="BA362" s="183">
        <f t="shared" si="242"/>
        <v>-428</v>
      </c>
      <c r="BB362" s="183">
        <f t="shared" si="242"/>
        <v>-228</v>
      </c>
      <c r="BC362" s="183">
        <f t="shared" si="242"/>
        <v>-196</v>
      </c>
      <c r="BD362" s="183">
        <f t="shared" si="242"/>
        <v>-283</v>
      </c>
      <c r="BE362" s="183">
        <f t="shared" si="242"/>
        <v>35</v>
      </c>
      <c r="BF362" s="183">
        <f t="shared" si="242"/>
        <v>3451</v>
      </c>
    </row>
    <row r="363" spans="2:83" x14ac:dyDescent="0.2">
      <c r="AE363" s="179"/>
      <c r="AF363" s="179"/>
      <c r="AG363" s="179"/>
      <c r="AH363" s="179"/>
      <c r="AI363" s="179"/>
      <c r="AJ363" s="179"/>
      <c r="AK363" s="179"/>
      <c r="AL363" s="179"/>
      <c r="AM363" s="179"/>
    </row>
    <row r="364" spans="2:83" x14ac:dyDescent="0.2">
      <c r="AE364" s="184"/>
      <c r="AF364" s="184"/>
      <c r="AG364" s="184"/>
      <c r="AH364" s="184"/>
      <c r="AI364" s="184"/>
      <c r="AJ364" s="184"/>
      <c r="AK364" s="184"/>
      <c r="AL364" s="184"/>
      <c r="AM364" s="184"/>
      <c r="AO364" s="183"/>
      <c r="AP364" s="183"/>
      <c r="AQ364" s="183"/>
      <c r="AR364" s="183"/>
      <c r="AS364" s="183"/>
      <c r="AT364" s="183"/>
      <c r="AU364" s="183"/>
      <c r="AV364" s="183"/>
      <c r="AW364" s="183"/>
    </row>
    <row r="366" spans="2:83" x14ac:dyDescent="0.2">
      <c r="AO366" s="183"/>
      <c r="AP366" s="183"/>
      <c r="AQ366" s="183"/>
      <c r="AR366" s="183"/>
      <c r="AS366" s="183"/>
      <c r="AT366" s="183"/>
      <c r="AU366" s="183"/>
      <c r="AV366" s="183"/>
      <c r="AW366" s="183"/>
    </row>
  </sheetData>
  <sheetProtection selectLockedCells="1" selectUnlockedCells="1"/>
  <mergeCells count="6">
    <mergeCell ref="BW2:CD2"/>
    <mergeCell ref="L3:T3"/>
    <mergeCell ref="V3:AC3"/>
    <mergeCell ref="AE3:AM3"/>
    <mergeCell ref="AO3:AV3"/>
    <mergeCell ref="AX3:BF3"/>
  </mergeCells>
  <hyperlinks>
    <hyperlink ref="I2" r:id="rId1"/>
    <hyperlink ref="J2" r:id="rId2"/>
  </hyperlinks>
  <pageMargins left="0.75" right="0.75" top="1" bottom="1" header="0.5" footer="0.5"/>
  <pageSetup paperSize="9" orientation="portrait"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7432FDC2-8A16-445D-807F-DE932604F84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New Homes Bonus</vt:lpstr>
      <vt:lpstr>Calculating NHB</vt:lpstr>
      <vt:lpstr>Cumulative Payments</vt:lpstr>
      <vt:lpstr>Year 7 Payments</vt:lpstr>
      <vt:lpstr>Estimates of Payments</vt:lpstr>
      <vt:lpstr>Data</vt:lpstr>
      <vt:lpstr>LA</vt:lpstr>
      <vt:lpstr>Reform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2016-12-09T16:04:29Z</dcterms:created>
  <dcterms:modified xsi:type="dcterms:W3CDTF">2017-02-16T11:30:32Z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9480d72c-9b7f-44ab-894a-c6ea93e5e628</vt:lpwstr>
  </property>
  <property fmtid="{D5CDD505-2E9C-101B-9397-08002B2CF9AE}" pid="3" name="bjSaver">
    <vt:lpwstr>csModzIzNrKbh+Gni8/Dz2A13t1Km7oQ</vt:lpwstr>
  </property>
  <property fmtid="{D5CDD505-2E9C-101B-9397-08002B2CF9AE}" pid="4" name="bjDocumentSecurityLabel">
    <vt:lpwstr>No Marking</vt:lpwstr>
  </property>
</Properties>
</file>